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Javie\Documents\III\2025 Cycle\2. Rulemaking Docs\12. 2nd 15-Day\2. Files for Docketing\1. Additional Docs Relied Upon\"/>
    </mc:Choice>
  </mc:AlternateContent>
  <xr:revisionPtr revIDLastSave="0" documentId="8_{27499AD7-05BC-416B-B5EC-4A1F1448A6CE}" xr6:coauthVersionLast="47" xr6:coauthVersionMax="47" xr10:uidLastSave="{00000000-0000-0000-0000-000000000000}"/>
  <bookViews>
    <workbookView xWindow="585" yWindow="1275" windowWidth="27030" windowHeight="14055" xr2:uid="{CF196500-D188-434E-91C6-FD102ED45C71}"/>
    <workbookView xWindow="-120" yWindow="-120" windowWidth="38640" windowHeight="21120" firstSheet="1" activeTab="1" xr2:uid="{14344CCC-7352-4959-9908-31BC37317200}"/>
  </bookViews>
  <sheets>
    <sheet name="Index" sheetId="12" r:id="rId1"/>
    <sheet name="Final Results" sheetId="5" r:id="rId2"/>
    <sheet name="Proto Costing" sheetId="3" r:id="rId3"/>
    <sheet name="Plant-side Costs" sheetId="4" r:id="rId4"/>
    <sheet name="Air-side Costs" sheetId="1" r:id="rId5"/>
    <sheet name="Sizing" sheetId="7" r:id="rId6"/>
    <sheet name="Rough Work" sheetId="11" state="hidden" r:id="rId7"/>
    <sheet name="AGIC" sheetId="6" state="hidden" r:id="rId8"/>
    <sheet name="Implan_Costs" sheetId="10"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0" i="1" l="1"/>
  <c r="M101" i="1"/>
  <c r="D100" i="1"/>
  <c r="D101" i="1"/>
  <c r="I109" i="1"/>
  <c r="I113" i="1" s="1"/>
  <c r="D306" i="3"/>
  <c r="E306" i="3"/>
  <c r="F306" i="3"/>
  <c r="G306" i="3"/>
  <c r="H306" i="3"/>
  <c r="I306" i="3"/>
  <c r="J306" i="3"/>
  <c r="K306" i="3"/>
  <c r="L306" i="3"/>
  <c r="M306" i="3"/>
  <c r="N306" i="3"/>
  <c r="O306" i="3"/>
  <c r="P306" i="3"/>
  <c r="Q306" i="3"/>
  <c r="R306" i="3"/>
  <c r="C306" i="3"/>
  <c r="R15" i="3"/>
  <c r="Q15" i="3"/>
  <c r="P15" i="3"/>
  <c r="O15" i="3"/>
  <c r="N15" i="3"/>
  <c r="M15" i="3"/>
  <c r="L15" i="3"/>
  <c r="K15" i="3"/>
  <c r="J15" i="3"/>
  <c r="I15" i="3"/>
  <c r="H15" i="3"/>
  <c r="G15" i="3"/>
  <c r="F15" i="3"/>
  <c r="E15" i="3"/>
  <c r="D15" i="3"/>
  <c r="C15" i="3"/>
  <c r="D243" i="3"/>
  <c r="E243" i="3"/>
  <c r="F243" i="3"/>
  <c r="G243" i="3"/>
  <c r="H243" i="3"/>
  <c r="I243" i="3"/>
  <c r="J243" i="3"/>
  <c r="K243" i="3"/>
  <c r="L243" i="3"/>
  <c r="M243" i="3"/>
  <c r="N243" i="3"/>
  <c r="O243" i="3"/>
  <c r="P243" i="3"/>
  <c r="Q243" i="3"/>
  <c r="R243" i="3"/>
  <c r="C243" i="3"/>
  <c r="D297" i="3"/>
  <c r="D168" i="3" s="1"/>
  <c r="E297" i="3"/>
  <c r="E168" i="3" s="1"/>
  <c r="F297" i="3"/>
  <c r="F168" i="3" s="1"/>
  <c r="G297" i="3"/>
  <c r="G168" i="3" s="1"/>
  <c r="H297" i="3"/>
  <c r="H168" i="3" s="1"/>
  <c r="I297" i="3"/>
  <c r="I168" i="3" s="1"/>
  <c r="J297" i="3"/>
  <c r="J168" i="3" s="1"/>
  <c r="K297" i="3"/>
  <c r="K168" i="3" s="1"/>
  <c r="L297" i="3"/>
  <c r="L168" i="3" s="1"/>
  <c r="M297" i="3"/>
  <c r="M168" i="3" s="1"/>
  <c r="N297" i="3"/>
  <c r="N168" i="3" s="1"/>
  <c r="O297" i="3"/>
  <c r="O168" i="3" s="1"/>
  <c r="P297" i="3"/>
  <c r="P168" i="3" s="1"/>
  <c r="Q297" i="3"/>
  <c r="Q168" i="3" s="1"/>
  <c r="R297" i="3"/>
  <c r="R168" i="3" s="1"/>
  <c r="C297" i="3"/>
  <c r="C168" i="3" s="1"/>
  <c r="C10" i="7"/>
  <c r="D10" i="7" s="1"/>
  <c r="E10" i="7" s="1"/>
  <c r="F10" i="7" s="1"/>
  <c r="G10" i="7" s="1"/>
  <c r="H10" i="7" s="1"/>
  <c r="I10" i="7" s="1"/>
  <c r="J10" i="7" s="1"/>
  <c r="K10" i="7" s="1"/>
  <c r="L10" i="7" s="1"/>
  <c r="M10" i="7" s="1"/>
  <c r="N10" i="7" s="1"/>
  <c r="O10" i="7" s="1"/>
  <c r="P10" i="7" s="1"/>
  <c r="Q10" i="7" s="1"/>
  <c r="R10" i="7" s="1"/>
  <c r="D234" i="3"/>
  <c r="D56" i="3" s="1"/>
  <c r="E234" i="3"/>
  <c r="E56" i="3" s="1"/>
  <c r="F234" i="3"/>
  <c r="F56" i="3" s="1"/>
  <c r="G234" i="3"/>
  <c r="G56" i="3" s="1"/>
  <c r="H234" i="3"/>
  <c r="H56" i="3" s="1"/>
  <c r="I234" i="3"/>
  <c r="I56" i="3" s="1"/>
  <c r="J234" i="3"/>
  <c r="J56" i="3" s="1"/>
  <c r="K234" i="3"/>
  <c r="K56" i="3" s="1"/>
  <c r="L234" i="3"/>
  <c r="L56" i="3" s="1"/>
  <c r="M234" i="3"/>
  <c r="M56" i="3" s="1"/>
  <c r="N234" i="3"/>
  <c r="N56" i="3" s="1"/>
  <c r="O234" i="3"/>
  <c r="O56" i="3" s="1"/>
  <c r="P234" i="3"/>
  <c r="P56" i="3" s="1"/>
  <c r="Q234" i="3"/>
  <c r="Q56" i="3" s="1"/>
  <c r="R234" i="3"/>
  <c r="R56" i="3" s="1"/>
  <c r="C234" i="3"/>
  <c r="C56" i="3" s="1"/>
  <c r="C4" i="7" l="1"/>
  <c r="D4" i="7" s="1"/>
  <c r="E4" i="7" s="1"/>
  <c r="F4" i="7" s="1"/>
  <c r="G4" i="7" s="1"/>
  <c r="H4" i="7" s="1"/>
  <c r="I4" i="7" s="1"/>
  <c r="J4" i="7" s="1"/>
  <c r="K4" i="7" s="1"/>
  <c r="L4" i="7" s="1"/>
  <c r="M4" i="7" s="1"/>
  <c r="N4" i="7" s="1"/>
  <c r="O4" i="7" s="1"/>
  <c r="P4" i="7" s="1"/>
  <c r="Q4" i="7" s="1"/>
  <c r="R4" i="7" s="1"/>
  <c r="B6" i="11"/>
  <c r="D6" i="11" s="1"/>
  <c r="G6" i="11" s="1"/>
  <c r="H6" i="11" s="1"/>
  <c r="H7" i="11" s="1"/>
  <c r="F6" i="11"/>
  <c r="J7" i="11"/>
  <c r="F103" i="4"/>
  <c r="N103" i="4" s="1"/>
  <c r="F104" i="4"/>
  <c r="N104" i="4" s="1"/>
  <c r="F105" i="4"/>
  <c r="N105" i="4" s="1"/>
  <c r="F106" i="4"/>
  <c r="N106" i="4" s="1"/>
  <c r="J73" i="4"/>
  <c r="J74" i="4" s="1"/>
  <c r="J76" i="4" s="1"/>
  <c r="J77" i="4" s="1"/>
  <c r="J78" i="4" s="1"/>
  <c r="D74" i="4"/>
  <c r="D76" i="4" s="1"/>
  <c r="D77" i="4" s="1"/>
  <c r="D78" i="4" s="1"/>
  <c r="S28" i="10"/>
  <c r="R26" i="10"/>
  <c r="Q26" i="10"/>
  <c r="P26" i="10"/>
  <c r="O26" i="10"/>
  <c r="N26" i="10"/>
  <c r="M26" i="10"/>
  <c r="L26" i="10"/>
  <c r="K26" i="10"/>
  <c r="J26" i="10"/>
  <c r="I26" i="10"/>
  <c r="H26" i="10"/>
  <c r="G26" i="10"/>
  <c r="F26" i="10"/>
  <c r="E26" i="10"/>
  <c r="D26" i="10"/>
  <c r="C26" i="10"/>
  <c r="R25" i="10"/>
  <c r="Q25" i="10"/>
  <c r="P25" i="10"/>
  <c r="O25" i="10"/>
  <c r="N25" i="10"/>
  <c r="M25" i="10"/>
  <c r="L25" i="10"/>
  <c r="K25" i="10"/>
  <c r="J25" i="10"/>
  <c r="I25" i="10"/>
  <c r="H25" i="10"/>
  <c r="G25" i="10"/>
  <c r="F25" i="10"/>
  <c r="E25" i="10"/>
  <c r="D25" i="10"/>
  <c r="C25" i="10"/>
  <c r="R24" i="10"/>
  <c r="Q24" i="10"/>
  <c r="P24" i="10"/>
  <c r="O24" i="10"/>
  <c r="N24" i="10"/>
  <c r="M24" i="10"/>
  <c r="L24" i="10"/>
  <c r="K24" i="10"/>
  <c r="J24" i="10"/>
  <c r="I24" i="10"/>
  <c r="H24" i="10"/>
  <c r="G24" i="10"/>
  <c r="F24" i="10"/>
  <c r="E24" i="10"/>
  <c r="D24" i="10"/>
  <c r="C24" i="10"/>
  <c r="S27" i="10" l="1"/>
  <c r="S26" i="10"/>
  <c r="S25" i="10"/>
  <c r="S24" i="10"/>
  <c r="R314" i="3" l="1"/>
  <c r="Q314" i="3"/>
  <c r="P314" i="3"/>
  <c r="O314" i="3"/>
  <c r="N314" i="3"/>
  <c r="M314" i="3"/>
  <c r="L314" i="3"/>
  <c r="K314" i="3"/>
  <c r="J314" i="3"/>
  <c r="I314" i="3"/>
  <c r="H314" i="3"/>
  <c r="G314" i="3"/>
  <c r="F314" i="3"/>
  <c r="E314" i="3"/>
  <c r="D314" i="3"/>
  <c r="C314" i="3"/>
  <c r="H38" i="3" l="1"/>
  <c r="G89" i="3"/>
  <c r="I201" i="3"/>
  <c r="H201" i="3"/>
  <c r="G201" i="3"/>
  <c r="R201" i="3"/>
  <c r="F201" i="3"/>
  <c r="Q201" i="3"/>
  <c r="E201" i="3"/>
  <c r="P201" i="3"/>
  <c r="D201" i="3"/>
  <c r="N201" i="3"/>
  <c r="M201" i="3"/>
  <c r="R89" i="3"/>
  <c r="O201" i="3"/>
  <c r="C201" i="3"/>
  <c r="L201" i="3"/>
  <c r="K201" i="3"/>
  <c r="J201" i="3"/>
  <c r="N38" i="3"/>
  <c r="I329" i="3"/>
  <c r="E149" i="3"/>
  <c r="Q149" i="3"/>
  <c r="J329" i="3"/>
  <c r="F149" i="3"/>
  <c r="R149" i="3"/>
  <c r="I266" i="3"/>
  <c r="K329" i="3"/>
  <c r="G149" i="3"/>
  <c r="J266" i="3"/>
  <c r="L329" i="3"/>
  <c r="H149" i="3"/>
  <c r="M329" i="3"/>
  <c r="I149" i="3"/>
  <c r="M266" i="3"/>
  <c r="N266" i="3"/>
  <c r="N329" i="3"/>
  <c r="J149" i="3"/>
  <c r="O266" i="3"/>
  <c r="C329" i="3"/>
  <c r="O329" i="3"/>
  <c r="K149" i="3"/>
  <c r="Q266" i="3"/>
  <c r="D329" i="3"/>
  <c r="P329" i="3"/>
  <c r="L149" i="3"/>
  <c r="J38" i="3"/>
  <c r="E329" i="3"/>
  <c r="Q329" i="3"/>
  <c r="M149" i="3"/>
  <c r="K38" i="3"/>
  <c r="F329" i="3"/>
  <c r="R329" i="3"/>
  <c r="N149" i="3"/>
  <c r="L38" i="3"/>
  <c r="G329" i="3"/>
  <c r="C149" i="3"/>
  <c r="O149" i="3"/>
  <c r="M38" i="3"/>
  <c r="H329" i="3"/>
  <c r="D149" i="3"/>
  <c r="P149" i="3"/>
  <c r="P266" i="3"/>
  <c r="P38" i="3"/>
  <c r="Q38" i="3"/>
  <c r="C266" i="3"/>
  <c r="R266" i="3"/>
  <c r="R38" i="3"/>
  <c r="D266" i="3"/>
  <c r="D38" i="3"/>
  <c r="E266" i="3"/>
  <c r="E38" i="3"/>
  <c r="F266" i="3"/>
  <c r="F38" i="3"/>
  <c r="H266" i="3"/>
  <c r="I38" i="3"/>
  <c r="L89" i="3"/>
  <c r="H89" i="3"/>
  <c r="I89" i="3"/>
  <c r="J89" i="3"/>
  <c r="K89" i="3"/>
  <c r="M89" i="3"/>
  <c r="N89" i="3"/>
  <c r="C89" i="3"/>
  <c r="O89" i="3"/>
  <c r="D89" i="3"/>
  <c r="P89" i="3"/>
  <c r="E89" i="3"/>
  <c r="Q89" i="3"/>
  <c r="F89" i="3"/>
  <c r="G266" i="3"/>
  <c r="C38" i="3"/>
  <c r="O38" i="3"/>
  <c r="K266" i="3"/>
  <c r="G38" i="3"/>
  <c r="L266" i="3"/>
  <c r="G20" i="5"/>
  <c r="E20" i="5"/>
  <c r="G19" i="5"/>
  <c r="G18" i="5"/>
  <c r="H19" i="5"/>
  <c r="H18" i="5"/>
  <c r="H17" i="5" l="1"/>
  <c r="G17" i="5"/>
  <c r="G16" i="5"/>
  <c r="E16" i="5"/>
  <c r="H16" i="5" s="1"/>
  <c r="R322" i="3"/>
  <c r="Q322" i="3"/>
  <c r="P322" i="3"/>
  <c r="O322" i="3"/>
  <c r="N322" i="3"/>
  <c r="M322" i="3"/>
  <c r="L322" i="3"/>
  <c r="K322" i="3"/>
  <c r="J322" i="3"/>
  <c r="I322" i="3"/>
  <c r="H322" i="3"/>
  <c r="G322" i="3"/>
  <c r="F322" i="3"/>
  <c r="E322" i="3"/>
  <c r="D322" i="3"/>
  <c r="C322" i="3"/>
  <c r="R193" i="3"/>
  <c r="Q193" i="3"/>
  <c r="P193" i="3"/>
  <c r="O193" i="3"/>
  <c r="N193" i="3"/>
  <c r="M193" i="3"/>
  <c r="L193" i="3"/>
  <c r="K193" i="3"/>
  <c r="J193" i="3"/>
  <c r="I193" i="3"/>
  <c r="H193" i="3"/>
  <c r="G193" i="3"/>
  <c r="F193" i="3"/>
  <c r="E193" i="3"/>
  <c r="D193" i="3"/>
  <c r="C193" i="3"/>
  <c r="R185" i="3"/>
  <c r="Q185" i="3"/>
  <c r="P185" i="3"/>
  <c r="O185" i="3"/>
  <c r="N185" i="3"/>
  <c r="M185" i="3"/>
  <c r="L185" i="3"/>
  <c r="K185" i="3"/>
  <c r="J185" i="3"/>
  <c r="I185" i="3"/>
  <c r="H185" i="3"/>
  <c r="G185" i="3"/>
  <c r="F185" i="3"/>
  <c r="E185" i="3"/>
  <c r="D185" i="3"/>
  <c r="C185" i="3"/>
  <c r="R142" i="3"/>
  <c r="Q142" i="3"/>
  <c r="P142" i="3"/>
  <c r="O142" i="3"/>
  <c r="N142" i="3"/>
  <c r="M142" i="3"/>
  <c r="L142" i="3"/>
  <c r="K142" i="3"/>
  <c r="J142" i="3"/>
  <c r="I142" i="3"/>
  <c r="H142" i="3"/>
  <c r="G142" i="3"/>
  <c r="F142" i="3"/>
  <c r="E142" i="3"/>
  <c r="D142" i="3"/>
  <c r="C142" i="3"/>
  <c r="R135" i="3"/>
  <c r="Q135" i="3"/>
  <c r="P135" i="3"/>
  <c r="O135" i="3"/>
  <c r="N135" i="3"/>
  <c r="M135" i="3"/>
  <c r="L135" i="3"/>
  <c r="K135" i="3"/>
  <c r="J135" i="3"/>
  <c r="I135" i="3"/>
  <c r="H135" i="3"/>
  <c r="G135" i="3"/>
  <c r="F135" i="3"/>
  <c r="E135" i="3"/>
  <c r="D135" i="3"/>
  <c r="C135" i="3"/>
  <c r="R127" i="3" l="1"/>
  <c r="Q127" i="3"/>
  <c r="P127" i="3"/>
  <c r="O127" i="3"/>
  <c r="N127" i="3"/>
  <c r="M127" i="3"/>
  <c r="L127" i="3"/>
  <c r="K127" i="3"/>
  <c r="J127" i="3"/>
  <c r="I127" i="3"/>
  <c r="H127" i="3"/>
  <c r="G127" i="3"/>
  <c r="F127" i="3"/>
  <c r="E127" i="3"/>
  <c r="D127" i="3"/>
  <c r="C127" i="3"/>
  <c r="R222" i="3"/>
  <c r="Q222" i="3"/>
  <c r="P222" i="3"/>
  <c r="O222" i="3"/>
  <c r="N222" i="3"/>
  <c r="M222" i="3"/>
  <c r="L222" i="3"/>
  <c r="K222" i="3"/>
  <c r="J222" i="3"/>
  <c r="I222" i="3"/>
  <c r="H222" i="3"/>
  <c r="G222" i="3"/>
  <c r="F222" i="3"/>
  <c r="E222" i="3"/>
  <c r="D222" i="3"/>
  <c r="C222" i="3"/>
  <c r="R157" i="3"/>
  <c r="Q157" i="3"/>
  <c r="P157" i="3"/>
  <c r="O157" i="3"/>
  <c r="N157" i="3"/>
  <c r="M157" i="3"/>
  <c r="L157" i="3"/>
  <c r="K157" i="3"/>
  <c r="J157" i="3"/>
  <c r="I157" i="3"/>
  <c r="H157" i="3"/>
  <c r="G157" i="3"/>
  <c r="F157" i="3"/>
  <c r="E157" i="3"/>
  <c r="D157" i="3"/>
  <c r="C157" i="3"/>
  <c r="R350" i="3"/>
  <c r="Q350" i="3"/>
  <c r="P350" i="3"/>
  <c r="O350" i="3"/>
  <c r="N350" i="3"/>
  <c r="M350" i="3"/>
  <c r="L350" i="3"/>
  <c r="K350" i="3"/>
  <c r="J350" i="3"/>
  <c r="I350" i="3"/>
  <c r="H350" i="3"/>
  <c r="G350" i="3"/>
  <c r="F350" i="3"/>
  <c r="E350" i="3"/>
  <c r="D350" i="3"/>
  <c r="C350" i="3"/>
  <c r="C89" i="1"/>
  <c r="E89" i="1" s="1"/>
  <c r="G143" i="3" s="1"/>
  <c r="E88" i="1"/>
  <c r="K194" i="3" s="1"/>
  <c r="E87" i="1"/>
  <c r="K136" i="3" s="1"/>
  <c r="R71" i="6"/>
  <c r="Q71" i="6"/>
  <c r="P71" i="6"/>
  <c r="O71" i="6"/>
  <c r="N71" i="6"/>
  <c r="M71" i="6"/>
  <c r="L71" i="6"/>
  <c r="K71" i="6"/>
  <c r="J71" i="6"/>
  <c r="I71" i="6"/>
  <c r="H71" i="6"/>
  <c r="G71" i="6"/>
  <c r="F71" i="6"/>
  <c r="E71" i="6"/>
  <c r="D71" i="6"/>
  <c r="C71" i="6"/>
  <c r="R66" i="6"/>
  <c r="Q66" i="6"/>
  <c r="P66" i="6"/>
  <c r="P69" i="6" s="1"/>
  <c r="O66" i="6"/>
  <c r="O69" i="6" s="1"/>
  <c r="N66" i="6"/>
  <c r="M66" i="6"/>
  <c r="L66" i="6"/>
  <c r="K66" i="6"/>
  <c r="J66" i="6"/>
  <c r="J69" i="6" s="1"/>
  <c r="I66" i="6"/>
  <c r="I69" i="6" s="1"/>
  <c r="H66" i="6"/>
  <c r="G66" i="6"/>
  <c r="F66" i="6"/>
  <c r="E66" i="6"/>
  <c r="D66" i="6"/>
  <c r="C66" i="6"/>
  <c r="C69" i="6" s="1"/>
  <c r="H69" i="6"/>
  <c r="G69" i="6"/>
  <c r="R65" i="6"/>
  <c r="Q65" i="6"/>
  <c r="P65" i="6"/>
  <c r="O65" i="6"/>
  <c r="N65" i="6"/>
  <c r="M65" i="6"/>
  <c r="M70" i="6" s="1"/>
  <c r="M72" i="6" s="1"/>
  <c r="L65" i="6"/>
  <c r="K65" i="6"/>
  <c r="J65" i="6"/>
  <c r="I65" i="6"/>
  <c r="H65" i="6"/>
  <c r="H70" i="6" s="1"/>
  <c r="H72" i="6" s="1"/>
  <c r="G65" i="6"/>
  <c r="G70" i="6" s="1"/>
  <c r="G72" i="6" s="1"/>
  <c r="F65" i="6"/>
  <c r="E65" i="6"/>
  <c r="D65" i="6"/>
  <c r="C65" i="6"/>
  <c r="C70" i="6" s="1"/>
  <c r="C72" i="6" s="1"/>
  <c r="P64" i="6"/>
  <c r="N64" i="6"/>
  <c r="N70" i="6" s="1"/>
  <c r="N72" i="6" s="1"/>
  <c r="R63" i="6"/>
  <c r="Q63" i="6"/>
  <c r="P63" i="6"/>
  <c r="O63" i="6"/>
  <c r="N63" i="6"/>
  <c r="N69" i="6" s="1"/>
  <c r="M63" i="6"/>
  <c r="M69" i="6" s="1"/>
  <c r="G63" i="6"/>
  <c r="F63" i="6"/>
  <c r="E63" i="6"/>
  <c r="D63" i="6"/>
  <c r="C63" i="6"/>
  <c r="N24" i="3" l="1"/>
  <c r="C323" i="3"/>
  <c r="G260" i="3"/>
  <c r="K260" i="3"/>
  <c r="H143" i="3"/>
  <c r="I143" i="3"/>
  <c r="R186" i="3"/>
  <c r="C194" i="3"/>
  <c r="R315" i="3"/>
  <c r="L194" i="3"/>
  <c r="O82" i="3"/>
  <c r="D74" i="3"/>
  <c r="M24" i="3"/>
  <c r="G194" i="3"/>
  <c r="M323" i="3"/>
  <c r="M194" i="3"/>
  <c r="O24" i="3"/>
  <c r="N194" i="3"/>
  <c r="G323" i="3"/>
  <c r="L323" i="3"/>
  <c r="O143" i="3"/>
  <c r="J252" i="3"/>
  <c r="O194" i="3"/>
  <c r="E74" i="3"/>
  <c r="Q260" i="3"/>
  <c r="G74" i="3"/>
  <c r="C136" i="3"/>
  <c r="P74" i="3"/>
  <c r="G136" i="3"/>
  <c r="E186" i="3"/>
  <c r="F315" i="3"/>
  <c r="C82" i="3"/>
  <c r="Q74" i="3"/>
  <c r="K252" i="3"/>
  <c r="L136" i="3"/>
  <c r="F186" i="3"/>
  <c r="D315" i="3"/>
  <c r="H82" i="3"/>
  <c r="G186" i="3"/>
  <c r="P260" i="3"/>
  <c r="C252" i="3"/>
  <c r="H252" i="3"/>
  <c r="N323" i="3"/>
  <c r="K74" i="3"/>
  <c r="O323" i="3"/>
  <c r="R74" i="3"/>
  <c r="M136" i="3"/>
  <c r="K315" i="3"/>
  <c r="I82" i="3"/>
  <c r="C24" i="3"/>
  <c r="D260" i="3"/>
  <c r="N136" i="3"/>
  <c r="K186" i="3"/>
  <c r="J143" i="3"/>
  <c r="F74" i="3"/>
  <c r="R260" i="3"/>
  <c r="I252" i="3"/>
  <c r="G315" i="3"/>
  <c r="J82" i="3"/>
  <c r="G24" i="3"/>
  <c r="E260" i="3"/>
  <c r="O136" i="3"/>
  <c r="P186" i="3"/>
  <c r="K143" i="3"/>
  <c r="D186" i="3"/>
  <c r="E315" i="3"/>
  <c r="O252" i="3"/>
  <c r="P315" i="3"/>
  <c r="Q315" i="3"/>
  <c r="K82" i="3"/>
  <c r="L24" i="3"/>
  <c r="F260" i="3"/>
  <c r="C143" i="3"/>
  <c r="Q186" i="3"/>
  <c r="H315" i="3"/>
  <c r="D323" i="3"/>
  <c r="P323" i="3"/>
  <c r="L82" i="3"/>
  <c r="H74" i="3"/>
  <c r="D24" i="3"/>
  <c r="P24" i="3"/>
  <c r="L252" i="3"/>
  <c r="H260" i="3"/>
  <c r="D136" i="3"/>
  <c r="P136" i="3"/>
  <c r="L143" i="3"/>
  <c r="H186" i="3"/>
  <c r="D194" i="3"/>
  <c r="P194" i="3"/>
  <c r="I315" i="3"/>
  <c r="E323" i="3"/>
  <c r="Q323" i="3"/>
  <c r="M82" i="3"/>
  <c r="I74" i="3"/>
  <c r="E24" i="3"/>
  <c r="Q24" i="3"/>
  <c r="M252" i="3"/>
  <c r="I260" i="3"/>
  <c r="E136" i="3"/>
  <c r="Q136" i="3"/>
  <c r="M143" i="3"/>
  <c r="I186" i="3"/>
  <c r="E194" i="3"/>
  <c r="Q194" i="3"/>
  <c r="J315" i="3"/>
  <c r="F323" i="3"/>
  <c r="R323" i="3"/>
  <c r="N82" i="3"/>
  <c r="J74" i="3"/>
  <c r="F24" i="3"/>
  <c r="R24" i="3"/>
  <c r="N252" i="3"/>
  <c r="J260" i="3"/>
  <c r="F136" i="3"/>
  <c r="R136" i="3"/>
  <c r="N143" i="3"/>
  <c r="J186" i="3"/>
  <c r="F194" i="3"/>
  <c r="R194" i="3"/>
  <c r="L315" i="3"/>
  <c r="H323" i="3"/>
  <c r="D82" i="3"/>
  <c r="P82" i="3"/>
  <c r="L74" i="3"/>
  <c r="H24" i="3"/>
  <c r="D252" i="3"/>
  <c r="P252" i="3"/>
  <c r="L260" i="3"/>
  <c r="H136" i="3"/>
  <c r="D143" i="3"/>
  <c r="P143" i="3"/>
  <c r="L186" i="3"/>
  <c r="H194" i="3"/>
  <c r="M315" i="3"/>
  <c r="I323" i="3"/>
  <c r="E82" i="3"/>
  <c r="Q82" i="3"/>
  <c r="M74" i="3"/>
  <c r="I24" i="3"/>
  <c r="E252" i="3"/>
  <c r="Q252" i="3"/>
  <c r="M260" i="3"/>
  <c r="I136" i="3"/>
  <c r="E143" i="3"/>
  <c r="Q143" i="3"/>
  <c r="M186" i="3"/>
  <c r="I194" i="3"/>
  <c r="N315" i="3"/>
  <c r="J323" i="3"/>
  <c r="F82" i="3"/>
  <c r="R82" i="3"/>
  <c r="N74" i="3"/>
  <c r="J24" i="3"/>
  <c r="F252" i="3"/>
  <c r="R252" i="3"/>
  <c r="N260" i="3"/>
  <c r="J136" i="3"/>
  <c r="F143" i="3"/>
  <c r="R143" i="3"/>
  <c r="N186" i="3"/>
  <c r="J194" i="3"/>
  <c r="C315" i="3"/>
  <c r="O315" i="3"/>
  <c r="K323" i="3"/>
  <c r="G82" i="3"/>
  <c r="C74" i="3"/>
  <c r="O74" i="3"/>
  <c r="K24" i="3"/>
  <c r="G252" i="3"/>
  <c r="C260" i="3"/>
  <c r="O260" i="3"/>
  <c r="C186" i="3"/>
  <c r="O186" i="3"/>
  <c r="D69" i="6"/>
  <c r="O70" i="6"/>
  <c r="O72" i="6" s="1"/>
  <c r="E69" i="6"/>
  <c r="D70" i="6"/>
  <c r="D72" i="6" s="1"/>
  <c r="P70" i="6"/>
  <c r="P72" i="6" s="1"/>
  <c r="F69" i="6"/>
  <c r="E70" i="6"/>
  <c r="E72" i="6" s="1"/>
  <c r="Q70" i="6"/>
  <c r="Q72" i="6" s="1"/>
  <c r="F70" i="6"/>
  <c r="F72" i="6" s="1"/>
  <c r="R70" i="6"/>
  <c r="R72" i="6" s="1"/>
  <c r="I70" i="6"/>
  <c r="I72" i="6" s="1"/>
  <c r="J70" i="6"/>
  <c r="J72" i="6" s="1"/>
  <c r="Q69" i="6"/>
  <c r="K70" i="6"/>
  <c r="K72" i="6" s="1"/>
  <c r="R69" i="6"/>
  <c r="L70" i="6"/>
  <c r="L72" i="6" s="1"/>
  <c r="K69" i="6"/>
  <c r="L69" i="6"/>
  <c r="H12" i="5" l="1"/>
  <c r="H11" i="5"/>
  <c r="G12" i="5"/>
  <c r="G11" i="5"/>
  <c r="R223" i="3" l="1"/>
  <c r="Q223" i="3"/>
  <c r="P223" i="3"/>
  <c r="O223" i="3"/>
  <c r="N223" i="3"/>
  <c r="M223" i="3"/>
  <c r="L223" i="3"/>
  <c r="K223" i="3"/>
  <c r="J223" i="3"/>
  <c r="I223" i="3"/>
  <c r="H223" i="3"/>
  <c r="G223" i="3"/>
  <c r="F223" i="3"/>
  <c r="E223" i="3"/>
  <c r="D223" i="3"/>
  <c r="C223" i="3"/>
  <c r="R214" i="3"/>
  <c r="R216" i="3" s="1"/>
  <c r="R218" i="3" s="1"/>
  <c r="Q214" i="3"/>
  <c r="Q216" i="3" s="1"/>
  <c r="Q218" i="3" s="1"/>
  <c r="P214" i="3"/>
  <c r="P216" i="3" s="1"/>
  <c r="P218" i="3" s="1"/>
  <c r="O214" i="3"/>
  <c r="O216" i="3" s="1"/>
  <c r="O218" i="3" s="1"/>
  <c r="N214" i="3"/>
  <c r="N216" i="3" s="1"/>
  <c r="N218" i="3" s="1"/>
  <c r="M214" i="3"/>
  <c r="M216" i="3" s="1"/>
  <c r="M218" i="3" s="1"/>
  <c r="L214" i="3"/>
  <c r="L216" i="3" s="1"/>
  <c r="L218" i="3" s="1"/>
  <c r="K214" i="3"/>
  <c r="K216" i="3" s="1"/>
  <c r="K218" i="3" s="1"/>
  <c r="J214" i="3"/>
  <c r="J216" i="3" s="1"/>
  <c r="J218" i="3" s="1"/>
  <c r="I214" i="3"/>
  <c r="I216" i="3" s="1"/>
  <c r="I218" i="3" s="1"/>
  <c r="H214" i="3"/>
  <c r="H216" i="3" s="1"/>
  <c r="H218" i="3" s="1"/>
  <c r="G214" i="3"/>
  <c r="G216" i="3" s="1"/>
  <c r="G218" i="3" s="1"/>
  <c r="F214" i="3"/>
  <c r="F216" i="3" s="1"/>
  <c r="F218" i="3" s="1"/>
  <c r="E214" i="3"/>
  <c r="E216" i="3" s="1"/>
  <c r="E218" i="3" s="1"/>
  <c r="D214" i="3"/>
  <c r="D216" i="3" s="1"/>
  <c r="D218" i="3" s="1"/>
  <c r="C214" i="3"/>
  <c r="C216" i="3" s="1"/>
  <c r="C218" i="3" s="1"/>
  <c r="R206" i="3"/>
  <c r="R207" i="3" s="1"/>
  <c r="R209" i="3" s="1"/>
  <c r="R212" i="3" s="1"/>
  <c r="Q206" i="3"/>
  <c r="Q207" i="3" s="1"/>
  <c r="Q209" i="3" s="1"/>
  <c r="Q212" i="3" s="1"/>
  <c r="P206" i="3"/>
  <c r="P207" i="3" s="1"/>
  <c r="P209" i="3" s="1"/>
  <c r="P212" i="3" s="1"/>
  <c r="O206" i="3"/>
  <c r="O207" i="3" s="1"/>
  <c r="O209" i="3" s="1"/>
  <c r="O212" i="3" s="1"/>
  <c r="N206" i="3"/>
  <c r="N207" i="3" s="1"/>
  <c r="N209" i="3" s="1"/>
  <c r="N212" i="3" s="1"/>
  <c r="M206" i="3"/>
  <c r="M207" i="3" s="1"/>
  <c r="M209" i="3" s="1"/>
  <c r="M212" i="3" s="1"/>
  <c r="L206" i="3"/>
  <c r="L207" i="3" s="1"/>
  <c r="L209" i="3" s="1"/>
  <c r="L212" i="3" s="1"/>
  <c r="K206" i="3"/>
  <c r="K207" i="3" s="1"/>
  <c r="K209" i="3" s="1"/>
  <c r="K212" i="3" s="1"/>
  <c r="J206" i="3"/>
  <c r="J207" i="3" s="1"/>
  <c r="J209" i="3" s="1"/>
  <c r="J212" i="3" s="1"/>
  <c r="I206" i="3"/>
  <c r="I207" i="3" s="1"/>
  <c r="I209" i="3" s="1"/>
  <c r="I212" i="3" s="1"/>
  <c r="H206" i="3"/>
  <c r="H207" i="3" s="1"/>
  <c r="H209" i="3" s="1"/>
  <c r="H212" i="3" s="1"/>
  <c r="G206" i="3"/>
  <c r="G207" i="3" s="1"/>
  <c r="G209" i="3" s="1"/>
  <c r="G212" i="3" s="1"/>
  <c r="F206" i="3"/>
  <c r="F207" i="3" s="1"/>
  <c r="F209" i="3" s="1"/>
  <c r="F212" i="3" s="1"/>
  <c r="E206" i="3"/>
  <c r="E207" i="3" s="1"/>
  <c r="E209" i="3" s="1"/>
  <c r="E212" i="3" s="1"/>
  <c r="D206" i="3"/>
  <c r="D207" i="3" s="1"/>
  <c r="D209" i="3" s="1"/>
  <c r="D212" i="3" s="1"/>
  <c r="C206" i="3"/>
  <c r="C207" i="3" s="1"/>
  <c r="C209" i="3" s="1"/>
  <c r="C212" i="3" s="1"/>
  <c r="R195" i="3"/>
  <c r="R198" i="3" s="1"/>
  <c r="Q195" i="3"/>
  <c r="Q198" i="3" s="1"/>
  <c r="P195" i="3"/>
  <c r="P198" i="3" s="1"/>
  <c r="O195" i="3"/>
  <c r="O198" i="3" s="1"/>
  <c r="N195" i="3"/>
  <c r="N198" i="3" s="1"/>
  <c r="M195" i="3"/>
  <c r="M198" i="3" s="1"/>
  <c r="L195" i="3"/>
  <c r="L198" i="3" s="1"/>
  <c r="K195" i="3"/>
  <c r="K198" i="3" s="1"/>
  <c r="J195" i="3"/>
  <c r="J198" i="3" s="1"/>
  <c r="I195" i="3"/>
  <c r="I198" i="3" s="1"/>
  <c r="H195" i="3"/>
  <c r="H198" i="3" s="1"/>
  <c r="G195" i="3"/>
  <c r="G198" i="3" s="1"/>
  <c r="F195" i="3"/>
  <c r="F198" i="3" s="1"/>
  <c r="E195" i="3"/>
  <c r="E198" i="3" s="1"/>
  <c r="D195" i="3"/>
  <c r="D198" i="3" s="1"/>
  <c r="C195" i="3"/>
  <c r="C198" i="3" s="1"/>
  <c r="R187" i="3"/>
  <c r="R190" i="3" s="1"/>
  <c r="Q187" i="3"/>
  <c r="Q190" i="3" s="1"/>
  <c r="P187" i="3"/>
  <c r="P190" i="3" s="1"/>
  <c r="O187" i="3"/>
  <c r="O190" i="3" s="1"/>
  <c r="N187" i="3"/>
  <c r="N190" i="3" s="1"/>
  <c r="M187" i="3"/>
  <c r="M190" i="3" s="1"/>
  <c r="L187" i="3"/>
  <c r="L190" i="3" s="1"/>
  <c r="K187" i="3"/>
  <c r="K190" i="3" s="1"/>
  <c r="J187" i="3"/>
  <c r="J190" i="3" s="1"/>
  <c r="I187" i="3"/>
  <c r="I190" i="3" s="1"/>
  <c r="H187" i="3"/>
  <c r="H190" i="3" s="1"/>
  <c r="G187" i="3"/>
  <c r="G190" i="3" s="1"/>
  <c r="F187" i="3"/>
  <c r="F190" i="3" s="1"/>
  <c r="E187" i="3"/>
  <c r="E190" i="3" s="1"/>
  <c r="D187" i="3"/>
  <c r="D190" i="3" s="1"/>
  <c r="C187" i="3"/>
  <c r="C190" i="3" s="1"/>
  <c r="R179" i="3"/>
  <c r="R182" i="3" s="1"/>
  <c r="Q179" i="3"/>
  <c r="Q182" i="3" s="1"/>
  <c r="P179" i="3"/>
  <c r="P182" i="3" s="1"/>
  <c r="O179" i="3"/>
  <c r="O182" i="3" s="1"/>
  <c r="N179" i="3"/>
  <c r="N182" i="3" s="1"/>
  <c r="M179" i="3"/>
  <c r="M182" i="3" s="1"/>
  <c r="L179" i="3"/>
  <c r="L182" i="3" s="1"/>
  <c r="K179" i="3"/>
  <c r="K182" i="3" s="1"/>
  <c r="J179" i="3"/>
  <c r="J182" i="3" s="1"/>
  <c r="I179" i="3"/>
  <c r="I182" i="3" s="1"/>
  <c r="H179" i="3"/>
  <c r="H182" i="3" s="1"/>
  <c r="G179" i="3"/>
  <c r="G182" i="3" s="1"/>
  <c r="F179" i="3"/>
  <c r="F182" i="3" s="1"/>
  <c r="E179" i="3"/>
  <c r="E182" i="3" s="1"/>
  <c r="D179" i="3"/>
  <c r="D182" i="3" s="1"/>
  <c r="C179" i="3"/>
  <c r="C182" i="3" s="1"/>
  <c r="R171" i="3"/>
  <c r="R174" i="3" s="1"/>
  <c r="Q171" i="3"/>
  <c r="Q174" i="3" s="1"/>
  <c r="P171" i="3"/>
  <c r="P174" i="3" s="1"/>
  <c r="O171" i="3"/>
  <c r="O174" i="3" s="1"/>
  <c r="N171" i="3"/>
  <c r="N174" i="3" s="1"/>
  <c r="M171" i="3"/>
  <c r="M174" i="3" s="1"/>
  <c r="L171" i="3"/>
  <c r="L174" i="3" s="1"/>
  <c r="K171" i="3"/>
  <c r="K174" i="3" s="1"/>
  <c r="J171" i="3"/>
  <c r="J174" i="3" s="1"/>
  <c r="I171" i="3"/>
  <c r="I174" i="3" s="1"/>
  <c r="H171" i="3"/>
  <c r="H174" i="3" s="1"/>
  <c r="G171" i="3"/>
  <c r="G174" i="3" s="1"/>
  <c r="F171" i="3"/>
  <c r="F174" i="3" s="1"/>
  <c r="E171" i="3"/>
  <c r="E174" i="3" s="1"/>
  <c r="D171" i="3"/>
  <c r="D174" i="3" s="1"/>
  <c r="C171" i="3"/>
  <c r="C174" i="3" s="1"/>
  <c r="R158" i="3"/>
  <c r="Q158" i="3"/>
  <c r="P158" i="3"/>
  <c r="O158" i="3"/>
  <c r="N158" i="3"/>
  <c r="M158" i="3"/>
  <c r="L158" i="3"/>
  <c r="K158" i="3"/>
  <c r="J158" i="3"/>
  <c r="I158" i="3"/>
  <c r="H158" i="3"/>
  <c r="G158" i="3"/>
  <c r="F158" i="3"/>
  <c r="E158" i="3"/>
  <c r="D158" i="3"/>
  <c r="C158" i="3"/>
  <c r="R144" i="3"/>
  <c r="R147" i="3" s="1"/>
  <c r="Q144" i="3"/>
  <c r="Q147" i="3" s="1"/>
  <c r="P144" i="3"/>
  <c r="P147" i="3" s="1"/>
  <c r="O144" i="3"/>
  <c r="O147" i="3" s="1"/>
  <c r="N144" i="3"/>
  <c r="N147" i="3" s="1"/>
  <c r="M144" i="3"/>
  <c r="M147" i="3" s="1"/>
  <c r="L144" i="3"/>
  <c r="L147" i="3" s="1"/>
  <c r="K144" i="3"/>
  <c r="K147" i="3" s="1"/>
  <c r="J144" i="3"/>
  <c r="J147" i="3" s="1"/>
  <c r="I144" i="3"/>
  <c r="I147" i="3" s="1"/>
  <c r="H144" i="3"/>
  <c r="H147" i="3" s="1"/>
  <c r="G144" i="3"/>
  <c r="G147" i="3" s="1"/>
  <c r="F144" i="3"/>
  <c r="F147" i="3" s="1"/>
  <c r="E144" i="3"/>
  <c r="E147" i="3" s="1"/>
  <c r="D144" i="3"/>
  <c r="D147" i="3" s="1"/>
  <c r="C144" i="3"/>
  <c r="C147" i="3" s="1"/>
  <c r="P137" i="3"/>
  <c r="P140" i="3" s="1"/>
  <c r="O137" i="3"/>
  <c r="O140" i="3" s="1"/>
  <c r="K137" i="3"/>
  <c r="K140" i="3" s="1"/>
  <c r="J137" i="3"/>
  <c r="J140" i="3" s="1"/>
  <c r="I137" i="3"/>
  <c r="I140" i="3" s="1"/>
  <c r="H137" i="3"/>
  <c r="H140" i="3" s="1"/>
  <c r="D137" i="3"/>
  <c r="D140" i="3" s="1"/>
  <c r="C137" i="3"/>
  <c r="C140" i="3" s="1"/>
  <c r="R137" i="3"/>
  <c r="R140" i="3" s="1"/>
  <c r="Q137" i="3"/>
  <c r="Q140" i="3" s="1"/>
  <c r="N137" i="3"/>
  <c r="N140" i="3" s="1"/>
  <c r="M137" i="3"/>
  <c r="M140" i="3" s="1"/>
  <c r="L137" i="3"/>
  <c r="L140" i="3" s="1"/>
  <c r="G137" i="3"/>
  <c r="G140" i="3" s="1"/>
  <c r="F137" i="3"/>
  <c r="F140" i="3" s="1"/>
  <c r="E137" i="3"/>
  <c r="E140" i="3" s="1"/>
  <c r="R129" i="3"/>
  <c r="R132" i="3" s="1"/>
  <c r="Q129" i="3"/>
  <c r="Q132" i="3" s="1"/>
  <c r="P129" i="3"/>
  <c r="P132" i="3" s="1"/>
  <c r="O129" i="3"/>
  <c r="O132" i="3" s="1"/>
  <c r="N129" i="3"/>
  <c r="N132" i="3" s="1"/>
  <c r="M129" i="3"/>
  <c r="M132" i="3" s="1"/>
  <c r="L129" i="3"/>
  <c r="L132" i="3" s="1"/>
  <c r="K129" i="3"/>
  <c r="K132" i="3" s="1"/>
  <c r="J129" i="3"/>
  <c r="J132" i="3" s="1"/>
  <c r="I129" i="3"/>
  <c r="I132" i="3" s="1"/>
  <c r="H129" i="3"/>
  <c r="H132" i="3" s="1"/>
  <c r="G129" i="3"/>
  <c r="G132" i="3" s="1"/>
  <c r="F129" i="3"/>
  <c r="F132" i="3" s="1"/>
  <c r="E129" i="3"/>
  <c r="E132" i="3" s="1"/>
  <c r="D129" i="3"/>
  <c r="D132" i="3" s="1"/>
  <c r="C129" i="3"/>
  <c r="C132" i="3" s="1"/>
  <c r="R351" i="3"/>
  <c r="Q351" i="3"/>
  <c r="P351" i="3"/>
  <c r="O351" i="3"/>
  <c r="N351" i="3"/>
  <c r="M351" i="3"/>
  <c r="L351" i="3"/>
  <c r="K351" i="3"/>
  <c r="J351" i="3"/>
  <c r="I351" i="3"/>
  <c r="H351" i="3"/>
  <c r="G351" i="3"/>
  <c r="F351" i="3"/>
  <c r="E351" i="3"/>
  <c r="D351" i="3"/>
  <c r="C351" i="3"/>
  <c r="R324" i="3"/>
  <c r="R327" i="3" s="1"/>
  <c r="Q324" i="3"/>
  <c r="Q327" i="3" s="1"/>
  <c r="P324" i="3"/>
  <c r="P327" i="3" s="1"/>
  <c r="O324" i="3"/>
  <c r="O327" i="3" s="1"/>
  <c r="N324" i="3"/>
  <c r="N327" i="3" s="1"/>
  <c r="M324" i="3"/>
  <c r="M327" i="3" s="1"/>
  <c r="L324" i="3"/>
  <c r="L327" i="3" s="1"/>
  <c r="K324" i="3"/>
  <c r="K327" i="3" s="1"/>
  <c r="J324" i="3"/>
  <c r="J327" i="3" s="1"/>
  <c r="I324" i="3"/>
  <c r="I327" i="3" s="1"/>
  <c r="H324" i="3"/>
  <c r="H327" i="3" s="1"/>
  <c r="G324" i="3"/>
  <c r="G327" i="3" s="1"/>
  <c r="F324" i="3"/>
  <c r="F327" i="3" s="1"/>
  <c r="E324" i="3"/>
  <c r="E327" i="3" s="1"/>
  <c r="D324" i="3"/>
  <c r="D327" i="3" s="1"/>
  <c r="C324" i="3"/>
  <c r="C327" i="3" s="1"/>
  <c r="R316" i="3"/>
  <c r="R319" i="3" s="1"/>
  <c r="Q316" i="3"/>
  <c r="Q319" i="3" s="1"/>
  <c r="P316" i="3"/>
  <c r="P319" i="3" s="1"/>
  <c r="O316" i="3"/>
  <c r="O319" i="3" s="1"/>
  <c r="N316" i="3"/>
  <c r="N319" i="3" s="1"/>
  <c r="M316" i="3"/>
  <c r="M319" i="3" s="1"/>
  <c r="L316" i="3"/>
  <c r="L319" i="3" s="1"/>
  <c r="K316" i="3"/>
  <c r="K319" i="3" s="1"/>
  <c r="J316" i="3"/>
  <c r="J319" i="3" s="1"/>
  <c r="I316" i="3"/>
  <c r="I319" i="3" s="1"/>
  <c r="H316" i="3"/>
  <c r="H319" i="3" s="1"/>
  <c r="G316" i="3"/>
  <c r="G319" i="3" s="1"/>
  <c r="F316" i="3"/>
  <c r="F319" i="3" s="1"/>
  <c r="E316" i="3"/>
  <c r="E319" i="3" s="1"/>
  <c r="D316" i="3"/>
  <c r="D319" i="3" s="1"/>
  <c r="C316" i="3"/>
  <c r="C319" i="3" s="1"/>
  <c r="R308" i="3"/>
  <c r="R311" i="3" s="1"/>
  <c r="Q308" i="3"/>
  <c r="Q311" i="3" s="1"/>
  <c r="P308" i="3"/>
  <c r="P311" i="3" s="1"/>
  <c r="O308" i="3"/>
  <c r="O311" i="3" s="1"/>
  <c r="N308" i="3"/>
  <c r="N311" i="3" s="1"/>
  <c r="M308" i="3"/>
  <c r="M311" i="3" s="1"/>
  <c r="L308" i="3"/>
  <c r="L311" i="3" s="1"/>
  <c r="K308" i="3"/>
  <c r="K311" i="3" s="1"/>
  <c r="J308" i="3"/>
  <c r="J311" i="3" s="1"/>
  <c r="I308" i="3"/>
  <c r="I311" i="3" s="1"/>
  <c r="H308" i="3"/>
  <c r="H311" i="3" s="1"/>
  <c r="G308" i="3"/>
  <c r="G311" i="3" s="1"/>
  <c r="F308" i="3"/>
  <c r="F311" i="3" s="1"/>
  <c r="E308" i="3"/>
  <c r="E311" i="3" s="1"/>
  <c r="D308" i="3"/>
  <c r="D311" i="3" s="1"/>
  <c r="C308" i="3"/>
  <c r="C311" i="3" s="1"/>
  <c r="G300" i="3"/>
  <c r="G303" i="3" s="1"/>
  <c r="R334" i="3"/>
  <c r="R335" i="3" s="1"/>
  <c r="R337" i="3" s="1"/>
  <c r="R340" i="3" s="1"/>
  <c r="Q342" i="3"/>
  <c r="P342" i="3"/>
  <c r="O342" i="3"/>
  <c r="J334" i="3"/>
  <c r="J335" i="3" s="1"/>
  <c r="J337" i="3" s="1"/>
  <c r="J340" i="3" s="1"/>
  <c r="I334" i="3"/>
  <c r="I335" i="3" s="1"/>
  <c r="I337" i="3" s="1"/>
  <c r="I340" i="3" s="1"/>
  <c r="H334" i="3"/>
  <c r="H335" i="3" s="1"/>
  <c r="H337" i="3" s="1"/>
  <c r="H340" i="3" s="1"/>
  <c r="G334" i="3"/>
  <c r="G335" i="3" s="1"/>
  <c r="G337" i="3" s="1"/>
  <c r="G340" i="3" s="1"/>
  <c r="F334" i="3"/>
  <c r="F335" i="3" s="1"/>
  <c r="F337" i="3" s="1"/>
  <c r="F340" i="3" s="1"/>
  <c r="E342" i="3"/>
  <c r="D342" i="3"/>
  <c r="C342" i="3"/>
  <c r="R245" i="3"/>
  <c r="R248" i="3" s="1"/>
  <c r="Q245" i="3"/>
  <c r="Q248" i="3" s="1"/>
  <c r="P245" i="3"/>
  <c r="P248" i="3" s="1"/>
  <c r="O245" i="3"/>
  <c r="O248" i="3" s="1"/>
  <c r="N245" i="3"/>
  <c r="N248" i="3" s="1"/>
  <c r="M245" i="3"/>
  <c r="M248" i="3" s="1"/>
  <c r="L245" i="3"/>
  <c r="L248" i="3" s="1"/>
  <c r="K245" i="3"/>
  <c r="K248" i="3" s="1"/>
  <c r="J245" i="3"/>
  <c r="J248" i="3" s="1"/>
  <c r="I245" i="3"/>
  <c r="I248" i="3" s="1"/>
  <c r="H245" i="3"/>
  <c r="H248" i="3" s="1"/>
  <c r="G245" i="3"/>
  <c r="G248" i="3" s="1"/>
  <c r="F245" i="3"/>
  <c r="F248" i="3" s="1"/>
  <c r="E245" i="3"/>
  <c r="E248" i="3" s="1"/>
  <c r="D245" i="3"/>
  <c r="D248" i="3" s="1"/>
  <c r="C245" i="3"/>
  <c r="C248" i="3" s="1"/>
  <c r="Q67" i="3"/>
  <c r="Q70" i="3" s="1"/>
  <c r="P67" i="3"/>
  <c r="P70" i="3" s="1"/>
  <c r="K67" i="3"/>
  <c r="K70" i="3" s="1"/>
  <c r="J67" i="3"/>
  <c r="J70" i="3" s="1"/>
  <c r="I67" i="3"/>
  <c r="I70" i="3" s="1"/>
  <c r="E67" i="3"/>
  <c r="E70" i="3" s="1"/>
  <c r="D67" i="3"/>
  <c r="D70" i="3" s="1"/>
  <c r="C67" i="3"/>
  <c r="C70" i="3" s="1"/>
  <c r="R67" i="3"/>
  <c r="R70" i="3" s="1"/>
  <c r="O67" i="3"/>
  <c r="O70" i="3" s="1"/>
  <c r="N67" i="3"/>
  <c r="N70" i="3" s="1"/>
  <c r="M67" i="3"/>
  <c r="M70" i="3" s="1"/>
  <c r="L67" i="3"/>
  <c r="L70" i="3" s="1"/>
  <c r="H67" i="3"/>
  <c r="H70" i="3" s="1"/>
  <c r="G67" i="3"/>
  <c r="G70" i="3" s="1"/>
  <c r="F67" i="3"/>
  <c r="F70" i="3" s="1"/>
  <c r="F102" i="3"/>
  <c r="F104" i="3" s="1"/>
  <c r="F106" i="3" s="1"/>
  <c r="G102" i="3"/>
  <c r="G104" i="3" s="1"/>
  <c r="G106" i="3" s="1"/>
  <c r="I94" i="3"/>
  <c r="I95" i="3" s="1"/>
  <c r="I97" i="3" s="1"/>
  <c r="I100" i="3" s="1"/>
  <c r="K102" i="3"/>
  <c r="K104" i="3" s="1"/>
  <c r="K106" i="3" s="1"/>
  <c r="M94" i="3"/>
  <c r="M95" i="3" s="1"/>
  <c r="M97" i="3" s="1"/>
  <c r="M100" i="3" s="1"/>
  <c r="N102" i="3"/>
  <c r="N104" i="3" s="1"/>
  <c r="N106" i="3" s="1"/>
  <c r="R102" i="3"/>
  <c r="R104" i="3" s="1"/>
  <c r="R106" i="3" s="1"/>
  <c r="J59" i="3"/>
  <c r="J62" i="3" s="1"/>
  <c r="R111" i="3"/>
  <c r="Q111" i="3"/>
  <c r="P111" i="3"/>
  <c r="O111" i="3"/>
  <c r="N111" i="3"/>
  <c r="M111" i="3"/>
  <c r="L111" i="3"/>
  <c r="K111" i="3"/>
  <c r="J111" i="3"/>
  <c r="I111" i="3"/>
  <c r="H111" i="3"/>
  <c r="G111" i="3"/>
  <c r="F111" i="3"/>
  <c r="E111" i="3"/>
  <c r="D111" i="3"/>
  <c r="C111" i="3"/>
  <c r="R110" i="3"/>
  <c r="Q110" i="3"/>
  <c r="P110" i="3"/>
  <c r="O110" i="3"/>
  <c r="N110" i="3"/>
  <c r="M110" i="3"/>
  <c r="L110" i="3"/>
  <c r="K110" i="3"/>
  <c r="J110" i="3"/>
  <c r="I110" i="3"/>
  <c r="H110" i="3"/>
  <c r="G110" i="3"/>
  <c r="F110" i="3"/>
  <c r="E110" i="3"/>
  <c r="D110" i="3"/>
  <c r="C110" i="3"/>
  <c r="J102" i="3"/>
  <c r="J104" i="3" s="1"/>
  <c r="J106" i="3" s="1"/>
  <c r="R83" i="3"/>
  <c r="R86" i="3" s="1"/>
  <c r="Q83" i="3"/>
  <c r="Q86" i="3" s="1"/>
  <c r="P83" i="3"/>
  <c r="P86" i="3" s="1"/>
  <c r="O83" i="3"/>
  <c r="O86" i="3" s="1"/>
  <c r="N83" i="3"/>
  <c r="N86" i="3" s="1"/>
  <c r="M83" i="3"/>
  <c r="M86" i="3" s="1"/>
  <c r="L83" i="3"/>
  <c r="L86" i="3" s="1"/>
  <c r="K83" i="3"/>
  <c r="K86" i="3" s="1"/>
  <c r="J83" i="3"/>
  <c r="J86" i="3" s="1"/>
  <c r="I83" i="3"/>
  <c r="I86" i="3" s="1"/>
  <c r="H83" i="3"/>
  <c r="H86" i="3" s="1"/>
  <c r="G83" i="3"/>
  <c r="G86" i="3" s="1"/>
  <c r="F83" i="3"/>
  <c r="F86" i="3" s="1"/>
  <c r="E83" i="3"/>
  <c r="E86" i="3" s="1"/>
  <c r="D83" i="3"/>
  <c r="D86" i="3" s="1"/>
  <c r="C83" i="3"/>
  <c r="C86" i="3" s="1"/>
  <c r="R75" i="3"/>
  <c r="R78" i="3" s="1"/>
  <c r="Q75" i="3"/>
  <c r="Q78" i="3" s="1"/>
  <c r="P75" i="3"/>
  <c r="P78" i="3" s="1"/>
  <c r="O75" i="3"/>
  <c r="O78" i="3" s="1"/>
  <c r="N75" i="3"/>
  <c r="N78" i="3" s="1"/>
  <c r="M75" i="3"/>
  <c r="M78" i="3" s="1"/>
  <c r="L75" i="3"/>
  <c r="L78" i="3" s="1"/>
  <c r="K75" i="3"/>
  <c r="K78" i="3" s="1"/>
  <c r="J75" i="3"/>
  <c r="J78" i="3" s="1"/>
  <c r="I75" i="3"/>
  <c r="I78" i="3" s="1"/>
  <c r="H75" i="3"/>
  <c r="H78" i="3" s="1"/>
  <c r="G75" i="3"/>
  <c r="G78" i="3" s="1"/>
  <c r="F75" i="3"/>
  <c r="F78" i="3" s="1"/>
  <c r="E75" i="3"/>
  <c r="E78" i="3" s="1"/>
  <c r="D75" i="3"/>
  <c r="D78" i="3" s="1"/>
  <c r="C75" i="3"/>
  <c r="C78" i="3" s="1"/>
  <c r="Q102" i="3"/>
  <c r="Q104" i="3" s="1"/>
  <c r="Q106" i="3" s="1"/>
  <c r="P94" i="3"/>
  <c r="P95" i="3" s="1"/>
  <c r="P97" i="3" s="1"/>
  <c r="P100" i="3" s="1"/>
  <c r="O102" i="3"/>
  <c r="O104" i="3" s="1"/>
  <c r="O106" i="3" s="1"/>
  <c r="M102" i="3"/>
  <c r="M104" i="3" s="1"/>
  <c r="M106" i="3" s="1"/>
  <c r="L102" i="3"/>
  <c r="L104" i="3" s="1"/>
  <c r="L106" i="3" s="1"/>
  <c r="J94" i="3"/>
  <c r="J95" i="3" s="1"/>
  <c r="J97" i="3" s="1"/>
  <c r="J100" i="3" s="1"/>
  <c r="I102" i="3"/>
  <c r="I104" i="3" s="1"/>
  <c r="I106" i="3" s="1"/>
  <c r="H94" i="3"/>
  <c r="H95" i="3" s="1"/>
  <c r="H97" i="3" s="1"/>
  <c r="H100" i="3" s="1"/>
  <c r="E102" i="3"/>
  <c r="E104" i="3" s="1"/>
  <c r="E106" i="3" s="1"/>
  <c r="D94" i="3"/>
  <c r="D95" i="3" s="1"/>
  <c r="D97" i="3" s="1"/>
  <c r="D100" i="3" s="1"/>
  <c r="C102" i="3"/>
  <c r="C104" i="3" s="1"/>
  <c r="C106" i="3" s="1"/>
  <c r="R17" i="3"/>
  <c r="R20" i="3" s="1"/>
  <c r="Q17" i="3"/>
  <c r="Q20" i="3" s="1"/>
  <c r="P17" i="3"/>
  <c r="P20" i="3" s="1"/>
  <c r="O17" i="3"/>
  <c r="O20" i="3" s="1"/>
  <c r="N17" i="3"/>
  <c r="N20" i="3" s="1"/>
  <c r="M17" i="3"/>
  <c r="M20" i="3" s="1"/>
  <c r="L17" i="3"/>
  <c r="L20" i="3" s="1"/>
  <c r="K17" i="3"/>
  <c r="K20" i="3" s="1"/>
  <c r="J17" i="3"/>
  <c r="J20" i="3" s="1"/>
  <c r="I17" i="3"/>
  <c r="I20" i="3" s="1"/>
  <c r="H17" i="3"/>
  <c r="H20" i="3" s="1"/>
  <c r="G17" i="3"/>
  <c r="G20" i="3" s="1"/>
  <c r="F17" i="3"/>
  <c r="F20" i="3" s="1"/>
  <c r="E17" i="3"/>
  <c r="E20" i="3" s="1"/>
  <c r="D17" i="3"/>
  <c r="D20" i="3" s="1"/>
  <c r="C17" i="3"/>
  <c r="C20" i="3" s="1"/>
  <c r="R23" i="3"/>
  <c r="R25" i="3" s="1"/>
  <c r="R28" i="3" s="1"/>
  <c r="Q23" i="3"/>
  <c r="Q25" i="3" s="1"/>
  <c r="Q28" i="3" s="1"/>
  <c r="P23" i="3"/>
  <c r="P25" i="3" s="1"/>
  <c r="P28" i="3" s="1"/>
  <c r="O23" i="3"/>
  <c r="O25" i="3" s="1"/>
  <c r="O28" i="3" s="1"/>
  <c r="N23" i="3"/>
  <c r="N25" i="3" s="1"/>
  <c r="N28" i="3" s="1"/>
  <c r="M23" i="3"/>
  <c r="M25" i="3" s="1"/>
  <c r="M28" i="3" s="1"/>
  <c r="L23" i="3"/>
  <c r="L25" i="3" s="1"/>
  <c r="L28" i="3" s="1"/>
  <c r="K23" i="3"/>
  <c r="K25" i="3" s="1"/>
  <c r="K28" i="3" s="1"/>
  <c r="J23" i="3"/>
  <c r="J25" i="3" s="1"/>
  <c r="J28" i="3" s="1"/>
  <c r="I23" i="3"/>
  <c r="I25" i="3" s="1"/>
  <c r="I28" i="3" s="1"/>
  <c r="H23" i="3"/>
  <c r="H25" i="3" s="1"/>
  <c r="H28" i="3" s="1"/>
  <c r="G23" i="3"/>
  <c r="G25" i="3" s="1"/>
  <c r="G28" i="3" s="1"/>
  <c r="F23" i="3"/>
  <c r="F25" i="3" s="1"/>
  <c r="F28" i="3" s="1"/>
  <c r="E23" i="3"/>
  <c r="E25" i="3" s="1"/>
  <c r="E28" i="3" s="1"/>
  <c r="D23" i="3"/>
  <c r="D25" i="3" s="1"/>
  <c r="D28" i="3" s="1"/>
  <c r="C23" i="3"/>
  <c r="C25" i="3" s="1"/>
  <c r="C28" i="3" s="1"/>
  <c r="R253" i="3"/>
  <c r="R256" i="3" s="1"/>
  <c r="Q253" i="3"/>
  <c r="Q256" i="3" s="1"/>
  <c r="P253" i="3"/>
  <c r="P256" i="3" s="1"/>
  <c r="O253" i="3"/>
  <c r="O256" i="3" s="1"/>
  <c r="N253" i="3"/>
  <c r="N256" i="3" s="1"/>
  <c r="M253" i="3"/>
  <c r="M256" i="3" s="1"/>
  <c r="L253" i="3"/>
  <c r="L256" i="3" s="1"/>
  <c r="K253" i="3"/>
  <c r="K256" i="3" s="1"/>
  <c r="J253" i="3"/>
  <c r="J256" i="3" s="1"/>
  <c r="I253" i="3"/>
  <c r="I256" i="3" s="1"/>
  <c r="H253" i="3"/>
  <c r="H256" i="3" s="1"/>
  <c r="G253" i="3"/>
  <c r="G256" i="3" s="1"/>
  <c r="F253" i="3"/>
  <c r="F256" i="3" s="1"/>
  <c r="E253" i="3"/>
  <c r="E256" i="3" s="1"/>
  <c r="D253" i="3"/>
  <c r="D256" i="3" s="1"/>
  <c r="C253" i="3"/>
  <c r="C256" i="3" s="1"/>
  <c r="D13" i="1"/>
  <c r="F13" i="1" s="1"/>
  <c r="D12" i="1"/>
  <c r="F12" i="1" s="1"/>
  <c r="D11" i="1"/>
  <c r="F11" i="1" s="1"/>
  <c r="D10" i="1"/>
  <c r="F10" i="1" s="1"/>
  <c r="D9" i="1"/>
  <c r="F9" i="1" s="1"/>
  <c r="D8" i="1"/>
  <c r="F8" i="1" s="1"/>
  <c r="P159" i="3" l="1"/>
  <c r="D159" i="3"/>
  <c r="H159" i="3"/>
  <c r="K159" i="3"/>
  <c r="L159" i="3"/>
  <c r="M159" i="3"/>
  <c r="I159" i="3"/>
  <c r="J159" i="3"/>
  <c r="E159" i="3"/>
  <c r="Q159" i="3"/>
  <c r="F159" i="3"/>
  <c r="R159" i="3"/>
  <c r="N159" i="3"/>
  <c r="C159" i="3"/>
  <c r="O159" i="3"/>
  <c r="G159" i="3"/>
  <c r="R300" i="3"/>
  <c r="R303" i="3" s="1"/>
  <c r="F342" i="3"/>
  <c r="F119" i="3" s="1"/>
  <c r="F122" i="3" s="1"/>
  <c r="K342" i="3"/>
  <c r="K119" i="3" s="1"/>
  <c r="K122" i="3" s="1"/>
  <c r="D300" i="3"/>
  <c r="D303" i="3" s="1"/>
  <c r="R342" i="3"/>
  <c r="R119" i="3" s="1"/>
  <c r="R122" i="3" s="1"/>
  <c r="E300" i="3"/>
  <c r="E303" i="3" s="1"/>
  <c r="F300" i="3"/>
  <c r="F303" i="3" s="1"/>
  <c r="G220" i="3"/>
  <c r="G225" i="3" s="1"/>
  <c r="I75" i="5" s="1"/>
  <c r="K300" i="3"/>
  <c r="K303" i="3" s="1"/>
  <c r="L300" i="3"/>
  <c r="L303" i="3" s="1"/>
  <c r="P300" i="3"/>
  <c r="P303" i="3" s="1"/>
  <c r="Q300" i="3"/>
  <c r="Q303" i="3" s="1"/>
  <c r="K220" i="3"/>
  <c r="K225" i="3" s="1"/>
  <c r="M75" i="5" s="1"/>
  <c r="L220" i="3"/>
  <c r="L225" i="3" s="1"/>
  <c r="N75" i="5" s="1"/>
  <c r="M220" i="3"/>
  <c r="M225" i="3" s="1"/>
  <c r="O75" i="5" s="1"/>
  <c r="N220" i="3"/>
  <c r="N225" i="3" s="1"/>
  <c r="P75" i="5" s="1"/>
  <c r="O119" i="3"/>
  <c r="O344" i="3"/>
  <c r="O346" i="3" s="1"/>
  <c r="D119" i="3"/>
  <c r="D344" i="3"/>
  <c r="D346" i="3" s="1"/>
  <c r="P119" i="3"/>
  <c r="P344" i="3"/>
  <c r="P346" i="3" s="1"/>
  <c r="C119" i="3"/>
  <c r="C344" i="3"/>
  <c r="C346" i="3" s="1"/>
  <c r="E119" i="3"/>
  <c r="E344" i="3"/>
  <c r="E346" i="3" s="1"/>
  <c r="Q119" i="3"/>
  <c r="Q344" i="3"/>
  <c r="Q346" i="3" s="1"/>
  <c r="K334" i="3"/>
  <c r="K335" i="3" s="1"/>
  <c r="K337" i="3" s="1"/>
  <c r="K340" i="3" s="1"/>
  <c r="G342" i="3"/>
  <c r="C220" i="3"/>
  <c r="C225" i="3" s="1"/>
  <c r="E75" i="5" s="1"/>
  <c r="O220" i="3"/>
  <c r="O225" i="3" s="1"/>
  <c r="Q75" i="5" s="1"/>
  <c r="H300" i="3"/>
  <c r="H303" i="3" s="1"/>
  <c r="L334" i="3"/>
  <c r="L335" i="3" s="1"/>
  <c r="L337" i="3" s="1"/>
  <c r="L340" i="3" s="1"/>
  <c r="H342" i="3"/>
  <c r="D220" i="3"/>
  <c r="D225" i="3" s="1"/>
  <c r="F75" i="5" s="1"/>
  <c r="P220" i="3"/>
  <c r="P225" i="3" s="1"/>
  <c r="R75" i="5" s="1"/>
  <c r="O334" i="3"/>
  <c r="O335" i="3" s="1"/>
  <c r="O337" i="3" s="1"/>
  <c r="O340" i="3" s="1"/>
  <c r="I300" i="3"/>
  <c r="I303" i="3" s="1"/>
  <c r="M334" i="3"/>
  <c r="M335" i="3" s="1"/>
  <c r="M337" i="3" s="1"/>
  <c r="M340" i="3" s="1"/>
  <c r="I342" i="3"/>
  <c r="E220" i="3"/>
  <c r="E225" i="3" s="1"/>
  <c r="G75" i="5" s="1"/>
  <c r="Q220" i="3"/>
  <c r="Q225" i="3" s="1"/>
  <c r="S75" i="5" s="1"/>
  <c r="J300" i="3"/>
  <c r="J303" i="3" s="1"/>
  <c r="N334" i="3"/>
  <c r="N335" i="3" s="1"/>
  <c r="N337" i="3" s="1"/>
  <c r="N340" i="3" s="1"/>
  <c r="J342" i="3"/>
  <c r="F220" i="3"/>
  <c r="F225" i="3" s="1"/>
  <c r="H75" i="5" s="1"/>
  <c r="R220" i="3"/>
  <c r="R225" i="3" s="1"/>
  <c r="T75" i="5" s="1"/>
  <c r="D334" i="3"/>
  <c r="D335" i="3" s="1"/>
  <c r="D337" i="3" s="1"/>
  <c r="D340" i="3" s="1"/>
  <c r="P334" i="3"/>
  <c r="P335" i="3" s="1"/>
  <c r="P337" i="3" s="1"/>
  <c r="P340" i="3" s="1"/>
  <c r="L342" i="3"/>
  <c r="H220" i="3"/>
  <c r="H225" i="3" s="1"/>
  <c r="J75" i="5" s="1"/>
  <c r="C334" i="3"/>
  <c r="C335" i="3" s="1"/>
  <c r="C337" i="3" s="1"/>
  <c r="C340" i="3" s="1"/>
  <c r="M300" i="3"/>
  <c r="M303" i="3" s="1"/>
  <c r="E334" i="3"/>
  <c r="E335" i="3" s="1"/>
  <c r="E337" i="3" s="1"/>
  <c r="E340" i="3" s="1"/>
  <c r="Q334" i="3"/>
  <c r="Q335" i="3" s="1"/>
  <c r="Q337" i="3" s="1"/>
  <c r="Q340" i="3" s="1"/>
  <c r="M342" i="3"/>
  <c r="I220" i="3"/>
  <c r="I225" i="3" s="1"/>
  <c r="K75" i="5" s="1"/>
  <c r="N300" i="3"/>
  <c r="N303" i="3" s="1"/>
  <c r="N342" i="3"/>
  <c r="J220" i="3"/>
  <c r="J225" i="3" s="1"/>
  <c r="L75" i="5" s="1"/>
  <c r="C300" i="3"/>
  <c r="C303" i="3" s="1"/>
  <c r="O300" i="3"/>
  <c r="O303" i="3" s="1"/>
  <c r="G94" i="3"/>
  <c r="G95" i="3" s="1"/>
  <c r="G97" i="3" s="1"/>
  <c r="G100" i="3" s="1"/>
  <c r="I59" i="3"/>
  <c r="I62" i="3" s="1"/>
  <c r="N59" i="3"/>
  <c r="N62" i="3" s="1"/>
  <c r="P59" i="3"/>
  <c r="P62" i="3" s="1"/>
  <c r="P102" i="3"/>
  <c r="P104" i="3" s="1"/>
  <c r="P106" i="3" s="1"/>
  <c r="D59" i="3"/>
  <c r="D62" i="3" s="1"/>
  <c r="G59" i="3"/>
  <c r="G62" i="3" s="1"/>
  <c r="H59" i="3"/>
  <c r="H62" i="3" s="1"/>
  <c r="K59" i="3"/>
  <c r="K62" i="3" s="1"/>
  <c r="M59" i="3"/>
  <c r="M62" i="3" s="1"/>
  <c r="D102" i="3"/>
  <c r="D104" i="3" s="1"/>
  <c r="D106" i="3" s="1"/>
  <c r="K94" i="3"/>
  <c r="K95" i="3" s="1"/>
  <c r="K97" i="3" s="1"/>
  <c r="K100" i="3" s="1"/>
  <c r="L59" i="3"/>
  <c r="L62" i="3" s="1"/>
  <c r="L94" i="3"/>
  <c r="L95" i="3" s="1"/>
  <c r="L97" i="3" s="1"/>
  <c r="L100" i="3" s="1"/>
  <c r="H102" i="3"/>
  <c r="H104" i="3" s="1"/>
  <c r="H106" i="3" s="1"/>
  <c r="N94" i="3"/>
  <c r="N95" i="3" s="1"/>
  <c r="N97" i="3" s="1"/>
  <c r="N100" i="3" s="1"/>
  <c r="C59" i="3"/>
  <c r="C62" i="3" s="1"/>
  <c r="O59" i="3"/>
  <c r="O62" i="3" s="1"/>
  <c r="C94" i="3"/>
  <c r="C95" i="3" s="1"/>
  <c r="C97" i="3" s="1"/>
  <c r="C100" i="3" s="1"/>
  <c r="O94" i="3"/>
  <c r="O95" i="3" s="1"/>
  <c r="O97" i="3" s="1"/>
  <c r="O100" i="3" s="1"/>
  <c r="E59" i="3"/>
  <c r="E62" i="3" s="1"/>
  <c r="Q59" i="3"/>
  <c r="Q62" i="3" s="1"/>
  <c r="E94" i="3"/>
  <c r="E95" i="3" s="1"/>
  <c r="E97" i="3" s="1"/>
  <c r="E100" i="3" s="1"/>
  <c r="Q94" i="3"/>
  <c r="Q95" i="3" s="1"/>
  <c r="Q97" i="3" s="1"/>
  <c r="Q100" i="3" s="1"/>
  <c r="F59" i="3"/>
  <c r="F62" i="3" s="1"/>
  <c r="R59" i="3"/>
  <c r="R62" i="3" s="1"/>
  <c r="F94" i="3"/>
  <c r="F95" i="3" s="1"/>
  <c r="F97" i="3" s="1"/>
  <c r="F100" i="3" s="1"/>
  <c r="R94" i="3"/>
  <c r="R95" i="3" s="1"/>
  <c r="R97" i="3" s="1"/>
  <c r="R100" i="3" s="1"/>
  <c r="R121" i="3" l="1"/>
  <c r="R124" i="3" s="1"/>
  <c r="F121" i="3"/>
  <c r="F124" i="3" s="1"/>
  <c r="R344" i="3"/>
  <c r="R346" i="3" s="1"/>
  <c r="K344" i="3"/>
  <c r="K346" i="3" s="1"/>
  <c r="F344" i="3"/>
  <c r="F346" i="3" s="1"/>
  <c r="K121" i="3"/>
  <c r="K124" i="3" s="1"/>
  <c r="H119" i="3"/>
  <c r="H344" i="3"/>
  <c r="H346" i="3" s="1"/>
  <c r="I119" i="3"/>
  <c r="I344" i="3"/>
  <c r="I346" i="3" s="1"/>
  <c r="G344" i="3"/>
  <c r="G346" i="3" s="1"/>
  <c r="G119" i="3"/>
  <c r="D122" i="3"/>
  <c r="D121" i="3"/>
  <c r="C121" i="3"/>
  <c r="C122" i="3"/>
  <c r="L119" i="3"/>
  <c r="L344" i="3"/>
  <c r="L346" i="3" s="1"/>
  <c r="N119" i="3"/>
  <c r="N344" i="3"/>
  <c r="N346" i="3" s="1"/>
  <c r="O122" i="3"/>
  <c r="O121" i="3"/>
  <c r="Q122" i="3"/>
  <c r="Q121" i="3"/>
  <c r="P122" i="3"/>
  <c r="P121" i="3"/>
  <c r="M119" i="3"/>
  <c r="M344" i="3"/>
  <c r="M346" i="3" s="1"/>
  <c r="J119" i="3"/>
  <c r="J344" i="3"/>
  <c r="J346" i="3" s="1"/>
  <c r="E122" i="3"/>
  <c r="E121" i="3"/>
  <c r="O124" i="3" l="1"/>
  <c r="E124" i="3"/>
  <c r="D124" i="3"/>
  <c r="Q124" i="3"/>
  <c r="P124" i="3"/>
  <c r="C124" i="3"/>
  <c r="H121" i="3"/>
  <c r="H122" i="3"/>
  <c r="G121" i="3"/>
  <c r="G122" i="3"/>
  <c r="N122" i="3"/>
  <c r="N121" i="3"/>
  <c r="J121" i="3"/>
  <c r="J122" i="3"/>
  <c r="M122" i="3"/>
  <c r="M121" i="3"/>
  <c r="L122" i="3"/>
  <c r="L121" i="3"/>
  <c r="I121" i="3"/>
  <c r="I122" i="3"/>
  <c r="M124" i="3" l="1"/>
  <c r="L124" i="3"/>
  <c r="N124" i="3"/>
  <c r="I124" i="3"/>
  <c r="J124" i="3"/>
  <c r="G124" i="3"/>
  <c r="H124" i="3"/>
  <c r="R52" i="6"/>
  <c r="Q52" i="6"/>
  <c r="P52" i="6"/>
  <c r="O52" i="6"/>
  <c r="N52" i="6"/>
  <c r="M52" i="6"/>
  <c r="L52" i="6"/>
  <c r="K52" i="6"/>
  <c r="J52" i="6"/>
  <c r="I52" i="6"/>
  <c r="H52" i="6"/>
  <c r="G52" i="6"/>
  <c r="F52" i="6"/>
  <c r="E52" i="6"/>
  <c r="D52" i="6"/>
  <c r="C52" i="6"/>
  <c r="P51" i="6"/>
  <c r="N51" i="6"/>
  <c r="R50" i="6"/>
  <c r="Q50" i="6"/>
  <c r="P50" i="6"/>
  <c r="O50" i="6"/>
  <c r="N50" i="6"/>
  <c r="M50" i="6"/>
  <c r="G50" i="6"/>
  <c r="F50" i="6"/>
  <c r="E50" i="6"/>
  <c r="D50" i="6"/>
  <c r="C50" i="6"/>
  <c r="P36" i="6"/>
  <c r="N36" i="6"/>
  <c r="R37" i="6"/>
  <c r="Q37" i="6"/>
  <c r="P37" i="6"/>
  <c r="O37" i="6"/>
  <c r="N37" i="6"/>
  <c r="M37" i="6"/>
  <c r="L37" i="6"/>
  <c r="K37" i="6"/>
  <c r="J37" i="6"/>
  <c r="I37" i="6"/>
  <c r="H37" i="6"/>
  <c r="G37" i="6"/>
  <c r="F37" i="6"/>
  <c r="E37" i="6"/>
  <c r="D37" i="6"/>
  <c r="C37" i="6"/>
  <c r="C42" i="6" s="1"/>
  <c r="C44" i="6" s="1"/>
  <c r="P35" i="6"/>
  <c r="N35" i="6"/>
  <c r="R35" i="6"/>
  <c r="Q35" i="6"/>
  <c r="O35" i="6"/>
  <c r="M35" i="6"/>
  <c r="G35" i="6"/>
  <c r="F35" i="6"/>
  <c r="E35" i="6"/>
  <c r="D35" i="6"/>
  <c r="C35" i="6"/>
  <c r="H15" i="5"/>
  <c r="G15" i="5"/>
  <c r="C26" i="6"/>
  <c r="C12" i="6"/>
  <c r="C38" i="6" s="1"/>
  <c r="C25" i="6"/>
  <c r="C28" i="6" s="1"/>
  <c r="R288" i="3"/>
  <c r="Q288" i="3"/>
  <c r="P288" i="3"/>
  <c r="O288" i="3"/>
  <c r="N288" i="3"/>
  <c r="M288" i="3"/>
  <c r="L288" i="3"/>
  <c r="K288" i="3"/>
  <c r="J288" i="3"/>
  <c r="I288" i="3"/>
  <c r="H288" i="3"/>
  <c r="G288" i="3"/>
  <c r="F288" i="3"/>
  <c r="E288" i="3"/>
  <c r="D288" i="3"/>
  <c r="R47" i="3"/>
  <c r="Q47" i="3"/>
  <c r="P47" i="3"/>
  <c r="O47" i="3"/>
  <c r="N47" i="3"/>
  <c r="M47" i="3"/>
  <c r="L47" i="3"/>
  <c r="K47" i="3"/>
  <c r="J47" i="3"/>
  <c r="I47" i="3"/>
  <c r="H47" i="3"/>
  <c r="G47" i="3"/>
  <c r="F47" i="3"/>
  <c r="E47" i="3"/>
  <c r="D47" i="3"/>
  <c r="C47" i="3"/>
  <c r="C288" i="3"/>
  <c r="R46" i="3"/>
  <c r="Q46" i="3"/>
  <c r="P46" i="3"/>
  <c r="O46" i="3"/>
  <c r="N46" i="3"/>
  <c r="M46" i="3"/>
  <c r="L46" i="3"/>
  <c r="K46" i="3"/>
  <c r="J46" i="3"/>
  <c r="I46" i="3"/>
  <c r="H46" i="3"/>
  <c r="G46" i="3"/>
  <c r="F46" i="3"/>
  <c r="E46" i="3"/>
  <c r="D46" i="3"/>
  <c r="C46" i="3"/>
  <c r="R287" i="3"/>
  <c r="Q287" i="3"/>
  <c r="P287" i="3"/>
  <c r="O287" i="3"/>
  <c r="N287" i="3"/>
  <c r="M287" i="3"/>
  <c r="L287" i="3"/>
  <c r="K287" i="3"/>
  <c r="J287" i="3"/>
  <c r="I287" i="3"/>
  <c r="H287" i="3"/>
  <c r="G287" i="3"/>
  <c r="F287" i="3"/>
  <c r="E287" i="3"/>
  <c r="D287" i="3"/>
  <c r="C287" i="3"/>
  <c r="C271" i="3"/>
  <c r="E152" i="3" l="1"/>
  <c r="E153" i="3" s="1"/>
  <c r="K152" i="3"/>
  <c r="K153" i="3" s="1"/>
  <c r="D152" i="3"/>
  <c r="D153" i="3" s="1"/>
  <c r="Q152" i="3"/>
  <c r="Q153" i="3" s="1"/>
  <c r="C152" i="3"/>
  <c r="C153" i="3" s="1"/>
  <c r="P152" i="3"/>
  <c r="P153" i="3" s="1"/>
  <c r="F152" i="3"/>
  <c r="F153" i="3" s="1"/>
  <c r="O152" i="3"/>
  <c r="O153" i="3" s="1"/>
  <c r="R152" i="3"/>
  <c r="R153" i="3" s="1"/>
  <c r="N152" i="3"/>
  <c r="N153" i="3" s="1"/>
  <c r="N155" i="3" s="1"/>
  <c r="I152" i="3"/>
  <c r="I153" i="3" s="1"/>
  <c r="I155" i="3" s="1"/>
  <c r="M152" i="3"/>
  <c r="M153" i="3" s="1"/>
  <c r="M155" i="3" s="1"/>
  <c r="H152" i="3"/>
  <c r="H153" i="3" s="1"/>
  <c r="H161" i="3" s="1"/>
  <c r="J70" i="5" s="1"/>
  <c r="L152" i="3"/>
  <c r="L153" i="3" s="1"/>
  <c r="L161" i="3" s="1"/>
  <c r="N70" i="5" s="1"/>
  <c r="G152" i="3"/>
  <c r="G153" i="3" s="1"/>
  <c r="G161" i="3" s="1"/>
  <c r="I70" i="5" s="1"/>
  <c r="J152" i="3"/>
  <c r="J153" i="3" s="1"/>
  <c r="J155" i="3" s="1"/>
  <c r="O203" i="3"/>
  <c r="O204" i="3" s="1"/>
  <c r="C203" i="3"/>
  <c r="C204" i="3" s="1"/>
  <c r="N203" i="3"/>
  <c r="N204" i="3" s="1"/>
  <c r="E331" i="3"/>
  <c r="M203" i="3"/>
  <c r="M204" i="3" s="1"/>
  <c r="L203" i="3"/>
  <c r="L204" i="3" s="1"/>
  <c r="K203" i="3"/>
  <c r="K204" i="3" s="1"/>
  <c r="J203" i="3"/>
  <c r="J204" i="3" s="1"/>
  <c r="I203" i="3"/>
  <c r="I204" i="3" s="1"/>
  <c r="H203" i="3"/>
  <c r="H204" i="3" s="1"/>
  <c r="G203" i="3"/>
  <c r="G204" i="3" s="1"/>
  <c r="R203" i="3"/>
  <c r="R204" i="3" s="1"/>
  <c r="F203" i="3"/>
  <c r="F204" i="3" s="1"/>
  <c r="Q203" i="3"/>
  <c r="Q204" i="3" s="1"/>
  <c r="E203" i="3"/>
  <c r="E204" i="3" s="1"/>
  <c r="P203" i="3"/>
  <c r="P204" i="3" s="1"/>
  <c r="D203" i="3"/>
  <c r="D204" i="3" s="1"/>
  <c r="L331" i="3"/>
  <c r="I331" i="3"/>
  <c r="I91" i="3"/>
  <c r="I92" i="3" s="1"/>
  <c r="L91" i="3"/>
  <c r="L92" i="3" s="1"/>
  <c r="L108" i="3" s="1"/>
  <c r="L113" i="3" s="1"/>
  <c r="N51" i="5" s="1"/>
  <c r="E91" i="3"/>
  <c r="E92" i="3" s="1"/>
  <c r="E108" i="3" s="1"/>
  <c r="E113" i="3" s="1"/>
  <c r="G51" i="5" s="1"/>
  <c r="F91" i="3"/>
  <c r="F92" i="3" s="1"/>
  <c r="F108" i="3" s="1"/>
  <c r="F113" i="3" s="1"/>
  <c r="H51" i="5" s="1"/>
  <c r="M91" i="3"/>
  <c r="M92" i="3" s="1"/>
  <c r="M108" i="3" s="1"/>
  <c r="M113" i="3" s="1"/>
  <c r="O51" i="5" s="1"/>
  <c r="H91" i="3"/>
  <c r="H92" i="3" s="1"/>
  <c r="G331" i="3"/>
  <c r="R331" i="3"/>
  <c r="R91" i="3"/>
  <c r="R92" i="3" s="1"/>
  <c r="R108" i="3" s="1"/>
  <c r="R113" i="3" s="1"/>
  <c r="T51" i="5" s="1"/>
  <c r="K331" i="3"/>
  <c r="H331" i="3"/>
  <c r="C331" i="3"/>
  <c r="J331" i="3"/>
  <c r="M331" i="3"/>
  <c r="O331" i="3"/>
  <c r="Q331" i="3"/>
  <c r="D331" i="3"/>
  <c r="J91" i="3"/>
  <c r="J92" i="3" s="1"/>
  <c r="J108" i="3" s="1"/>
  <c r="J113" i="3" s="1"/>
  <c r="L51" i="5" s="1"/>
  <c r="P331" i="3"/>
  <c r="N91" i="3"/>
  <c r="N92" i="3" s="1"/>
  <c r="N108" i="3" s="1"/>
  <c r="N113" i="3" s="1"/>
  <c r="P51" i="5" s="1"/>
  <c r="G91" i="3"/>
  <c r="G92" i="3" s="1"/>
  <c r="P91" i="3"/>
  <c r="P92" i="3" s="1"/>
  <c r="P108" i="3" s="1"/>
  <c r="P113" i="3" s="1"/>
  <c r="R51" i="5" s="1"/>
  <c r="K91" i="3"/>
  <c r="K92" i="3" s="1"/>
  <c r="K108" i="3" s="1"/>
  <c r="K113" i="3" s="1"/>
  <c r="M51" i="5" s="1"/>
  <c r="Q91" i="3"/>
  <c r="Q92" i="3" s="1"/>
  <c r="Q108" i="3" s="1"/>
  <c r="Q113" i="3" s="1"/>
  <c r="S51" i="5" s="1"/>
  <c r="D91" i="3"/>
  <c r="D92" i="3" s="1"/>
  <c r="D108" i="3" s="1"/>
  <c r="D113" i="3" s="1"/>
  <c r="F51" i="5" s="1"/>
  <c r="C91" i="3"/>
  <c r="C92" i="3" s="1"/>
  <c r="C108" i="3" s="1"/>
  <c r="C113" i="3" s="1"/>
  <c r="E51" i="5" s="1"/>
  <c r="N331" i="3"/>
  <c r="O91" i="3"/>
  <c r="O92" i="3" s="1"/>
  <c r="O108" i="3" s="1"/>
  <c r="O113" i="3" s="1"/>
  <c r="Q51" i="5" s="1"/>
  <c r="F331" i="3"/>
  <c r="J53" i="6"/>
  <c r="E38" i="6"/>
  <c r="G53" i="6"/>
  <c r="L38" i="6"/>
  <c r="M38" i="6"/>
  <c r="O38" i="6"/>
  <c r="O41" i="6" s="1"/>
  <c r="O43" i="6" s="1"/>
  <c r="J48" i="3"/>
  <c r="H48" i="3"/>
  <c r="K48" i="3"/>
  <c r="G268" i="3"/>
  <c r="G269" i="3" s="1"/>
  <c r="I268" i="3"/>
  <c r="I269" i="3" s="1"/>
  <c r="H268" i="3"/>
  <c r="H269" i="3" s="1"/>
  <c r="C48" i="3"/>
  <c r="O48" i="3"/>
  <c r="D48" i="3"/>
  <c r="P48" i="3"/>
  <c r="M48" i="3"/>
  <c r="L48" i="3"/>
  <c r="N48" i="3"/>
  <c r="E48" i="3"/>
  <c r="Q48" i="3"/>
  <c r="F48" i="3"/>
  <c r="R48" i="3"/>
  <c r="G48" i="3"/>
  <c r="I48" i="3"/>
  <c r="J268" i="3"/>
  <c r="J269" i="3" s="1"/>
  <c r="K268" i="3"/>
  <c r="K269" i="3" s="1"/>
  <c r="L268" i="3"/>
  <c r="L269" i="3" s="1"/>
  <c r="N268" i="3"/>
  <c r="N269" i="3" s="1"/>
  <c r="M268" i="3"/>
  <c r="M269" i="3" s="1"/>
  <c r="C268" i="3"/>
  <c r="C269" i="3" s="1"/>
  <c r="O268" i="3"/>
  <c r="O269" i="3" s="1"/>
  <c r="D268" i="3"/>
  <c r="D269" i="3" s="1"/>
  <c r="P268" i="3"/>
  <c r="P269" i="3" s="1"/>
  <c r="E268" i="3"/>
  <c r="E269" i="3" s="1"/>
  <c r="Q268" i="3"/>
  <c r="Q269" i="3" s="1"/>
  <c r="F268" i="3"/>
  <c r="F269" i="3" s="1"/>
  <c r="R268" i="3"/>
  <c r="R269" i="3" s="1"/>
  <c r="I53" i="6"/>
  <c r="I56" i="6" s="1"/>
  <c r="I58" i="6" s="1"/>
  <c r="L53" i="6"/>
  <c r="L57" i="6" s="1"/>
  <c r="L59" i="6" s="1"/>
  <c r="O53" i="6"/>
  <c r="O56" i="6" s="1"/>
  <c r="O58" i="6" s="1"/>
  <c r="P53" i="6"/>
  <c r="P56" i="6" s="1"/>
  <c r="P58" i="6" s="1"/>
  <c r="Q53" i="6"/>
  <c r="Q56" i="6" s="1"/>
  <c r="Q58" i="6" s="1"/>
  <c r="R53" i="6"/>
  <c r="R56" i="6" s="1"/>
  <c r="R58" i="6" s="1"/>
  <c r="F38" i="6"/>
  <c r="F42" i="6" s="1"/>
  <c r="F44" i="6" s="1"/>
  <c r="C53" i="6"/>
  <c r="G38" i="6"/>
  <c r="G41" i="6" s="1"/>
  <c r="G43" i="6" s="1"/>
  <c r="D53" i="6"/>
  <c r="D56" i="6" s="1"/>
  <c r="D58" i="6" s="1"/>
  <c r="M41" i="6"/>
  <c r="M43" i="6" s="1"/>
  <c r="H38" i="6"/>
  <c r="H41" i="6" s="1"/>
  <c r="H43" i="6" s="1"/>
  <c r="E53" i="6"/>
  <c r="E56" i="6" s="1"/>
  <c r="E58" i="6" s="1"/>
  <c r="J56" i="6"/>
  <c r="J58" i="6" s="1"/>
  <c r="F53" i="6"/>
  <c r="F57" i="6" s="1"/>
  <c r="F59" i="6" s="1"/>
  <c r="L42" i="6"/>
  <c r="L44" i="6" s="1"/>
  <c r="M42" i="6"/>
  <c r="M44" i="6" s="1"/>
  <c r="K38" i="6"/>
  <c r="K42" i="6" s="1"/>
  <c r="K44" i="6" s="1"/>
  <c r="H53" i="6"/>
  <c r="H57" i="6" s="1"/>
  <c r="H59" i="6" s="1"/>
  <c r="C41" i="6"/>
  <c r="C43" i="6" s="1"/>
  <c r="N38" i="6"/>
  <c r="N42" i="6" s="1"/>
  <c r="N44" i="6" s="1"/>
  <c r="K53" i="6"/>
  <c r="K56" i="6" s="1"/>
  <c r="K58" i="6" s="1"/>
  <c r="E42" i="6"/>
  <c r="E44" i="6" s="1"/>
  <c r="E41" i="6"/>
  <c r="E43" i="6" s="1"/>
  <c r="Q38" i="6"/>
  <c r="M53" i="6"/>
  <c r="M56" i="6" s="1"/>
  <c r="M58" i="6" s="1"/>
  <c r="Q42" i="6"/>
  <c r="Q44" i="6" s="1"/>
  <c r="G42" i="6"/>
  <c r="G44" i="6" s="1"/>
  <c r="R38" i="6"/>
  <c r="R41" i="6" s="1"/>
  <c r="R43" i="6" s="1"/>
  <c r="N53" i="6"/>
  <c r="N57" i="6" s="1"/>
  <c r="N59" i="6" s="1"/>
  <c r="Q41" i="6"/>
  <c r="Q43" i="6" s="1"/>
  <c r="Q57" i="6"/>
  <c r="Q59" i="6" s="1"/>
  <c r="G56" i="6"/>
  <c r="G58" i="6" s="1"/>
  <c r="G57" i="6"/>
  <c r="G59" i="6" s="1"/>
  <c r="C56" i="6"/>
  <c r="C58" i="6" s="1"/>
  <c r="C57" i="6"/>
  <c r="C59" i="6" s="1"/>
  <c r="J57" i="6"/>
  <c r="J59" i="6" s="1"/>
  <c r="D42" i="6"/>
  <c r="D44" i="6" s="1"/>
  <c r="K41" i="6"/>
  <c r="K43" i="6" s="1"/>
  <c r="D38" i="6"/>
  <c r="D41" i="6" s="1"/>
  <c r="D43" i="6" s="1"/>
  <c r="P38" i="6"/>
  <c r="P42" i="6" s="1"/>
  <c r="P44" i="6" s="1"/>
  <c r="L41" i="6"/>
  <c r="L43" i="6" s="1"/>
  <c r="C30" i="6"/>
  <c r="I38" i="6"/>
  <c r="J38" i="6"/>
  <c r="J41" i="6" s="1"/>
  <c r="J43" i="6" s="1"/>
  <c r="C32" i="3"/>
  <c r="C35" i="3" s="1"/>
  <c r="N32" i="3"/>
  <c r="N35" i="3" s="1"/>
  <c r="K32" i="3"/>
  <c r="K35" i="3" s="1"/>
  <c r="H32" i="3"/>
  <c r="H35" i="3" s="1"/>
  <c r="R279" i="3"/>
  <c r="R281" i="3" s="1"/>
  <c r="R283" i="3" s="1"/>
  <c r="Q279" i="3"/>
  <c r="Q7" i="3" s="1"/>
  <c r="Q41" i="3" s="1"/>
  <c r="Q42" i="3" s="1"/>
  <c r="P279" i="3"/>
  <c r="P7" i="3" s="1"/>
  <c r="P41" i="3" s="1"/>
  <c r="P42" i="3" s="1"/>
  <c r="O279" i="3"/>
  <c r="O7" i="3" s="1"/>
  <c r="O41" i="3" s="1"/>
  <c r="O42" i="3" s="1"/>
  <c r="N279" i="3"/>
  <c r="N7" i="3" s="1"/>
  <c r="N41" i="3" s="1"/>
  <c r="N42" i="3" s="1"/>
  <c r="M279" i="3"/>
  <c r="M7" i="3" s="1"/>
  <c r="M41" i="3" s="1"/>
  <c r="M42" i="3" s="1"/>
  <c r="L279" i="3"/>
  <c r="L7" i="3" s="1"/>
  <c r="L41" i="3" s="1"/>
  <c r="L42" i="3" s="1"/>
  <c r="K279" i="3"/>
  <c r="K7" i="3" s="1"/>
  <c r="K41" i="3" s="1"/>
  <c r="K42" i="3" s="1"/>
  <c r="J279" i="3"/>
  <c r="J7" i="3" s="1"/>
  <c r="J41" i="3" s="1"/>
  <c r="J42" i="3" s="1"/>
  <c r="I279" i="3"/>
  <c r="I7" i="3" s="1"/>
  <c r="I41" i="3" s="1"/>
  <c r="I42" i="3" s="1"/>
  <c r="H279" i="3"/>
  <c r="H7" i="3" s="1"/>
  <c r="H41" i="3" s="1"/>
  <c r="H42" i="3" s="1"/>
  <c r="G279" i="3"/>
  <c r="G7" i="3" s="1"/>
  <c r="G41" i="3" s="1"/>
  <c r="G42" i="3" s="1"/>
  <c r="F279" i="3"/>
  <c r="F7" i="3" s="1"/>
  <c r="E279" i="3"/>
  <c r="E7" i="3" s="1"/>
  <c r="E41" i="3" s="1"/>
  <c r="E42" i="3" s="1"/>
  <c r="D279" i="3"/>
  <c r="D7" i="3" s="1"/>
  <c r="D41" i="3" s="1"/>
  <c r="D42" i="3" s="1"/>
  <c r="C279" i="3"/>
  <c r="C7" i="3" s="1"/>
  <c r="R261" i="3"/>
  <c r="R264" i="3" s="1"/>
  <c r="L261" i="3"/>
  <c r="L264" i="3" s="1"/>
  <c r="I271" i="3"/>
  <c r="I272" i="3" s="1"/>
  <c r="I274" i="3" s="1"/>
  <c r="I277" i="3" s="1"/>
  <c r="F261" i="3"/>
  <c r="F264" i="3" s="1"/>
  <c r="R237" i="3"/>
  <c r="R240" i="3" s="1"/>
  <c r="Q237" i="3"/>
  <c r="Q240" i="3" s="1"/>
  <c r="P237" i="3"/>
  <c r="P240" i="3" s="1"/>
  <c r="O237" i="3"/>
  <c r="O240" i="3" s="1"/>
  <c r="N237" i="3"/>
  <c r="N240" i="3" s="1"/>
  <c r="M237" i="3"/>
  <c r="M240" i="3" s="1"/>
  <c r="L237" i="3"/>
  <c r="L240" i="3" s="1"/>
  <c r="K237" i="3"/>
  <c r="K240" i="3" s="1"/>
  <c r="J237" i="3"/>
  <c r="J240" i="3" s="1"/>
  <c r="I237" i="3"/>
  <c r="I240" i="3" s="1"/>
  <c r="H237" i="3"/>
  <c r="H240" i="3" s="1"/>
  <c r="G237" i="3"/>
  <c r="G240" i="3" s="1"/>
  <c r="F237" i="3"/>
  <c r="F240" i="3" s="1"/>
  <c r="E237" i="3"/>
  <c r="E240" i="3" s="1"/>
  <c r="D237" i="3"/>
  <c r="D240" i="3" s="1"/>
  <c r="C237" i="3"/>
  <c r="C240" i="3" s="1"/>
  <c r="H14" i="5"/>
  <c r="H13" i="5"/>
  <c r="G14" i="5"/>
  <c r="G13" i="5"/>
  <c r="F45" i="4"/>
  <c r="F44" i="4"/>
  <c r="F43" i="4"/>
  <c r="F42" i="4"/>
  <c r="F41" i="4"/>
  <c r="F40" i="4"/>
  <c r="F39" i="4"/>
  <c r="F38" i="4"/>
  <c r="F37" i="4"/>
  <c r="F36" i="4"/>
  <c r="F35" i="4"/>
  <c r="F34" i="4"/>
  <c r="F33" i="4"/>
  <c r="F32" i="4"/>
  <c r="F31" i="4"/>
  <c r="F30" i="4"/>
  <c r="F29" i="4"/>
  <c r="F28" i="4"/>
  <c r="F27" i="4"/>
  <c r="F26" i="4"/>
  <c r="F17" i="4"/>
  <c r="F16" i="4"/>
  <c r="F15" i="4"/>
  <c r="F14" i="4"/>
  <c r="F13" i="4"/>
  <c r="F12" i="4"/>
  <c r="F11" i="4"/>
  <c r="F10" i="4"/>
  <c r="H155" i="3" l="1"/>
  <c r="C41" i="3"/>
  <c r="C42" i="3" s="1"/>
  <c r="E52" i="5" s="1"/>
  <c r="K52" i="5"/>
  <c r="S38" i="5"/>
  <c r="G38" i="5"/>
  <c r="R38" i="5"/>
  <c r="I52" i="5"/>
  <c r="Q38" i="5"/>
  <c r="P38" i="5"/>
  <c r="S52" i="5"/>
  <c r="G52" i="5"/>
  <c r="O38" i="5"/>
  <c r="M52" i="5"/>
  <c r="R52" i="5"/>
  <c r="F52" i="5"/>
  <c r="N38" i="5"/>
  <c r="O52" i="5"/>
  <c r="K38" i="5"/>
  <c r="Q52" i="5"/>
  <c r="M38" i="5"/>
  <c r="P52" i="5"/>
  <c r="L38" i="5"/>
  <c r="N52" i="5"/>
  <c r="J38" i="5"/>
  <c r="I38" i="5"/>
  <c r="L52" i="5"/>
  <c r="T38" i="5"/>
  <c r="H38" i="5"/>
  <c r="J52" i="5"/>
  <c r="F38" i="5"/>
  <c r="E38" i="5"/>
  <c r="G76" i="5"/>
  <c r="I76" i="5"/>
  <c r="S76" i="5"/>
  <c r="O76" i="5"/>
  <c r="E76" i="5"/>
  <c r="M76" i="5"/>
  <c r="F76" i="5"/>
  <c r="H76" i="5"/>
  <c r="K76" i="5"/>
  <c r="J76" i="5"/>
  <c r="Q76" i="5"/>
  <c r="R76" i="5"/>
  <c r="T76" i="5"/>
  <c r="P76" i="5"/>
  <c r="N76" i="5"/>
  <c r="L76" i="5"/>
  <c r="S71" i="5"/>
  <c r="G71" i="5"/>
  <c r="M71" i="5"/>
  <c r="N71" i="5"/>
  <c r="Q71" i="5"/>
  <c r="I71" i="5"/>
  <c r="H71" i="5"/>
  <c r="E71" i="5"/>
  <c r="R71" i="5"/>
  <c r="T71" i="5"/>
  <c r="P71" i="5"/>
  <c r="J71" i="5"/>
  <c r="F71" i="5"/>
  <c r="O71" i="5"/>
  <c r="K71" i="5"/>
  <c r="L71" i="5"/>
  <c r="T48" i="5"/>
  <c r="H48" i="5"/>
  <c r="S48" i="5"/>
  <c r="G48" i="5"/>
  <c r="F48" i="5"/>
  <c r="P48" i="5"/>
  <c r="L48" i="5"/>
  <c r="O48" i="5"/>
  <c r="M48" i="5"/>
  <c r="K48" i="5"/>
  <c r="J48" i="5"/>
  <c r="N48" i="5"/>
  <c r="E48" i="5"/>
  <c r="I48" i="5"/>
  <c r="R48" i="5"/>
  <c r="Q48" i="5"/>
  <c r="K72" i="5"/>
  <c r="T72" i="5"/>
  <c r="H72" i="5"/>
  <c r="Q72" i="5"/>
  <c r="I72" i="5"/>
  <c r="M72" i="5"/>
  <c r="E72" i="5"/>
  <c r="P72" i="5"/>
  <c r="O72" i="5"/>
  <c r="J72" i="5"/>
  <c r="N72" i="5"/>
  <c r="S72" i="5"/>
  <c r="G72" i="5"/>
  <c r="F72" i="5"/>
  <c r="L72" i="5"/>
  <c r="R72" i="5"/>
  <c r="K53" i="5"/>
  <c r="Q39" i="5"/>
  <c r="J53" i="5"/>
  <c r="I53" i="5"/>
  <c r="O39" i="5"/>
  <c r="H53" i="5"/>
  <c r="N39" i="5"/>
  <c r="S53" i="5"/>
  <c r="G53" i="5"/>
  <c r="M39" i="5"/>
  <c r="E39" i="5"/>
  <c r="T39" i="5"/>
  <c r="M53" i="5"/>
  <c r="R53" i="5"/>
  <c r="F53" i="5"/>
  <c r="L39" i="5"/>
  <c r="P53" i="5"/>
  <c r="O53" i="5"/>
  <c r="N53" i="5"/>
  <c r="S39" i="5"/>
  <c r="Q53" i="5"/>
  <c r="E53" i="5"/>
  <c r="K39" i="5"/>
  <c r="J39" i="5"/>
  <c r="I39" i="5"/>
  <c r="H39" i="5"/>
  <c r="G39" i="5"/>
  <c r="L53" i="5"/>
  <c r="R39" i="5"/>
  <c r="F39" i="5"/>
  <c r="P39" i="5"/>
  <c r="T53" i="5"/>
  <c r="S63" i="5"/>
  <c r="G63" i="5"/>
  <c r="T77" i="5"/>
  <c r="Q63" i="5"/>
  <c r="S77" i="5"/>
  <c r="F77" i="5"/>
  <c r="Q77" i="5"/>
  <c r="N63" i="5"/>
  <c r="P77" i="5"/>
  <c r="M63" i="5"/>
  <c r="O77" i="5"/>
  <c r="M77" i="5"/>
  <c r="T63" i="5"/>
  <c r="H77" i="5"/>
  <c r="R77" i="5"/>
  <c r="L63" i="5"/>
  <c r="N77" i="5"/>
  <c r="K63" i="5"/>
  <c r="H63" i="5"/>
  <c r="I77" i="5"/>
  <c r="F63" i="5"/>
  <c r="G77" i="5"/>
  <c r="O63" i="5"/>
  <c r="E77" i="5"/>
  <c r="P63" i="5"/>
  <c r="J63" i="5"/>
  <c r="L77" i="5"/>
  <c r="K77" i="5"/>
  <c r="J77" i="5"/>
  <c r="R63" i="5"/>
  <c r="E63" i="5"/>
  <c r="I63" i="5"/>
  <c r="J161" i="3"/>
  <c r="L70" i="5" s="1"/>
  <c r="N161" i="3"/>
  <c r="P70" i="5" s="1"/>
  <c r="L155" i="3"/>
  <c r="S56" i="5"/>
  <c r="S42" i="5"/>
  <c r="I56" i="5"/>
  <c r="I42" i="5"/>
  <c r="T56" i="5"/>
  <c r="T42" i="5"/>
  <c r="R56" i="5"/>
  <c r="R42" i="5"/>
  <c r="Q56" i="5"/>
  <c r="Q42" i="5"/>
  <c r="O56" i="5"/>
  <c r="O42" i="5"/>
  <c r="L56" i="5"/>
  <c r="L42" i="5"/>
  <c r="G56" i="5"/>
  <c r="G42" i="5"/>
  <c r="K56" i="5"/>
  <c r="K42" i="5"/>
  <c r="E56" i="5"/>
  <c r="E42" i="5"/>
  <c r="M56" i="5"/>
  <c r="M42" i="5"/>
  <c r="F56" i="5"/>
  <c r="F42" i="5"/>
  <c r="G155" i="3"/>
  <c r="M161" i="3"/>
  <c r="O70" i="5" s="1"/>
  <c r="F332" i="3"/>
  <c r="H62" i="5" s="1"/>
  <c r="D332" i="3"/>
  <c r="F62" i="5" s="1"/>
  <c r="R161" i="3"/>
  <c r="T70" i="5" s="1"/>
  <c r="R155" i="3"/>
  <c r="G332" i="3"/>
  <c r="I62" i="5" s="1"/>
  <c r="Q332" i="3"/>
  <c r="S62" i="5" s="1"/>
  <c r="O161" i="3"/>
  <c r="Q70" i="5" s="1"/>
  <c r="O155" i="3"/>
  <c r="P332" i="3"/>
  <c r="R62" i="5" s="1"/>
  <c r="I161" i="3"/>
  <c r="K70" i="5" s="1"/>
  <c r="N332" i="3"/>
  <c r="P62" i="5" s="1"/>
  <c r="O332" i="3"/>
  <c r="Q62" i="5" s="1"/>
  <c r="F161" i="3"/>
  <c r="H70" i="5" s="1"/>
  <c r="F155" i="3"/>
  <c r="M332" i="3"/>
  <c r="O62" i="5" s="1"/>
  <c r="P155" i="3"/>
  <c r="P161" i="3"/>
  <c r="R70" i="5" s="1"/>
  <c r="C161" i="3"/>
  <c r="E70" i="5" s="1"/>
  <c r="C155" i="3"/>
  <c r="J332" i="3"/>
  <c r="L62" i="5" s="1"/>
  <c r="C332" i="3"/>
  <c r="E62" i="5" s="1"/>
  <c r="I332" i="3"/>
  <c r="K62" i="5" s="1"/>
  <c r="Q161" i="3"/>
  <c r="S70" i="5" s="1"/>
  <c r="Q155" i="3"/>
  <c r="D161" i="3"/>
  <c r="F70" i="5" s="1"/>
  <c r="D155" i="3"/>
  <c r="H332" i="3"/>
  <c r="J62" i="5" s="1"/>
  <c r="L332" i="3"/>
  <c r="N62" i="5" s="1"/>
  <c r="K332" i="3"/>
  <c r="M62" i="5" s="1"/>
  <c r="K155" i="3"/>
  <c r="K161" i="3"/>
  <c r="M70" i="5" s="1"/>
  <c r="R332" i="3"/>
  <c r="T62" i="5" s="1"/>
  <c r="E332" i="3"/>
  <c r="G62" i="5" s="1"/>
  <c r="E155" i="3"/>
  <c r="E161" i="3"/>
  <c r="G70" i="5" s="1"/>
  <c r="P57" i="6"/>
  <c r="P59" i="6" s="1"/>
  <c r="N41" i="6"/>
  <c r="N43" i="6" s="1"/>
  <c r="E57" i="6"/>
  <c r="E59" i="6" s="1"/>
  <c r="H42" i="6"/>
  <c r="H44" i="6" s="1"/>
  <c r="O57" i="6"/>
  <c r="O59" i="6" s="1"/>
  <c r="O42" i="6"/>
  <c r="O44" i="6" s="1"/>
  <c r="H56" i="6"/>
  <c r="H58" i="6" s="1"/>
  <c r="R42" i="6"/>
  <c r="R44" i="6" s="1"/>
  <c r="H108" i="3"/>
  <c r="H113" i="3" s="1"/>
  <c r="J51" i="5" s="1"/>
  <c r="I108" i="3"/>
  <c r="I113" i="3" s="1"/>
  <c r="K51" i="5" s="1"/>
  <c r="G108" i="3"/>
  <c r="G113" i="3" s="1"/>
  <c r="I51" i="5" s="1"/>
  <c r="I57" i="6"/>
  <c r="I59" i="6" s="1"/>
  <c r="D57" i="6"/>
  <c r="D59" i="6" s="1"/>
  <c r="F56" i="6"/>
  <c r="F58" i="6" s="1"/>
  <c r="R57" i="6"/>
  <c r="R59" i="6" s="1"/>
  <c r="F41" i="6"/>
  <c r="F43" i="6" s="1"/>
  <c r="N56" i="6"/>
  <c r="N58" i="6" s="1"/>
  <c r="L56" i="6"/>
  <c r="L58" i="6" s="1"/>
  <c r="K57" i="6"/>
  <c r="K59" i="6" s="1"/>
  <c r="M57" i="6"/>
  <c r="M59" i="6" s="1"/>
  <c r="P41" i="6"/>
  <c r="P43" i="6" s="1"/>
  <c r="J42" i="6"/>
  <c r="J44" i="6" s="1"/>
  <c r="I42" i="6"/>
  <c r="I44" i="6" s="1"/>
  <c r="I41" i="6"/>
  <c r="I43" i="6" s="1"/>
  <c r="F10" i="3"/>
  <c r="F41" i="3"/>
  <c r="F42" i="3" s="1"/>
  <c r="H52" i="5" s="1"/>
  <c r="L32" i="3"/>
  <c r="L35" i="3" s="1"/>
  <c r="K261" i="3"/>
  <c r="K264" i="3" s="1"/>
  <c r="M32" i="3"/>
  <c r="M35" i="3" s="1"/>
  <c r="F281" i="3"/>
  <c r="F283" i="3" s="1"/>
  <c r="R7" i="3"/>
  <c r="O32" i="3"/>
  <c r="O35" i="3" s="1"/>
  <c r="M281" i="3"/>
  <c r="M283" i="3" s="1"/>
  <c r="D32" i="3"/>
  <c r="D35" i="3" s="1"/>
  <c r="P32" i="3"/>
  <c r="P35" i="3" s="1"/>
  <c r="O261" i="3"/>
  <c r="O264" i="3" s="1"/>
  <c r="E32" i="3"/>
  <c r="E35" i="3" s="1"/>
  <c r="Q32" i="3"/>
  <c r="Q35" i="3" s="1"/>
  <c r="D261" i="3"/>
  <c r="D264" i="3" s="1"/>
  <c r="P261" i="3"/>
  <c r="P264" i="3" s="1"/>
  <c r="F32" i="3"/>
  <c r="F35" i="3" s="1"/>
  <c r="R32" i="3"/>
  <c r="R35" i="3" s="1"/>
  <c r="G32" i="3"/>
  <c r="G35" i="3" s="1"/>
  <c r="I32" i="3"/>
  <c r="I35" i="3" s="1"/>
  <c r="H271" i="3"/>
  <c r="H272" i="3" s="1"/>
  <c r="H274" i="3" s="1"/>
  <c r="H277" i="3" s="1"/>
  <c r="J32" i="3"/>
  <c r="J35" i="3" s="1"/>
  <c r="C10" i="3"/>
  <c r="C9" i="3"/>
  <c r="D10" i="3"/>
  <c r="D9" i="3"/>
  <c r="P10" i="3"/>
  <c r="P9" i="3"/>
  <c r="H10" i="3"/>
  <c r="H9" i="3"/>
  <c r="I10" i="3"/>
  <c r="I9" i="3"/>
  <c r="J9" i="3"/>
  <c r="J10" i="3"/>
  <c r="E10" i="3"/>
  <c r="E9" i="3"/>
  <c r="Q10" i="3"/>
  <c r="Q9" i="3"/>
  <c r="G10" i="3"/>
  <c r="G9" i="3"/>
  <c r="K9" i="3"/>
  <c r="K10" i="3"/>
  <c r="L9" i="3"/>
  <c r="L10" i="3"/>
  <c r="M9" i="3"/>
  <c r="M10" i="3"/>
  <c r="N10" i="3"/>
  <c r="N9" i="3"/>
  <c r="O10" i="3"/>
  <c r="O9" i="3"/>
  <c r="H261" i="3"/>
  <c r="H264" i="3" s="1"/>
  <c r="K271" i="3"/>
  <c r="K272" i="3" s="1"/>
  <c r="K274" i="3" s="1"/>
  <c r="K277" i="3" s="1"/>
  <c r="G281" i="3"/>
  <c r="G283" i="3" s="1"/>
  <c r="I261" i="3"/>
  <c r="I264" i="3" s="1"/>
  <c r="L271" i="3"/>
  <c r="L272" i="3" s="1"/>
  <c r="L274" i="3" s="1"/>
  <c r="L277" i="3" s="1"/>
  <c r="H281" i="3"/>
  <c r="H283" i="3" s="1"/>
  <c r="I281" i="3"/>
  <c r="I283" i="3" s="1"/>
  <c r="J281" i="3"/>
  <c r="J283" i="3" s="1"/>
  <c r="F9" i="3"/>
  <c r="O271" i="3"/>
  <c r="O272" i="3" s="1"/>
  <c r="O274" i="3" s="1"/>
  <c r="O277" i="3" s="1"/>
  <c r="K281" i="3"/>
  <c r="K283" i="3" s="1"/>
  <c r="D271" i="3"/>
  <c r="D272" i="3" s="1"/>
  <c r="D274" i="3" s="1"/>
  <c r="D277" i="3" s="1"/>
  <c r="P271" i="3"/>
  <c r="P272" i="3" s="1"/>
  <c r="P274" i="3" s="1"/>
  <c r="P277" i="3" s="1"/>
  <c r="L281" i="3"/>
  <c r="L283" i="3" s="1"/>
  <c r="F271" i="3"/>
  <c r="F272" i="3" s="1"/>
  <c r="F274" i="3" s="1"/>
  <c r="F277" i="3" s="1"/>
  <c r="R271" i="3"/>
  <c r="R272" i="3" s="1"/>
  <c r="N281" i="3"/>
  <c r="N283" i="3" s="1"/>
  <c r="C281" i="3"/>
  <c r="C283" i="3" s="1"/>
  <c r="O281" i="3"/>
  <c r="O283" i="3" s="1"/>
  <c r="D281" i="3"/>
  <c r="D283" i="3" s="1"/>
  <c r="P281" i="3"/>
  <c r="P283" i="3" s="1"/>
  <c r="E281" i="3"/>
  <c r="E283" i="3" s="1"/>
  <c r="Q281" i="3"/>
  <c r="Q283" i="3" s="1"/>
  <c r="R274" i="3" l="1"/>
  <c r="R277" i="3" s="1"/>
  <c r="R285" i="3" s="1"/>
  <c r="R290" i="3" s="1"/>
  <c r="F12" i="3"/>
  <c r="H47" i="5" s="1"/>
  <c r="O78" i="5"/>
  <c r="T78" i="5"/>
  <c r="M78" i="5"/>
  <c r="S78" i="5"/>
  <c r="K78" i="5"/>
  <c r="I78" i="5"/>
  <c r="J78" i="5"/>
  <c r="H78" i="5"/>
  <c r="P78" i="5"/>
  <c r="E78" i="5"/>
  <c r="G78" i="5"/>
  <c r="N78" i="5"/>
  <c r="L78" i="5"/>
  <c r="F78" i="5"/>
  <c r="R78" i="5"/>
  <c r="Q78" i="5"/>
  <c r="L285" i="3"/>
  <c r="L290" i="3" s="1"/>
  <c r="F285" i="3"/>
  <c r="F290" i="3" s="1"/>
  <c r="L348" i="3"/>
  <c r="L353" i="3" s="1"/>
  <c r="N61" i="5" s="1"/>
  <c r="J348" i="3"/>
  <c r="J353" i="3" s="1"/>
  <c r="L61" i="5" s="1"/>
  <c r="N348" i="3"/>
  <c r="N353" i="3" s="1"/>
  <c r="P61" i="5" s="1"/>
  <c r="D348" i="3"/>
  <c r="D353" i="3" s="1"/>
  <c r="F61" i="5" s="1"/>
  <c r="I285" i="3"/>
  <c r="I290" i="3" s="1"/>
  <c r="H348" i="3"/>
  <c r="H353" i="3" s="1"/>
  <c r="J61" i="5" s="1"/>
  <c r="P285" i="3"/>
  <c r="P290" i="3" s="1"/>
  <c r="K285" i="3"/>
  <c r="K290" i="3" s="1"/>
  <c r="E348" i="3"/>
  <c r="E353" i="3" s="1"/>
  <c r="G61" i="5" s="1"/>
  <c r="H285" i="3"/>
  <c r="H290" i="3" s="1"/>
  <c r="D285" i="3"/>
  <c r="D290" i="3" s="1"/>
  <c r="P348" i="3"/>
  <c r="P353" i="3" s="1"/>
  <c r="R61" i="5" s="1"/>
  <c r="F348" i="3"/>
  <c r="F353" i="3" s="1"/>
  <c r="H61" i="5" s="1"/>
  <c r="R348" i="3"/>
  <c r="R353" i="3" s="1"/>
  <c r="T61" i="5" s="1"/>
  <c r="M348" i="3"/>
  <c r="M353" i="3" s="1"/>
  <c r="O61" i="5" s="1"/>
  <c r="Q348" i="3"/>
  <c r="Q353" i="3" s="1"/>
  <c r="S61" i="5" s="1"/>
  <c r="O285" i="3"/>
  <c r="O290" i="3" s="1"/>
  <c r="I348" i="3"/>
  <c r="I353" i="3" s="1"/>
  <c r="K61" i="5" s="1"/>
  <c r="G348" i="3"/>
  <c r="G353" i="3" s="1"/>
  <c r="I61" i="5" s="1"/>
  <c r="K348" i="3"/>
  <c r="K353" i="3" s="1"/>
  <c r="M61" i="5" s="1"/>
  <c r="C348" i="3"/>
  <c r="C353" i="3" s="1"/>
  <c r="E61" i="5" s="1"/>
  <c r="O348" i="3"/>
  <c r="O353" i="3" s="1"/>
  <c r="Q61" i="5" s="1"/>
  <c r="J56" i="5"/>
  <c r="J42" i="5"/>
  <c r="N56" i="5"/>
  <c r="N42" i="5"/>
  <c r="P56" i="5"/>
  <c r="P42" i="5"/>
  <c r="H56" i="5"/>
  <c r="H42" i="5"/>
  <c r="E73" i="5"/>
  <c r="G73" i="5"/>
  <c r="S73" i="5"/>
  <c r="P73" i="5"/>
  <c r="R73" i="5"/>
  <c r="O73" i="5"/>
  <c r="H73" i="5"/>
  <c r="T73" i="5"/>
  <c r="I73" i="5"/>
  <c r="J73" i="5"/>
  <c r="K73" i="5"/>
  <c r="L73" i="5"/>
  <c r="Q73" i="5"/>
  <c r="M73" i="5"/>
  <c r="F73" i="5"/>
  <c r="N73" i="5"/>
  <c r="F44" i="3"/>
  <c r="R10" i="3"/>
  <c r="R41" i="3"/>
  <c r="R42" i="3" s="1"/>
  <c r="T52" i="5" s="1"/>
  <c r="G12" i="3"/>
  <c r="I47" i="5" s="1"/>
  <c r="J12" i="3"/>
  <c r="L47" i="5" s="1"/>
  <c r="C12" i="3"/>
  <c r="E47" i="5" s="1"/>
  <c r="P12" i="3"/>
  <c r="R47" i="5" s="1"/>
  <c r="Q261" i="3"/>
  <c r="Q264" i="3" s="1"/>
  <c r="Q271" i="3"/>
  <c r="Q272" i="3" s="1"/>
  <c r="Q274" i="3" s="1"/>
  <c r="Q277" i="3" s="1"/>
  <c r="N271" i="3"/>
  <c r="N272" i="3" s="1"/>
  <c r="N274" i="3" s="1"/>
  <c r="N277" i="3" s="1"/>
  <c r="N261" i="3"/>
  <c r="N264" i="3" s="1"/>
  <c r="M271" i="3"/>
  <c r="M272" i="3" s="1"/>
  <c r="M274" i="3" s="1"/>
  <c r="M277" i="3" s="1"/>
  <c r="M261" i="3"/>
  <c r="M264" i="3" s="1"/>
  <c r="I12" i="3"/>
  <c r="K47" i="5" s="1"/>
  <c r="H12" i="3"/>
  <c r="J47" i="5" s="1"/>
  <c r="J261" i="3"/>
  <c r="J264" i="3" s="1"/>
  <c r="J271" i="3"/>
  <c r="J272" i="3" s="1"/>
  <c r="J274" i="3" s="1"/>
  <c r="J277" i="3" s="1"/>
  <c r="E261" i="3"/>
  <c r="E264" i="3" s="1"/>
  <c r="E271" i="3"/>
  <c r="E272" i="3" s="1"/>
  <c r="E274" i="3" s="1"/>
  <c r="E277" i="3" s="1"/>
  <c r="Q12" i="3"/>
  <c r="S47" i="5" s="1"/>
  <c r="R9" i="3"/>
  <c r="N12" i="3"/>
  <c r="P47" i="5" s="1"/>
  <c r="G271" i="3"/>
  <c r="G272" i="3" s="1"/>
  <c r="G274" i="3" s="1"/>
  <c r="G277" i="3" s="1"/>
  <c r="G261" i="3"/>
  <c r="G264" i="3" s="1"/>
  <c r="M12" i="3"/>
  <c r="O47" i="5" s="1"/>
  <c r="E12" i="3"/>
  <c r="G47" i="5" s="1"/>
  <c r="L12" i="3"/>
  <c r="N47" i="5" s="1"/>
  <c r="O12" i="3"/>
  <c r="Q47" i="5" s="1"/>
  <c r="K12" i="3"/>
  <c r="M47" i="5" s="1"/>
  <c r="D12" i="3"/>
  <c r="F47" i="5" s="1"/>
  <c r="F50" i="3" l="1"/>
  <c r="H46" i="5" s="1"/>
  <c r="G285" i="3"/>
  <c r="T79" i="5"/>
  <c r="T81" i="5" s="1"/>
  <c r="M285" i="3"/>
  <c r="M290" i="3" s="1"/>
  <c r="H79" i="5"/>
  <c r="H81" i="5" s="1"/>
  <c r="I79" i="5"/>
  <c r="I81" i="5" s="1"/>
  <c r="J79" i="5"/>
  <c r="J81" i="5" s="1"/>
  <c r="O79" i="5"/>
  <c r="O81" i="5" s="1"/>
  <c r="L64" i="5"/>
  <c r="L65" i="5" s="1"/>
  <c r="L67" i="5" s="1"/>
  <c r="N64" i="5"/>
  <c r="N65" i="5" s="1"/>
  <c r="N67" i="5" s="1"/>
  <c r="S64" i="5"/>
  <c r="S65" i="5" s="1"/>
  <c r="S67" i="5" s="1"/>
  <c r="G64" i="5"/>
  <c r="G65" i="5" s="1"/>
  <c r="G67" i="5" s="1"/>
  <c r="H64" i="5"/>
  <c r="H65" i="5" s="1"/>
  <c r="H67" i="5" s="1"/>
  <c r="E64" i="5"/>
  <c r="E65" i="5" s="1"/>
  <c r="E67" i="5" s="1"/>
  <c r="K79" i="5"/>
  <c r="K81" i="5" s="1"/>
  <c r="S79" i="5"/>
  <c r="S81" i="5" s="1"/>
  <c r="P79" i="5"/>
  <c r="P81" i="5" s="1"/>
  <c r="T37" i="5"/>
  <c r="Q79" i="5"/>
  <c r="Q81" i="5" s="1"/>
  <c r="L79" i="5"/>
  <c r="L81" i="5" s="1"/>
  <c r="N79" i="5"/>
  <c r="N81" i="5" s="1"/>
  <c r="F79" i="5"/>
  <c r="F81" i="5" s="1"/>
  <c r="G79" i="5"/>
  <c r="G81" i="5" s="1"/>
  <c r="E79" i="5"/>
  <c r="E81" i="5" s="1"/>
  <c r="M64" i="5"/>
  <c r="M65" i="5" s="1"/>
  <c r="M67" i="5" s="1"/>
  <c r="R64" i="5"/>
  <c r="R65" i="5" s="1"/>
  <c r="R67" i="5" s="1"/>
  <c r="R79" i="5"/>
  <c r="R81" i="5" s="1"/>
  <c r="P64" i="5"/>
  <c r="P65" i="5" s="1"/>
  <c r="P67" i="5" s="1"/>
  <c r="Q64" i="5"/>
  <c r="Q65" i="5" s="1"/>
  <c r="Q67" i="5" s="1"/>
  <c r="T64" i="5"/>
  <c r="T65" i="5" s="1"/>
  <c r="T67" i="5" s="1"/>
  <c r="I64" i="5"/>
  <c r="I65" i="5" s="1"/>
  <c r="I67" i="5" s="1"/>
  <c r="K64" i="5"/>
  <c r="K65" i="5" s="1"/>
  <c r="K67" i="5" s="1"/>
  <c r="F64" i="5"/>
  <c r="F65" i="5" s="1"/>
  <c r="F67" i="5" s="1"/>
  <c r="O64" i="5"/>
  <c r="O65" i="5" s="1"/>
  <c r="O67" i="5" s="1"/>
  <c r="Q285" i="3"/>
  <c r="Q290" i="3" s="1"/>
  <c r="E285" i="3"/>
  <c r="E290" i="3" s="1"/>
  <c r="N285" i="3"/>
  <c r="N290" i="3" s="1"/>
  <c r="J64" i="5"/>
  <c r="J65" i="5" s="1"/>
  <c r="J67" i="5" s="1"/>
  <c r="J285" i="3"/>
  <c r="J290" i="3" s="1"/>
  <c r="M79" i="5"/>
  <c r="M81" i="5" s="1"/>
  <c r="H54" i="5"/>
  <c r="M37" i="5"/>
  <c r="J37" i="5"/>
  <c r="N37" i="5"/>
  <c r="R37" i="5"/>
  <c r="F37" i="5"/>
  <c r="Q37" i="5"/>
  <c r="K37" i="5"/>
  <c r="H37" i="5"/>
  <c r="O44" i="3"/>
  <c r="O50" i="3"/>
  <c r="P44" i="3"/>
  <c r="P50" i="3"/>
  <c r="J50" i="3"/>
  <c r="J44" i="3"/>
  <c r="M50" i="3"/>
  <c r="M44" i="3"/>
  <c r="I50" i="3"/>
  <c r="I44" i="3"/>
  <c r="L50" i="3"/>
  <c r="L44" i="3"/>
  <c r="C44" i="3"/>
  <c r="C50" i="3"/>
  <c r="E44" i="3"/>
  <c r="E50" i="3"/>
  <c r="K50" i="3"/>
  <c r="K44" i="3"/>
  <c r="G44" i="3"/>
  <c r="G50" i="3"/>
  <c r="H50" i="3"/>
  <c r="H44" i="3"/>
  <c r="N44" i="3"/>
  <c r="N50" i="3"/>
  <c r="Q44" i="3"/>
  <c r="Q50" i="3"/>
  <c r="D44" i="3"/>
  <c r="D50" i="3"/>
  <c r="R12" i="3"/>
  <c r="T47" i="5" s="1"/>
  <c r="G290" i="3"/>
  <c r="F40" i="5" l="1"/>
  <c r="R40" i="5"/>
  <c r="N40" i="5"/>
  <c r="J40" i="5"/>
  <c r="Q40" i="5"/>
  <c r="M40" i="5"/>
  <c r="T40" i="5"/>
  <c r="H49" i="5"/>
  <c r="H55" i="5" s="1"/>
  <c r="H57" i="5" s="1"/>
  <c r="H40" i="5"/>
  <c r="K40" i="5"/>
  <c r="N54" i="5"/>
  <c r="N46" i="5"/>
  <c r="J54" i="5"/>
  <c r="J46" i="5"/>
  <c r="K54" i="5"/>
  <c r="K46" i="5"/>
  <c r="I54" i="5"/>
  <c r="I46" i="5"/>
  <c r="O54" i="5"/>
  <c r="O46" i="5"/>
  <c r="P54" i="5"/>
  <c r="P46" i="5"/>
  <c r="M54" i="5"/>
  <c r="M46" i="5"/>
  <c r="L54" i="5"/>
  <c r="L46" i="5"/>
  <c r="F54" i="5"/>
  <c r="F46" i="5"/>
  <c r="G54" i="5"/>
  <c r="G46" i="5"/>
  <c r="R54" i="5"/>
  <c r="R46" i="5"/>
  <c r="S54" i="5"/>
  <c r="S46" i="5"/>
  <c r="E46" i="5"/>
  <c r="Q54" i="5"/>
  <c r="Q46" i="5"/>
  <c r="P37" i="5"/>
  <c r="S37" i="5"/>
  <c r="O37" i="5"/>
  <c r="G37" i="5"/>
  <c r="I37" i="5"/>
  <c r="L37" i="5"/>
  <c r="R44" i="3"/>
  <c r="R50" i="3"/>
  <c r="C261" i="3"/>
  <c r="C264" i="3" s="1"/>
  <c r="C272" i="3"/>
  <c r="C274" i="3" s="1"/>
  <c r="C277" i="3" s="1"/>
  <c r="H41" i="5" l="1"/>
  <c r="F49" i="5"/>
  <c r="F41" i="5" s="1"/>
  <c r="L49" i="5"/>
  <c r="L55" i="5" s="1"/>
  <c r="L57" i="5" s="1"/>
  <c r="L40" i="5"/>
  <c r="M49" i="5"/>
  <c r="M41" i="5" s="1"/>
  <c r="I40" i="5"/>
  <c r="O40" i="5"/>
  <c r="S40" i="5"/>
  <c r="O49" i="5"/>
  <c r="O55" i="5" s="1"/>
  <c r="O57" i="5" s="1"/>
  <c r="P40" i="5"/>
  <c r="I49" i="5"/>
  <c r="I55" i="5" s="1"/>
  <c r="I57" i="5" s="1"/>
  <c r="Q49" i="5"/>
  <c r="Q41" i="5" s="1"/>
  <c r="K49" i="5"/>
  <c r="K41" i="5" s="1"/>
  <c r="P49" i="5"/>
  <c r="P55" i="5" s="1"/>
  <c r="P57" i="5" s="1"/>
  <c r="E49" i="5"/>
  <c r="S49" i="5"/>
  <c r="S55" i="5" s="1"/>
  <c r="S57" i="5" s="1"/>
  <c r="J49" i="5"/>
  <c r="J41" i="5" s="1"/>
  <c r="R49" i="5"/>
  <c r="R41" i="5" s="1"/>
  <c r="N49" i="5"/>
  <c r="N41" i="5" s="1"/>
  <c r="G40" i="5"/>
  <c r="G49" i="5"/>
  <c r="C285" i="3"/>
  <c r="C290" i="3" s="1"/>
  <c r="E54" i="5" s="1"/>
  <c r="T54" i="5"/>
  <c r="T46" i="5"/>
  <c r="E55" i="5" l="1"/>
  <c r="S41" i="5"/>
  <c r="S43" i="5" s="1"/>
  <c r="L41" i="5"/>
  <c r="L43" i="5" s="1"/>
  <c r="P41" i="5"/>
  <c r="P43" i="5" s="1"/>
  <c r="F55" i="5"/>
  <c r="F57" i="5" s="1"/>
  <c r="G41" i="5"/>
  <c r="G43" i="5" s="1"/>
  <c r="K55" i="5"/>
  <c r="K57" i="5" s="1"/>
  <c r="Q55" i="5"/>
  <c r="Q57" i="5" s="1"/>
  <c r="M55" i="5"/>
  <c r="M57" i="5" s="1"/>
  <c r="I41" i="5"/>
  <c r="I43" i="5" s="1"/>
  <c r="J55" i="5"/>
  <c r="J57" i="5" s="1"/>
  <c r="O41" i="5"/>
  <c r="O43" i="5" s="1"/>
  <c r="N55" i="5"/>
  <c r="N57" i="5" s="1"/>
  <c r="G55" i="5"/>
  <c r="G57" i="5" s="1"/>
  <c r="R55" i="5"/>
  <c r="R57" i="5" s="1"/>
  <c r="T49" i="5"/>
  <c r="T41" i="5" s="1"/>
  <c r="T43" i="5" s="1"/>
  <c r="F43" i="5"/>
  <c r="H43" i="5"/>
  <c r="R43" i="5"/>
  <c r="M43" i="5"/>
  <c r="N43" i="5"/>
  <c r="Q43" i="5"/>
  <c r="K43" i="5"/>
  <c r="J43" i="5"/>
  <c r="E37" i="5"/>
  <c r="T55" i="5" l="1"/>
  <c r="T57" i="5" s="1"/>
  <c r="E40" i="5"/>
  <c r="E41" i="5" s="1"/>
  <c r="E43" i="5" s="1"/>
  <c r="E57" i="5"/>
</calcChain>
</file>

<file path=xl/sharedStrings.xml><?xml version="1.0" encoding="utf-8"?>
<sst xmlns="http://schemas.openxmlformats.org/spreadsheetml/2006/main" count="1095" uniqueCount="405">
  <si>
    <t>Tab Name</t>
  </si>
  <si>
    <t>Purpose</t>
  </si>
  <si>
    <t>Final Results</t>
  </si>
  <si>
    <t>Final incremental costs including first costs, maintenance costs, and replacement costs</t>
  </si>
  <si>
    <t>Proto Costing</t>
  </si>
  <si>
    <t>Cost buildup for each prototype and system type</t>
  </si>
  <si>
    <t>Plant-side Costs</t>
  </si>
  <si>
    <t>Plant-side component costs</t>
  </si>
  <si>
    <t>Air-side Costs</t>
  </si>
  <si>
    <t>Air-side distribution component costs</t>
  </si>
  <si>
    <t>Sizing</t>
  </si>
  <si>
    <t>Heating load and AHU cfm from models</t>
  </si>
  <si>
    <t>Prototype Incremental First Costs and Maintenance and Replacement Costs</t>
  </si>
  <si>
    <t>Maintenance and Replacement Costs Calculation</t>
  </si>
  <si>
    <t>Parameter</t>
  </si>
  <si>
    <t>Value</t>
  </si>
  <si>
    <t>Source</t>
  </si>
  <si>
    <t>Discount Rate</t>
  </si>
  <si>
    <t>CEC Assumption</t>
  </si>
  <si>
    <t>Lrg Office Num Zones</t>
  </si>
  <si>
    <t>Costing assumes Large Office prototype has more zones than "energy model zones"</t>
  </si>
  <si>
    <t>Lrg School Num Zones</t>
  </si>
  <si>
    <t>Component</t>
  </si>
  <si>
    <t>Annual Maint</t>
  </si>
  <si>
    <t>EUL</t>
  </si>
  <si>
    <t>Repl Discount</t>
  </si>
  <si>
    <t>PV of Maint. Cost</t>
  </si>
  <si>
    <t>PVAV</t>
  </si>
  <si>
    <t>VRF</t>
  </si>
  <si>
    <t>Boiler</t>
  </si>
  <si>
    <t>AWHP</t>
  </si>
  <si>
    <t>Pump</t>
  </si>
  <si>
    <t>FPFC</t>
  </si>
  <si>
    <t>VAV Terminal Unit</t>
  </si>
  <si>
    <t>DOAS</t>
  </si>
  <si>
    <t>Built-up AHU (Note 1)</t>
  </si>
  <si>
    <t>BU AHU Replacement/cfm</t>
  </si>
  <si>
    <t>1. O&amp;M for Built-Up VAV assumes replacement of fans and coils without entire cabinet. Pump maintenance cost is neutral for the AWHP case.</t>
  </si>
  <si>
    <t>2. Annual Maintenance Cost estimates from O&amp;M equipment task lists and an assumed burdened labor rate of $100-$120/hr.</t>
  </si>
  <si>
    <t>3. EUL = Expected Useful Life of Equipment, from ASHRAE Equipment Life Expectancy Chart</t>
  </si>
  <si>
    <t>4. Repl Discount = Discount factor for equipment replacement after EUL period.</t>
  </si>
  <si>
    <t>5. PV of Maint Cost = Total maintenance cost over expected life, per unit, accounting for the discount rate.</t>
  </si>
  <si>
    <t>6. FPFC estimated annual maintenance (incremental over VAV terminal units) is 2 hours per FPFC unit.</t>
  </si>
  <si>
    <t>Proposed First Cost - proposed HVAC system first cost of all costed components.  Note for some buildings this may not include systems (chiller, tower) that have a neutral cost.</t>
  </si>
  <si>
    <t xml:space="preserve">Replacement Cost - replacement cost of all systems in table above applicable to the design, modified by the Replacement Discount factor in colum G.  </t>
  </si>
  <si>
    <t>Maintenance Cost - the total maintenance cost of all system components in the table above, column H, multiplied by the number of components of each type.</t>
  </si>
  <si>
    <t>Incr Cost - the incremental HVAC system cost over the baseline, per square foot of building floor area.</t>
  </si>
  <si>
    <t xml:space="preserve">AGIC Avoided Cost - the avoided cost of gas infrastructure (running gas lines to building, and runnling gas lines to HVAC units).  This only applies to office buildings, not to schools. </t>
  </si>
  <si>
    <t>Net Incremental Cost - the net incremental cost over the standard design (2022 baseline) HVAC system, per square foot of floor area.</t>
  </si>
  <si>
    <t>CZ1</t>
  </si>
  <si>
    <t>CZ2</t>
  </si>
  <si>
    <t>CZ3</t>
  </si>
  <si>
    <t>CZ4</t>
  </si>
  <si>
    <t>CZ5</t>
  </si>
  <si>
    <t>CZ6</t>
  </si>
  <si>
    <t>CZ7</t>
  </si>
  <si>
    <t>CZ8</t>
  </si>
  <si>
    <t>CZ9</t>
  </si>
  <si>
    <t>CZ10</t>
  </si>
  <si>
    <t>CZ11</t>
  </si>
  <si>
    <t>CZ12</t>
  </si>
  <si>
    <t>CZ13</t>
  </si>
  <si>
    <t>CZ14</t>
  </si>
  <si>
    <t>CZ15</t>
  </si>
  <si>
    <t>CZ16</t>
  </si>
  <si>
    <t>LrgOff</t>
  </si>
  <si>
    <t>Proposed First Cost</t>
  </si>
  <si>
    <t>AWHP+VAV</t>
  </si>
  <si>
    <t>Replacement Cost</t>
  </si>
  <si>
    <t>Maintenance Cost</t>
  </si>
  <si>
    <t>Total</t>
  </si>
  <si>
    <t>Incr Cost</t>
  </si>
  <si>
    <t>AGIC Avoided Cost</t>
  </si>
  <si>
    <t>Net Incremental Cost</t>
  </si>
  <si>
    <t>Large Office</t>
  </si>
  <si>
    <t>CZ</t>
  </si>
  <si>
    <t>Base</t>
  </si>
  <si>
    <t>Baseline First Cost</t>
  </si>
  <si>
    <t>AWHP+FPFC</t>
  </si>
  <si>
    <t>LrgSch</t>
  </si>
  <si>
    <t>AWHP-VAV</t>
  </si>
  <si>
    <t>Large School</t>
  </si>
  <si>
    <t>Conditioned Floor Area</t>
  </si>
  <si>
    <t>ft2</t>
  </si>
  <si>
    <t>Large Office Prototype - VAV+Gas Boiler (Base Case)</t>
  </si>
  <si>
    <t>Gas Boiler</t>
  </si>
  <si>
    <t>Capacity</t>
  </si>
  <si>
    <t>MBH</t>
  </si>
  <si>
    <t>Capacity, MBH, sizing from energy model heating load</t>
  </si>
  <si>
    <t>Qty</t>
  </si>
  <si>
    <t>Mat Cost</t>
  </si>
  <si>
    <t>RS Means Online 2023</t>
  </si>
  <si>
    <t>Labor Cost</t>
  </si>
  <si>
    <t>O&amp;P</t>
  </si>
  <si>
    <t>Subtotal</t>
  </si>
  <si>
    <t>Gas Boiler Cost with Overhead and Profit</t>
  </si>
  <si>
    <t>VAV AHU</t>
  </si>
  <si>
    <t>Capacity in tons is not used - use airflow from sizing run for built-up AHU</t>
  </si>
  <si>
    <t>Qty (CFM)</t>
  </si>
  <si>
    <t>CFM</t>
  </si>
  <si>
    <t>Design airflow of built-up AHUs from model (built-up unit with CHW and HW coils)</t>
  </si>
  <si>
    <t>Unit Cost</t>
  </si>
  <si>
    <t>RS Means Online (2023) - cost regression as a function of design airflow (cfm)</t>
  </si>
  <si>
    <t>HW Ductwork</t>
  </si>
  <si>
    <t>Qty (ft)</t>
  </si>
  <si>
    <t>ft</t>
  </si>
  <si>
    <t>Length of ductwork in ft - trunk ducts and btanches to all 120 zones</t>
  </si>
  <si>
    <t>Installed Ductwork Cost per linear foot, MEP CA Office Project Avg (NORESCO), combined material and labor cost [- see Sheet1</t>
  </si>
  <si>
    <t>Duct system installed cost</t>
  </si>
  <si>
    <t>Duct system installed cost with OH&amp;P</t>
  </si>
  <si>
    <t>HW Piping</t>
  </si>
  <si>
    <t>Capacity (ft)</t>
  </si>
  <si>
    <t>Length of jhydronic piping, CHW and HW</t>
  </si>
  <si>
    <t>HW Piping Cost</t>
  </si>
  <si>
    <t>VAV Box</t>
  </si>
  <si>
    <t>Installed Cost of 120 VAV Boxes, MEP CA Office Project Avg (NORESCO)</t>
  </si>
  <si>
    <t>All (120 zones)</t>
  </si>
  <si>
    <t>Circ Pump</t>
  </si>
  <si>
    <t>Pump Motorhorsepower</t>
  </si>
  <si>
    <t>hp</t>
  </si>
  <si>
    <t>Pump Nameplate HP, using ACM gpm/ton and W/gpm standard design assumptions</t>
  </si>
  <si>
    <t>SUBTOTAL</t>
  </si>
  <si>
    <t>No controls, Cx</t>
  </si>
  <si>
    <t>Controls</t>
  </si>
  <si>
    <t>Feng, J. and Hwakong Cheng 2018. Construction and Energy Costs for Radiant vs. VAV Systems in the California Bay Area, Final Report, Taylor Engineering and UC Berkeley, EPIC-14-009, November 15, 2018.</t>
  </si>
  <si>
    <t>Commissioning (Htg System)</t>
  </si>
  <si>
    <t>Cx Costs are differential function testing estimates for bours (NORESCO), using a loaded Cx labor rate of $160/hr.</t>
  </si>
  <si>
    <t>TOTAL</t>
  </si>
  <si>
    <t>Project Total (Costed Portion)</t>
  </si>
  <si>
    <t>Large Office Prototype - AWHP with FPFC (Proposed Case)</t>
  </si>
  <si>
    <t>tons</t>
  </si>
  <si>
    <t>System Heating Capacity for 50% of heating load from energy model</t>
  </si>
  <si>
    <t>$/ton</t>
  </si>
  <si>
    <t>Distributor cost, Trane Ascend ACX, unit only with no desuperheater</t>
  </si>
  <si>
    <t>Unit cost (rquipment only)</t>
  </si>
  <si>
    <t>RS Means Online</t>
  </si>
  <si>
    <t>Note that Capacity in tons is not used - source has DOAS installed cost as a function of CFM</t>
  </si>
  <si>
    <t>w/ ductwork</t>
  </si>
  <si>
    <t>DOAS AHU design CFM, from model.</t>
  </si>
  <si>
    <t>$/cfm</t>
  </si>
  <si>
    <t>VHE DOAS Study Final Report 2002, Red Car Analytics</t>
  </si>
  <si>
    <t>CHW Piping</t>
  </si>
  <si>
    <t>Linear ft</t>
  </si>
  <si>
    <t>Linear Feet of Ductwork, assumes trunk duct around perimeter, with branch ductwork to each of 120 zones</t>
  </si>
  <si>
    <t>$/LF</t>
  </si>
  <si>
    <t>MEP CA Office Project Avg (NORESCO), combined material and labor cost</t>
  </si>
  <si>
    <t>Linrar ft</t>
  </si>
  <si>
    <t>Linear feet of Hydronic Piping</t>
  </si>
  <si>
    <t>MEP CA Office Project Avg (NORESCO), combined material and labor cost [- see Sheet1</t>
  </si>
  <si>
    <t>FPFC Unit</t>
  </si>
  <si>
    <t>Number of Zones</t>
  </si>
  <si>
    <t>Num Zones</t>
  </si>
  <si>
    <t>Pump Nameplate HP</t>
  </si>
  <si>
    <t>Circulation Pump Nameplate HP - gpm/ton and W/gpm from ACM standard design assumptions (Note: no code requirement on pump power)</t>
  </si>
  <si>
    <t>Storage</t>
  </si>
  <si>
    <t>Capacity (gal)</t>
  </si>
  <si>
    <t>gal</t>
  </si>
  <si>
    <t>Assumes 10 gal/ton total volume, less volume in piping (conversion estimate of 21.43 ft piping holds 1 gal)</t>
  </si>
  <si>
    <t>Qty (gal)</t>
  </si>
  <si>
    <t>Round up to nearest 25 gal for indirect storage tank</t>
  </si>
  <si>
    <t>Mat Cost + Labor Cost</t>
  </si>
  <si>
    <t>RS Means Online 2023 (regression of total costs, material and labor) against storage volume in gallons</t>
  </si>
  <si>
    <t>Labor Cost (not used)</t>
  </si>
  <si>
    <t>Storage Cost with OH&amp;P</t>
  </si>
  <si>
    <t>`</t>
  </si>
  <si>
    <t>Suppl Htr</t>
  </si>
  <si>
    <t>Capacity (kW)</t>
  </si>
  <si>
    <t>kW</t>
  </si>
  <si>
    <t>Supplemental Heater, kW, sized from energy model</t>
  </si>
  <si>
    <t>Total Cost (Mat + Labor)</t>
  </si>
  <si>
    <t>Supplemental Electric Boiler Cost with OH&amp;P</t>
  </si>
  <si>
    <t>Large School Prototype - VAV+Gas Boiler (Base Case)</t>
  </si>
  <si>
    <t>Distribution Length:</t>
  </si>
  <si>
    <t>Gas Boiler Heating Capacity for heating load from energy model</t>
  </si>
  <si>
    <t>Unit Cost, Equipment (RS Means Online(</t>
  </si>
  <si>
    <t>Unit Cost, (RS Means Online)</t>
  </si>
  <si>
    <t>Component Installed Cost with OH&amp;P</t>
  </si>
  <si>
    <t>cfm</t>
  </si>
  <si>
    <t>VAV AHU design CFM, from model.</t>
  </si>
  <si>
    <t>RS Means Online (2023), Cost for Built-up VAV Air Handling Unit</t>
  </si>
  <si>
    <t>VAV AHU Cost with OH&amp;P</t>
  </si>
  <si>
    <t>Linear feet</t>
  </si>
  <si>
    <t>Heating Hot Water Ductwork Cost</t>
  </si>
  <si>
    <t>Heating Hot Water Ductwork Cost with OH&amp;P</t>
  </si>
  <si>
    <t>Piping Installed Cost with OH&amp;P</t>
  </si>
  <si>
    <t>All (46 zones)</t>
  </si>
  <si>
    <t>Motor HP</t>
  </si>
  <si>
    <t>$</t>
  </si>
  <si>
    <t>Large School Prototype - AWHP with FPFC (Proposed Case)</t>
  </si>
  <si>
    <t>Nominal tons</t>
  </si>
  <si>
    <t>DOAS Unit Installed Cost</t>
  </si>
  <si>
    <t>Heating Hot Water Ductwork Cost, Total Installed Cost</t>
  </si>
  <si>
    <t>n/a (cost abvoe is installed cost)</t>
  </si>
  <si>
    <t>HW Piping Installed Cost</t>
  </si>
  <si>
    <t>n/a</t>
  </si>
  <si>
    <t>Number of Zone</t>
  </si>
  <si>
    <t>Fan coil unit total costs, with unit costs from MEP CA Office Project Avg (NORESCO)</t>
  </si>
  <si>
    <t>All (3/4 HP)</t>
  </si>
  <si>
    <t>Storage Requirement, 10 gal/ton, less volume in hydronic loop</t>
  </si>
  <si>
    <t>Storage Requirement rounded to nominal size</t>
  </si>
  <si>
    <t>RS Means Online (2023)</t>
  </si>
  <si>
    <t>Supplemental Electric Boiler Size Requirement at 50% of design heating load</t>
  </si>
  <si>
    <t>Electric Boiler Installed Cost, RS Means Online (2023)</t>
  </si>
  <si>
    <t>Large Office Prototype - VAV+AWHP (Proposed Case)</t>
  </si>
  <si>
    <t>Units</t>
  </si>
  <si>
    <t>Heating Capacity, tons (rounded up to nearest 10 tons)</t>
  </si>
  <si>
    <t>Built-Up VAV AHU design CFM, from model.</t>
  </si>
  <si>
    <t>RS Means Online, regression of system costs</t>
  </si>
  <si>
    <t>$/ft</t>
  </si>
  <si>
    <t>120 zones</t>
  </si>
  <si>
    <t>included</t>
  </si>
  <si>
    <t>Large School Prototype - VAV+AWHP (Proposed Case)</t>
  </si>
  <si>
    <t>Capacity (tons) not used for built-up AHU. Cost is a function of design airflow (cfm).</t>
  </si>
  <si>
    <t>Unit Cost (not used)</t>
  </si>
  <si>
    <t>RS Means Online (2023). Regression of installed cost with storage capacity in gallons.</t>
  </si>
  <si>
    <t>Plant-side components and regressions</t>
  </si>
  <si>
    <t>Storage = (10gal/ton x tons) - (length pipe x 1 gal/21.43 ft pipe)</t>
  </si>
  <si>
    <t>Required storage volume is 10 gal/ton less the volume in the hydronic piping</t>
  </si>
  <si>
    <t>Storage Tank, Stainless Steel Unlined</t>
  </si>
  <si>
    <t>Source: RS Means</t>
  </si>
  <si>
    <t>Cap</t>
  </si>
  <si>
    <t>Mat</t>
  </si>
  <si>
    <t>Labor</t>
  </si>
  <si>
    <t>Electric Boiler</t>
  </si>
  <si>
    <t>Source: RSMeans #235213102040</t>
  </si>
  <si>
    <t>Commercial NG Boilers</t>
  </si>
  <si>
    <t>Source: AF Supply, Distributor</t>
  </si>
  <si>
    <t>RS Means for Labor</t>
  </si>
  <si>
    <t>Make</t>
  </si>
  <si>
    <t>Eff</t>
  </si>
  <si>
    <t>Cost</t>
  </si>
  <si>
    <t>Well-McLain</t>
  </si>
  <si>
    <t>Lochinvar Cu</t>
  </si>
  <si>
    <t>Lochinvar</t>
  </si>
  <si>
    <t>LAARS</t>
  </si>
  <si>
    <t>Pump Costs</t>
  </si>
  <si>
    <t>Pump Sizing</t>
  </si>
  <si>
    <t>Pump Sizing gas</t>
  </si>
  <si>
    <t>Load</t>
  </si>
  <si>
    <t>Model</t>
  </si>
  <si>
    <t>GPM</t>
  </si>
  <si>
    <t>gpm</t>
  </si>
  <si>
    <t>Calc = f (10F delta T)</t>
  </si>
  <si>
    <t>Pump Efficacy</t>
  </si>
  <si>
    <t>W/gpm</t>
  </si>
  <si>
    <t>App G</t>
  </si>
  <si>
    <t>Constant</t>
  </si>
  <si>
    <t>Pump Power</t>
  </si>
  <si>
    <t>Conversion</t>
  </si>
  <si>
    <t>Pump bhp</t>
  </si>
  <si>
    <t xml:space="preserve">BHP per ton </t>
  </si>
  <si>
    <t>Conversion Factor, Pump HP per gpm</t>
  </si>
  <si>
    <t>From RS Means:  assume base mounted pump with coupling guard for easier service (more expensive than close mounted)</t>
  </si>
  <si>
    <t>RS Means#232123135040</t>
  </si>
  <si>
    <t>Size Range</t>
  </si>
  <si>
    <t>Material</t>
  </si>
  <si>
    <t>Total Installed</t>
  </si>
  <si>
    <t>HP</t>
  </si>
  <si>
    <t>2 HP to 50 gpm</t>
  </si>
  <si>
    <t>3 HP to 90 gpm</t>
  </si>
  <si>
    <t>5 HP to 225 gpm</t>
  </si>
  <si>
    <t>7 1/2 HP to 350 gpm</t>
  </si>
  <si>
    <t>10 HP to 600 gpm</t>
  </si>
  <si>
    <t>15 H to 1000 gpm</t>
  </si>
  <si>
    <t>AWHP Cost</t>
  </si>
  <si>
    <t>Source: Email correspondence with manufacturer</t>
  </si>
  <si>
    <t>Nominal Tons</t>
  </si>
  <si>
    <t>Htg Cap MBh</t>
  </si>
  <si>
    <t>Htg Tons</t>
  </si>
  <si>
    <t>COP@47</t>
  </si>
  <si>
    <t>Water Flow (gpm)</t>
  </si>
  <si>
    <t>Tin</t>
  </si>
  <si>
    <t>Tout</t>
  </si>
  <si>
    <t>HX Loss (ft)</t>
  </si>
  <si>
    <t>Strainer Head Loss (ft)</t>
  </si>
  <si>
    <t>COST</t>
  </si>
  <si>
    <t>Cost/Ton</t>
  </si>
  <si>
    <t>ACSA</t>
  </si>
  <si>
    <t>Todd Elmgren, Trane, quote on 1/3/2023</t>
  </si>
  <si>
    <t>Quotation Email:</t>
  </si>
  <si>
    <r>
      <t>Pricing including : standard safety and operating controls, disconnects, BACnet, insulation, conv outlet, 1</t>
    </r>
    <r>
      <rPr>
        <vertAlign val="superscript"/>
        <sz val="11"/>
        <color rgb="FF1F497D"/>
        <rFont val="Calibri"/>
        <family val="2"/>
        <scheme val="minor"/>
      </rPr>
      <t>st</t>
    </r>
    <r>
      <rPr>
        <sz val="11"/>
        <color rgb="FF1F497D"/>
        <rFont val="Calibri"/>
        <family val="2"/>
        <scheme val="minor"/>
      </rPr>
      <t xml:space="preserve"> year parts, labor, and refrigerant wty, start-up , freight , no tax</t>
    </r>
  </si>
  <si>
    <t xml:space="preserve">NOTE: Units are heat or cool -  not simultaneous </t>
  </si>
  <si>
    <t>ACSA-140 ……………………………… $ 175,100</t>
  </si>
  <si>
    <t>ACSA-180………………………………$ 214,800</t>
  </si>
  <si>
    <t>ACSA-200……………………………..$  225,300</t>
  </si>
  <si>
    <t>ACSA- 230……………………………..$ 252,400</t>
  </si>
  <si>
    <t>Todd Elmgren</t>
  </si>
  <si>
    <r>
      <t xml:space="preserve">Trane </t>
    </r>
    <r>
      <rPr>
        <sz val="9"/>
        <color rgb="FF1F497D"/>
        <rFont val="Calibri"/>
        <family val="2"/>
        <scheme val="minor"/>
      </rPr>
      <t>Technologies</t>
    </r>
  </si>
  <si>
    <t>5335 College Ave. Oakland CA 94618</t>
  </si>
  <si>
    <t>tjelmgren@trane.com</t>
  </si>
  <si>
    <t xml:space="preserve">510-433-8946 </t>
  </si>
  <si>
    <t>Four-Pipe Fan Coil Units</t>
  </si>
  <si>
    <t>Source: Distributiors.  
1-ton $1713, 2 ton $1926, 3 ton $2778</t>
  </si>
  <si>
    <t>Cost (No Heat)</t>
  </si>
  <si>
    <t>FPFC Mat</t>
  </si>
  <si>
    <t>VAV Built-Up Units</t>
  </si>
  <si>
    <t>RS Means Code: 237313102318</t>
  </si>
  <si>
    <t>Total Cost</t>
  </si>
  <si>
    <t xml:space="preserve">Labor Costs - PVAV </t>
  </si>
  <si>
    <t>Bare Labor</t>
  </si>
  <si>
    <t>Eqp Cost (Ref only)</t>
  </si>
  <si>
    <t>Distribution System Costs</t>
  </si>
  <si>
    <t>Source: Adapted from MEP project data of California office buildings, NORESCO (Singer)</t>
  </si>
  <si>
    <t>These costs are used to determine ductwork and piping installed costs per linear foot (LF).</t>
  </si>
  <si>
    <t>Distribution Costs - J. Singer (Northern California recent Large Office MEP projects)</t>
  </si>
  <si>
    <t>Material Cost per ft</t>
  </si>
  <si>
    <t>Duct</t>
  </si>
  <si>
    <t>Pipe</t>
  </si>
  <si>
    <t>Pipe Base</t>
  </si>
  <si>
    <t>Duct 32.80 - 16" round with labor</t>
  </si>
  <si>
    <t>Assume 24.50 with fittings - $50</t>
  </si>
  <si>
    <t>Duct Insulation - $4.77</t>
  </si>
  <si>
    <t>Total: $54.77/LF</t>
  </si>
  <si>
    <t>Terminal Unit Costs</t>
  </si>
  <si>
    <t>Average Capacity</t>
  </si>
  <si>
    <t>3.5ton/1250cfm</t>
  </si>
  <si>
    <t>RSMeans</t>
  </si>
  <si>
    <t>VAV Box, 1250 cfm avg</t>
  </si>
  <si>
    <t xml:space="preserve">FPFC </t>
  </si>
  <si>
    <t>FPFC, 3.5 ton avg.</t>
  </si>
  <si>
    <t>Built-Up AHU Replacement Estimate:</t>
  </si>
  <si>
    <t>1. Replace Centrifugal Fan</t>
  </si>
  <si>
    <t>RS Means 233416104260 - Belt-Driven Fan.  Cost with labor for 40,980 cfm, 25 HP</t>
  </si>
  <si>
    <t>Cost per cfm</t>
  </si>
  <si>
    <t>2. Repair replace Coils</t>
  </si>
  <si>
    <t>Estimate per cfm</t>
  </si>
  <si>
    <t>3. Repair or replace dampers</t>
  </si>
  <si>
    <t>Sizing info from models</t>
  </si>
  <si>
    <t>Heating Load, tons</t>
  </si>
  <si>
    <t>AHU CFM</t>
  </si>
  <si>
    <t>Secondary School</t>
  </si>
  <si>
    <t>Sch Floor</t>
  </si>
  <si>
    <t>Plan Dim 1</t>
  </si>
  <si>
    <t>Plan Dim 2</t>
  </si>
  <si>
    <t>Run 30' from ends</t>
  </si>
  <si>
    <t>Avg 50' supply return duct per zone</t>
  </si>
  <si>
    <t>Maintenance Tasks for FCUs.</t>
  </si>
  <si>
    <t>Avoided Gas Infrstructure Costs</t>
  </si>
  <si>
    <t>Source: CPUC</t>
  </si>
  <si>
    <t>Medium Office</t>
  </si>
  <si>
    <t>Amount</t>
  </si>
  <si>
    <t>Included?</t>
  </si>
  <si>
    <t>Gas T&amp;D Avoided Costs</t>
  </si>
  <si>
    <t>therm</t>
  </si>
  <si>
    <t>GHG Abatement Cost</t>
  </si>
  <si>
    <t>ton</t>
  </si>
  <si>
    <t>Service Extension PG&amp;E</t>
  </si>
  <si>
    <t>bldg</t>
  </si>
  <si>
    <t>Service line including trenching</t>
  </si>
  <si>
    <t>Service line including trenching (greenfield)</t>
  </si>
  <si>
    <t>Meter</t>
  </si>
  <si>
    <t>Submeters</t>
  </si>
  <si>
    <t>x 3</t>
  </si>
  <si>
    <t>Submeter, Leviton GMP 10-251, with installation</t>
  </si>
  <si>
    <t>Medium Office - Total</t>
  </si>
  <si>
    <t>SCE: $1567</t>
  </si>
  <si>
    <t>Per Meter</t>
  </si>
  <si>
    <t>Avoided Gas Lines to Boiler</t>
  </si>
  <si>
    <t>With Submetering</t>
  </si>
  <si>
    <t>Service Line (high)</t>
  </si>
  <si>
    <t>Service line (rural, no trenching)</t>
  </si>
  <si>
    <t>Submeters (qty 3)</t>
  </si>
  <si>
    <t>Avoided Gas Lines</t>
  </si>
  <si>
    <t>AGIC Cost High Estimate</t>
  </si>
  <si>
    <t>AGIC Cost Low Estimate</t>
  </si>
  <si>
    <t>AGIC Cost High Est (per sf)</t>
  </si>
  <si>
    <t>AGIC Cost Low Est (per sf)</t>
  </si>
  <si>
    <t>Submeters (qty 12)</t>
  </si>
  <si>
    <t>Submeters (qty 1)</t>
  </si>
  <si>
    <t>Ealier Distribution Gas Line Install estimate from Colby Jones of AES (large GC of retail projects)</t>
  </si>
  <si>
    <t>John,</t>
  </si>
  <si>
    <t>There is a lot of different factors that could increase or decrease the prices.</t>
  </si>
  <si>
    <t>Below is an average that we typically use.</t>
  </si>
  <si>
    <t>Sch. 40 Steel Pipe.</t>
  </si>
  <si>
    <t>¾” Gas Pipe - $12.50/ft</t>
  </si>
  <si>
    <t>1” Gas Pipe - $15.30/ft</t>
  </si>
  <si>
    <t>1-1/4” Gas Pipe - $17.25/ft</t>
  </si>
  <si>
    <t>1-1/2" Gas Pipe - $20/ft</t>
  </si>
  <si>
    <t>Fiorentini Regulator</t>
  </si>
  <si>
    <t>¾” Gas Regulator - $72/ea</t>
  </si>
  <si>
    <t>The pipe support depends on what you’re wanting to use. You will need one every 6-8ft depending on the size of the pipe.</t>
  </si>
  <si>
    <t>Target Pipe support is around $65 each.</t>
  </si>
  <si>
    <t>Basic 2x4 will run you about $10 each.</t>
  </si>
  <si>
    <t>Space Type</t>
  </si>
  <si>
    <t>Small Office</t>
  </si>
  <si>
    <t>Large Retail</t>
  </si>
  <si>
    <t>Medium Retail</t>
  </si>
  <si>
    <t>Strip Mall</t>
  </si>
  <si>
    <t>Mixed-use Retail</t>
  </si>
  <si>
    <t>Small School</t>
  </si>
  <si>
    <t>Non-refrigerated Warehouse</t>
  </si>
  <si>
    <t>Hotel</t>
  </si>
  <si>
    <t>Assembly</t>
  </si>
  <si>
    <t>Hospital</t>
  </si>
  <si>
    <t>Laboratory</t>
  </si>
  <si>
    <t>Restaurant</t>
  </si>
  <si>
    <t>Enclosed Parking Garage</t>
  </si>
  <si>
    <t>Open Parking Garage</t>
  </si>
  <si>
    <t>Incremental Costs for IMPLAN Input</t>
  </si>
  <si>
    <t>$/sf</t>
  </si>
  <si>
    <t>Large Off</t>
  </si>
  <si>
    <t>Med Off</t>
  </si>
  <si>
    <t>Large Sch</t>
  </si>
  <si>
    <t>Cost $/sf</t>
  </si>
  <si>
    <t>Square ft (x 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</si>
</sst>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7" formatCode="&quot;$&quot;#,##0.00_);\(&quot;$&quot;#,##0.00\)"/>
    <numFmt numFmtId="8" formatCode="&quot;$&quot;#,##0.00_);[Red]\(&quot;$&quot;#,##0.00\)"/>
    <numFmt numFmtId="44" formatCode="_(&quot;$&quot;* #,##0.00_);_(&quot;$&quot;* \(#,##0.00\);_(&quot;$&quot;* &quot;-&quot;??_);_(@_)"/>
    <numFmt numFmtId="164" formatCode="_(&quot;$&quot;* #,##0_);_(&quot;$&quot;* \(#,##0\);_(&quot;$&quot;* &quot;-&quot;??_);_(@_)"/>
    <numFmt numFmtId="165" formatCode="0.0"/>
    <numFmt numFmtId="166" formatCode="&quot;$&quot;#,##0"/>
    <numFmt numFmtId="167" formatCode="&quot;$&quot;#,##0.000_);[Red]\(&quot;$&quot;#,##0.000\)"/>
    <numFmt numFmtId="168" formatCode="0.000"/>
    <numFmt numFmtId="169" formatCode="0.000000"/>
    <numFmt numFmtId="170" formatCode="&quot;$&quot;#,##0.00"/>
    <numFmt numFmtId="171" formatCode="&quot;$&quot;#,##0.000_);\(&quot;$&quot;#,##0.000\)"/>
  </numFmts>
  <fonts count="30"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1"/>
      <color theme="0"/>
      <name val="Calibri"/>
      <family val="2"/>
      <scheme val="minor"/>
    </font>
    <font>
      <b/>
      <sz val="16"/>
      <color theme="1"/>
      <name val="Calibri"/>
      <family val="2"/>
      <scheme val="minor"/>
    </font>
    <font>
      <b/>
      <sz val="14"/>
      <color theme="1"/>
      <name val="Calibri"/>
      <family val="2"/>
      <scheme val="minor"/>
    </font>
    <font>
      <sz val="11"/>
      <color rgb="FF000000"/>
      <name val="Calibri"/>
      <family val="2"/>
    </font>
    <font>
      <sz val="10"/>
      <color theme="1"/>
      <name val="Calibri"/>
      <family val="2"/>
      <scheme val="minor"/>
    </font>
    <font>
      <sz val="10"/>
      <color rgb="FF000000"/>
      <name val="Calibri"/>
      <family val="2"/>
    </font>
    <font>
      <sz val="9"/>
      <color theme="1"/>
      <name val="Calibri"/>
      <family val="2"/>
      <scheme val="minor"/>
    </font>
    <font>
      <sz val="11"/>
      <name val="Calibri"/>
      <family val="2"/>
      <scheme val="minor"/>
    </font>
    <font>
      <i/>
      <sz val="11"/>
      <color rgb="FFFF0000"/>
      <name val="Calibri"/>
      <family val="2"/>
      <scheme val="minor"/>
    </font>
    <font>
      <sz val="8"/>
      <name val="Calibri"/>
      <family val="2"/>
      <scheme val="minor"/>
    </font>
    <font>
      <b/>
      <sz val="9"/>
      <color rgb="FF000000"/>
      <name val="Century Gothic"/>
      <family val="2"/>
    </font>
    <font>
      <b/>
      <sz val="7"/>
      <color rgb="FF000000"/>
      <name val="Century Gothic"/>
      <family val="2"/>
    </font>
    <font>
      <sz val="9"/>
      <color rgb="FF000000"/>
      <name val="Century Gothic"/>
      <family val="2"/>
    </font>
    <font>
      <sz val="7"/>
      <color rgb="FF000000"/>
      <name val="Century Gothic"/>
      <family val="2"/>
    </font>
    <font>
      <b/>
      <sz val="9"/>
      <color theme="1"/>
      <name val="Calibri"/>
      <family val="2"/>
      <scheme val="minor"/>
    </font>
    <font>
      <sz val="11"/>
      <color rgb="FF1F497D"/>
      <name val="Calibri"/>
      <family val="2"/>
      <scheme val="minor"/>
    </font>
    <font>
      <vertAlign val="superscript"/>
      <sz val="11"/>
      <color rgb="FF1F497D"/>
      <name val="Calibri"/>
      <family val="2"/>
      <scheme val="minor"/>
    </font>
    <font>
      <sz val="12"/>
      <color rgb="FF1F497D"/>
      <name val="Calibri"/>
      <family val="2"/>
      <scheme val="minor"/>
    </font>
    <font>
      <sz val="10"/>
      <color rgb="FF1F497D"/>
      <name val="Calibri"/>
      <family val="2"/>
      <scheme val="minor"/>
    </font>
    <font>
      <sz val="9"/>
      <color rgb="FF1F497D"/>
      <name val="Calibri"/>
      <family val="2"/>
      <scheme val="minor"/>
    </font>
    <font>
      <sz val="12"/>
      <color theme="1"/>
      <name val="Calibri"/>
      <family val="2"/>
      <scheme val="minor"/>
    </font>
    <font>
      <b/>
      <sz val="16"/>
      <name val="Calibri"/>
      <family val="2"/>
      <scheme val="minor"/>
    </font>
    <font>
      <b/>
      <sz val="18"/>
      <color theme="1"/>
      <name val="Calibri"/>
      <family val="2"/>
      <scheme val="minor"/>
    </font>
    <font>
      <b/>
      <sz val="20"/>
      <color theme="1"/>
      <name val="Calibri"/>
      <family val="2"/>
      <scheme val="minor"/>
    </font>
    <font>
      <b/>
      <sz val="1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1" tint="0.14999847407452621"/>
        <bgColor indexed="64"/>
      </patternFill>
    </fill>
    <fill>
      <patternFill patternType="solid">
        <fgColor theme="7"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B4C6E7"/>
        <bgColor indexed="64"/>
      </patternFill>
    </fill>
    <fill>
      <patternFill patternType="solid">
        <fgColor theme="5" tint="0.79998168889431442"/>
        <bgColor indexed="64"/>
      </patternFill>
    </fill>
  </fills>
  <borders count="18">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auto="1"/>
      </top>
      <bottom/>
      <diagonal/>
    </border>
    <border>
      <left style="thin">
        <color auto="1"/>
      </left>
      <right/>
      <top style="thin">
        <color auto="1"/>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44" fontId="2" fillId="0" borderId="0" applyFon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cellStyleXfs>
  <cellXfs count="208">
    <xf numFmtId="0" fontId="0" fillId="0" borderId="0" xfId="0"/>
    <xf numFmtId="0" fontId="1" fillId="0" borderId="0" xfId="0" applyFont="1"/>
    <xf numFmtId="0" fontId="0" fillId="0" borderId="1" xfId="0" applyBorder="1"/>
    <xf numFmtId="0" fontId="0" fillId="0" borderId="0" xfId="0" applyAlignment="1">
      <alignment horizontal="center"/>
    </xf>
    <xf numFmtId="0" fontId="0" fillId="0" borderId="1" xfId="0" applyBorder="1" applyAlignment="1">
      <alignment horizontal="center"/>
    </xf>
    <xf numFmtId="6" fontId="0" fillId="0" borderId="0" xfId="0" applyNumberFormat="1"/>
    <xf numFmtId="1" fontId="0" fillId="0" borderId="0" xfId="0" applyNumberFormat="1"/>
    <xf numFmtId="2" fontId="0" fillId="0" borderId="0" xfId="0" applyNumberFormat="1"/>
    <xf numFmtId="164" fontId="0" fillId="0" borderId="0" xfId="1" applyNumberFormat="1" applyFont="1"/>
    <xf numFmtId="8" fontId="0" fillId="0" borderId="0" xfId="0" applyNumberFormat="1"/>
    <xf numFmtId="0" fontId="4" fillId="0" borderId="0" xfId="2"/>
    <xf numFmtId="166" fontId="0" fillId="0" borderId="0" xfId="0" applyNumberFormat="1"/>
    <xf numFmtId="166" fontId="0" fillId="0" borderId="0" xfId="1" applyNumberFormat="1" applyFont="1" applyBorder="1"/>
    <xf numFmtId="0" fontId="0" fillId="3" borderId="12" xfId="0" applyFill="1" applyBorder="1"/>
    <xf numFmtId="0" fontId="6" fillId="3" borderId="11" xfId="0" applyFont="1" applyFill="1" applyBorder="1"/>
    <xf numFmtId="0" fontId="0" fillId="3" borderId="11" xfId="0" applyFill="1" applyBorder="1"/>
    <xf numFmtId="0" fontId="0" fillId="3" borderId="6" xfId="0" applyFill="1" applyBorder="1"/>
    <xf numFmtId="0" fontId="0" fillId="3" borderId="2" xfId="0" applyFill="1" applyBorder="1"/>
    <xf numFmtId="0" fontId="0" fillId="3" borderId="0" xfId="0" applyFill="1"/>
    <xf numFmtId="0" fontId="0" fillId="3" borderId="3" xfId="0" applyFill="1" applyBorder="1"/>
    <xf numFmtId="166" fontId="0" fillId="3" borderId="0" xfId="0" applyNumberFormat="1" applyFill="1"/>
    <xf numFmtId="166" fontId="0" fillId="3" borderId="3" xfId="0" applyNumberFormat="1" applyFill="1" applyBorder="1"/>
    <xf numFmtId="6" fontId="0" fillId="3" borderId="0" xfId="0" applyNumberFormat="1" applyFill="1"/>
    <xf numFmtId="6" fontId="0" fillId="3" borderId="3" xfId="0" applyNumberFormat="1" applyFill="1" applyBorder="1"/>
    <xf numFmtId="9" fontId="0" fillId="3" borderId="0" xfId="0" applyNumberFormat="1" applyFill="1"/>
    <xf numFmtId="9" fontId="0" fillId="3" borderId="3" xfId="0" applyNumberFormat="1" applyFill="1" applyBorder="1"/>
    <xf numFmtId="165" fontId="0" fillId="3" borderId="0" xfId="0" applyNumberFormat="1" applyFill="1"/>
    <xf numFmtId="165" fontId="0" fillId="3" borderId="3" xfId="0" applyNumberFormat="1" applyFill="1" applyBorder="1"/>
    <xf numFmtId="0" fontId="3" fillId="3" borderId="0" xfId="0" applyFont="1" applyFill="1"/>
    <xf numFmtId="0" fontId="1" fillId="3" borderId="0" xfId="0" applyFont="1" applyFill="1"/>
    <xf numFmtId="6" fontId="1" fillId="3" borderId="11" xfId="0" applyNumberFormat="1" applyFont="1" applyFill="1" applyBorder="1"/>
    <xf numFmtId="6" fontId="1" fillId="3" borderId="6" xfId="0" applyNumberFormat="1" applyFont="1" applyFill="1" applyBorder="1"/>
    <xf numFmtId="0" fontId="0" fillId="3" borderId="4" xfId="0" applyFill="1" applyBorder="1"/>
    <xf numFmtId="0" fontId="0" fillId="3" borderId="1" xfId="0" applyFill="1" applyBorder="1"/>
    <xf numFmtId="0" fontId="0" fillId="3" borderId="5" xfId="0" applyFill="1" applyBorder="1"/>
    <xf numFmtId="0" fontId="5" fillId="4" borderId="2" xfId="0" applyFont="1" applyFill="1" applyBorder="1"/>
    <xf numFmtId="0" fontId="0" fillId="5" borderId="0" xfId="0" applyFill="1"/>
    <xf numFmtId="0" fontId="6" fillId="5" borderId="11" xfId="0" applyFont="1" applyFill="1" applyBorder="1"/>
    <xf numFmtId="0" fontId="0" fillId="5" borderId="3" xfId="0" applyFill="1" applyBorder="1"/>
    <xf numFmtId="0" fontId="0" fillId="5" borderId="2" xfId="0" applyFill="1" applyBorder="1"/>
    <xf numFmtId="166" fontId="0" fillId="5" borderId="0" xfId="1" applyNumberFormat="1" applyFont="1" applyFill="1" applyBorder="1"/>
    <xf numFmtId="6" fontId="0" fillId="5" borderId="0" xfId="0" applyNumberFormat="1" applyFill="1"/>
    <xf numFmtId="9" fontId="0" fillId="5" borderId="0" xfId="0" applyNumberFormat="1" applyFill="1"/>
    <xf numFmtId="9" fontId="0" fillId="5" borderId="3" xfId="0" applyNumberFormat="1" applyFill="1" applyBorder="1"/>
    <xf numFmtId="6" fontId="0" fillId="5" borderId="3" xfId="0" applyNumberFormat="1" applyFill="1" applyBorder="1"/>
    <xf numFmtId="166" fontId="0" fillId="5" borderId="0" xfId="0" applyNumberFormat="1" applyFill="1"/>
    <xf numFmtId="6" fontId="0" fillId="5" borderId="11" xfId="0" applyNumberFormat="1" applyFill="1" applyBorder="1"/>
    <xf numFmtId="0" fontId="5" fillId="6" borderId="2" xfId="0" applyFont="1" applyFill="1" applyBorder="1"/>
    <xf numFmtId="0" fontId="3" fillId="3" borderId="3" xfId="0" applyFont="1" applyFill="1" applyBorder="1"/>
    <xf numFmtId="167" fontId="0" fillId="0" borderId="0" xfId="0" applyNumberFormat="1"/>
    <xf numFmtId="0" fontId="0" fillId="0" borderId="0" xfId="0" applyAlignment="1">
      <alignment wrapText="1"/>
    </xf>
    <xf numFmtId="168" fontId="0" fillId="0" borderId="0" xfId="0" applyNumberFormat="1"/>
    <xf numFmtId="0" fontId="7" fillId="0" borderId="0" xfId="0" applyFont="1"/>
    <xf numFmtId="0" fontId="5" fillId="0" borderId="0" xfId="0" applyFont="1"/>
    <xf numFmtId="0" fontId="0" fillId="0" borderId="13" xfId="0" applyBorder="1"/>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6" fontId="1" fillId="0" borderId="0" xfId="0" applyNumberFormat="1" applyFont="1"/>
    <xf numFmtId="0" fontId="0" fillId="0" borderId="11" xfId="0" applyBorder="1"/>
    <xf numFmtId="2" fontId="1" fillId="3" borderId="0" xfId="0" applyNumberFormat="1" applyFont="1" applyFill="1"/>
    <xf numFmtId="169" fontId="1" fillId="2" borderId="1" xfId="0" applyNumberFormat="1" applyFont="1" applyFill="1" applyBorder="1"/>
    <xf numFmtId="0" fontId="3" fillId="0" borderId="0" xfId="0" applyFont="1"/>
    <xf numFmtId="0" fontId="0" fillId="8" borderId="0" xfId="0" applyFill="1"/>
    <xf numFmtId="167" fontId="0" fillId="9" borderId="0" xfId="0" applyNumberFormat="1" applyFill="1"/>
    <xf numFmtId="0" fontId="0" fillId="9" borderId="0" xfId="0" applyFill="1"/>
    <xf numFmtId="0" fontId="1" fillId="10" borderId="0" xfId="0" applyFont="1" applyFill="1"/>
    <xf numFmtId="0" fontId="0" fillId="7" borderId="0" xfId="0" applyFill="1"/>
    <xf numFmtId="8" fontId="0" fillId="7" borderId="0" xfId="0" applyNumberFormat="1" applyFill="1"/>
    <xf numFmtId="6" fontId="0" fillId="8" borderId="0" xfId="0" applyNumberFormat="1" applyFill="1"/>
    <xf numFmtId="0" fontId="1" fillId="5" borderId="0" xfId="0" applyFont="1" applyFill="1"/>
    <xf numFmtId="170" fontId="0" fillId="5" borderId="0" xfId="0" applyNumberFormat="1" applyFill="1"/>
    <xf numFmtId="0" fontId="6" fillId="0" borderId="0" xfId="0" applyFont="1"/>
    <xf numFmtId="6" fontId="1" fillId="3" borderId="0" xfId="0" applyNumberFormat="1" applyFont="1" applyFill="1"/>
    <xf numFmtId="170" fontId="0" fillId="3" borderId="0" xfId="0" applyNumberFormat="1" applyFill="1"/>
    <xf numFmtId="0" fontId="0" fillId="11" borderId="12" xfId="0" applyFill="1" applyBorder="1"/>
    <xf numFmtId="0" fontId="6" fillId="11" borderId="11" xfId="0" applyFont="1" applyFill="1" applyBorder="1"/>
    <xf numFmtId="0" fontId="0" fillId="11" borderId="11" xfId="0" applyFill="1" applyBorder="1"/>
    <xf numFmtId="0" fontId="0" fillId="11" borderId="6" xfId="0" applyFill="1" applyBorder="1"/>
    <xf numFmtId="0" fontId="0" fillId="11" borderId="2" xfId="0" applyFill="1" applyBorder="1"/>
    <xf numFmtId="0" fontId="0" fillId="11" borderId="0" xfId="0" applyFill="1"/>
    <xf numFmtId="0" fontId="0" fillId="11" borderId="3" xfId="0" applyFill="1" applyBorder="1"/>
    <xf numFmtId="166" fontId="0" fillId="11" borderId="0" xfId="0" applyNumberFormat="1" applyFill="1"/>
    <xf numFmtId="166" fontId="0" fillId="11" borderId="3" xfId="0" applyNumberFormat="1" applyFill="1" applyBorder="1"/>
    <xf numFmtId="6" fontId="0" fillId="11" borderId="0" xfId="0" applyNumberFormat="1" applyFill="1"/>
    <xf numFmtId="6" fontId="0" fillId="11" borderId="3" xfId="0" applyNumberFormat="1" applyFill="1" applyBorder="1"/>
    <xf numFmtId="9" fontId="0" fillId="11" borderId="0" xfId="0" applyNumberFormat="1" applyFill="1"/>
    <xf numFmtId="9" fontId="0" fillId="11" borderId="3" xfId="0" applyNumberFormat="1" applyFill="1" applyBorder="1"/>
    <xf numFmtId="170" fontId="0" fillId="11" borderId="0" xfId="0" applyNumberFormat="1" applyFill="1"/>
    <xf numFmtId="165" fontId="0" fillId="11" borderId="0" xfId="0" applyNumberFormat="1" applyFill="1"/>
    <xf numFmtId="165" fontId="0" fillId="11" borderId="3" xfId="0" applyNumberFormat="1" applyFill="1" applyBorder="1"/>
    <xf numFmtId="0" fontId="3" fillId="11" borderId="0" xfId="0" applyFont="1" applyFill="1"/>
    <xf numFmtId="0" fontId="3" fillId="11" borderId="3" xfId="0" applyFont="1" applyFill="1" applyBorder="1"/>
    <xf numFmtId="0" fontId="1" fillId="11" borderId="0" xfId="0" applyFont="1" applyFill="1"/>
    <xf numFmtId="6" fontId="1" fillId="11" borderId="11" xfId="0" applyNumberFormat="1" applyFont="1" applyFill="1" applyBorder="1"/>
    <xf numFmtId="6" fontId="1" fillId="11" borderId="6" xfId="0" applyNumberFormat="1" applyFont="1" applyFill="1" applyBorder="1"/>
    <xf numFmtId="0" fontId="0" fillId="11" borderId="4" xfId="0" applyFill="1" applyBorder="1"/>
    <xf numFmtId="0" fontId="0" fillId="11" borderId="1" xfId="0" applyFill="1" applyBorder="1"/>
    <xf numFmtId="0" fontId="0" fillId="11" borderId="5" xfId="0" applyFill="1" applyBorder="1"/>
    <xf numFmtId="6" fontId="1" fillId="11" borderId="0" xfId="0" applyNumberFormat="1" applyFont="1" applyFill="1"/>
    <xf numFmtId="170" fontId="0" fillId="0" borderId="0" xfId="0" applyNumberFormat="1"/>
    <xf numFmtId="0" fontId="9" fillId="0" borderId="0" xfId="0" applyFont="1"/>
    <xf numFmtId="166" fontId="0" fillId="0" borderId="0" xfId="0" applyNumberFormat="1" applyAlignment="1">
      <alignment horizontal="center" wrapText="1"/>
    </xf>
    <xf numFmtId="6" fontId="0" fillId="0" borderId="0" xfId="0" applyNumberFormat="1" applyAlignment="1">
      <alignment horizontal="center"/>
    </xf>
    <xf numFmtId="170" fontId="1" fillId="9" borderId="0" xfId="0" applyNumberFormat="1" applyFont="1" applyFill="1"/>
    <xf numFmtId="2" fontId="1" fillId="3" borderId="3" xfId="0" applyNumberFormat="1" applyFont="1" applyFill="1" applyBorder="1"/>
    <xf numFmtId="0" fontId="11" fillId="5" borderId="0" xfId="0" applyFont="1" applyFill="1"/>
    <xf numFmtId="0" fontId="0" fillId="12" borderId="0" xfId="0" applyFill="1"/>
    <xf numFmtId="6" fontId="0" fillId="0" borderId="0" xfId="0" applyNumberFormat="1" applyAlignment="1">
      <alignment horizontal="right"/>
    </xf>
    <xf numFmtId="8" fontId="13" fillId="7" borderId="0" xfId="0" applyNumberFormat="1" applyFont="1" applyFill="1"/>
    <xf numFmtId="170" fontId="1" fillId="0" borderId="0" xfId="0" applyNumberFormat="1" applyFont="1"/>
    <xf numFmtId="6" fontId="0" fillId="12" borderId="0" xfId="0" applyNumberFormat="1" applyFill="1"/>
    <xf numFmtId="0" fontId="0" fillId="0" borderId="14" xfId="0" applyBorder="1"/>
    <xf numFmtId="0" fontId="0" fillId="0" borderId="14" xfId="0" applyBorder="1" applyAlignment="1">
      <alignment wrapText="1"/>
    </xf>
    <xf numFmtId="0" fontId="15" fillId="13" borderId="7" xfId="0" applyFont="1" applyFill="1" applyBorder="1" applyAlignment="1">
      <alignment vertical="center"/>
    </xf>
    <xf numFmtId="0" fontId="16" fillId="0" borderId="8" xfId="0" applyFont="1" applyBorder="1" applyAlignment="1">
      <alignment horizontal="center" vertical="center"/>
    </xf>
    <xf numFmtId="0" fontId="17" fillId="0" borderId="9" xfId="0" applyFont="1" applyBorder="1" applyAlignment="1">
      <alignment vertical="center"/>
    </xf>
    <xf numFmtId="0" fontId="18" fillId="0" borderId="10" xfId="0" applyFont="1" applyBorder="1" applyAlignment="1">
      <alignment horizontal="center" vertical="center"/>
    </xf>
    <xf numFmtId="0" fontId="17" fillId="2" borderId="9" xfId="0" applyFont="1" applyFill="1" applyBorder="1" applyAlignment="1">
      <alignment vertical="center"/>
    </xf>
    <xf numFmtId="0" fontId="18" fillId="2" borderId="10" xfId="0" applyFont="1" applyFill="1" applyBorder="1" applyAlignment="1">
      <alignment horizontal="center" vertical="center"/>
    </xf>
    <xf numFmtId="0" fontId="17" fillId="0" borderId="0" xfId="0" applyFont="1" applyAlignment="1">
      <alignment vertical="center"/>
    </xf>
    <xf numFmtId="0" fontId="11" fillId="0" borderId="0" xfId="0" applyFont="1"/>
    <xf numFmtId="0" fontId="15" fillId="0" borderId="8" xfId="0" applyFont="1" applyBorder="1" applyAlignment="1">
      <alignment horizontal="center" vertical="center"/>
    </xf>
    <xf numFmtId="7" fontId="11" fillId="0" borderId="0" xfId="0" applyNumberFormat="1" applyFont="1"/>
    <xf numFmtId="2" fontId="19" fillId="0" borderId="0" xfId="0" applyNumberFormat="1" applyFont="1"/>
    <xf numFmtId="171" fontId="11" fillId="0" borderId="15" xfId="0" applyNumberFormat="1" applyFont="1" applyBorder="1"/>
    <xf numFmtId="171" fontId="11" fillId="0" borderId="16" xfId="0" applyNumberFormat="1" applyFont="1" applyBorder="1"/>
    <xf numFmtId="171" fontId="11" fillId="0" borderId="17" xfId="0" applyNumberFormat="1"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4" fillId="0" borderId="0" xfId="2" applyAlignment="1">
      <alignment vertical="center"/>
    </xf>
    <xf numFmtId="2" fontId="0" fillId="3" borderId="0" xfId="0" applyNumberFormat="1" applyFill="1"/>
    <xf numFmtId="2" fontId="0" fillId="11" borderId="0" xfId="0" applyNumberFormat="1" applyFill="1"/>
    <xf numFmtId="6" fontId="12" fillId="0" borderId="0" xfId="0" applyNumberFormat="1" applyFont="1"/>
    <xf numFmtId="6" fontId="0" fillId="14" borderId="11" xfId="0" applyNumberFormat="1" applyFill="1" applyBorder="1"/>
    <xf numFmtId="0" fontId="0" fillId="14" borderId="11" xfId="0" applyFill="1" applyBorder="1"/>
    <xf numFmtId="168" fontId="0" fillId="14" borderId="11" xfId="0" applyNumberFormat="1" applyFill="1" applyBorder="1"/>
    <xf numFmtId="0" fontId="0" fillId="14" borderId="6" xfId="0" applyFill="1" applyBorder="1"/>
    <xf numFmtId="6" fontId="0" fillId="14" borderId="0" xfId="0" applyNumberFormat="1" applyFill="1"/>
    <xf numFmtId="0" fontId="0" fillId="14" borderId="0" xfId="0" applyFill="1"/>
    <xf numFmtId="168" fontId="0" fillId="14" borderId="0" xfId="0" applyNumberFormat="1" applyFill="1"/>
    <xf numFmtId="0" fontId="0" fillId="14" borderId="3" xfId="0" applyFill="1" applyBorder="1"/>
    <xf numFmtId="6" fontId="0" fillId="14" borderId="1" xfId="0" applyNumberFormat="1" applyFill="1" applyBorder="1"/>
    <xf numFmtId="0" fontId="0" fillId="14" borderId="1" xfId="0" applyFill="1" applyBorder="1"/>
    <xf numFmtId="168" fontId="0" fillId="14" borderId="1" xfId="0" applyNumberFormat="1" applyFill="1" applyBorder="1"/>
    <xf numFmtId="0" fontId="0" fillId="14" borderId="5" xfId="0" applyFill="1" applyBorder="1"/>
    <xf numFmtId="0" fontId="25" fillId="0" borderId="0" xfId="0" applyFont="1"/>
    <xf numFmtId="0" fontId="26" fillId="0" borderId="0" xfId="0" applyFont="1"/>
    <xf numFmtId="0" fontId="27" fillId="0" borderId="0" xfId="0" applyFont="1"/>
    <xf numFmtId="8" fontId="13" fillId="0" borderId="0" xfId="0" applyNumberFormat="1" applyFont="1"/>
    <xf numFmtId="0" fontId="0" fillId="0" borderId="11" xfId="0" applyBorder="1" applyAlignment="1">
      <alignment horizontal="center"/>
    </xf>
    <xf numFmtId="1" fontId="0" fillId="0" borderId="0" xfId="0" applyNumberFormat="1" applyAlignment="1">
      <alignment horizontal="center"/>
    </xf>
    <xf numFmtId="0" fontId="28" fillId="0" borderId="0" xfId="0" applyFont="1"/>
    <xf numFmtId="0" fontId="10" fillId="0" borderId="0" xfId="0" applyFont="1" applyAlignment="1">
      <alignment vertical="center"/>
    </xf>
    <xf numFmtId="3" fontId="10" fillId="0" borderId="0" xfId="0" applyNumberFormat="1" applyFont="1" applyAlignment="1">
      <alignment horizontal="right" vertical="center"/>
    </xf>
    <xf numFmtId="0" fontId="8" fillId="0" borderId="0" xfId="0" applyFont="1" applyAlignment="1">
      <alignment vertical="center"/>
    </xf>
    <xf numFmtId="0" fontId="8" fillId="0" borderId="0" xfId="0" applyFont="1" applyAlignment="1">
      <alignment horizontal="right" vertical="center"/>
    </xf>
    <xf numFmtId="3" fontId="8" fillId="0" borderId="0" xfId="0" applyNumberFormat="1" applyFont="1" applyAlignment="1">
      <alignment horizontal="right" vertical="center"/>
    </xf>
    <xf numFmtId="3" fontId="0" fillId="0" borderId="0" xfId="0" applyNumberFormat="1" applyAlignment="1">
      <alignment horizontal="center"/>
    </xf>
    <xf numFmtId="3" fontId="10" fillId="0" borderId="0" xfId="0" applyNumberFormat="1" applyFont="1" applyAlignment="1">
      <alignment horizontal="center" vertical="center"/>
    </xf>
    <xf numFmtId="8" fontId="3" fillId="0" borderId="1" xfId="0" applyNumberFormat="1" applyFont="1" applyBorder="1" applyAlignment="1">
      <alignment horizontal="center"/>
    </xf>
    <xf numFmtId="168" fontId="0" fillId="0" borderId="1" xfId="0" applyNumberFormat="1" applyBorder="1"/>
    <xf numFmtId="8" fontId="0" fillId="0" borderId="1" xfId="0" applyNumberFormat="1" applyBorder="1"/>
    <xf numFmtId="167" fontId="0" fillId="0" borderId="1" xfId="0" applyNumberFormat="1" applyBorder="1" applyAlignment="1">
      <alignment horizontal="center" wrapText="1"/>
    </xf>
    <xf numFmtId="0" fontId="0" fillId="0" borderId="1" xfId="0" applyBorder="1" applyAlignment="1">
      <alignment wrapText="1"/>
    </xf>
    <xf numFmtId="167" fontId="3" fillId="0" borderId="1" xfId="0" applyNumberFormat="1" applyFont="1" applyBorder="1"/>
    <xf numFmtId="9" fontId="0" fillId="0" borderId="0" xfId="3" applyFont="1" applyFill="1"/>
    <xf numFmtId="170" fontId="0" fillId="3" borderId="3" xfId="0" applyNumberFormat="1" applyFill="1" applyBorder="1"/>
    <xf numFmtId="0" fontId="7" fillId="3" borderId="0" xfId="0" applyFont="1" applyFill="1"/>
    <xf numFmtId="0" fontId="0" fillId="5" borderId="12" xfId="0" applyFill="1" applyBorder="1"/>
    <xf numFmtId="0" fontId="0" fillId="5" borderId="11" xfId="0" applyFill="1" applyBorder="1"/>
    <xf numFmtId="0" fontId="0" fillId="5" borderId="6" xfId="0" applyFill="1" applyBorder="1"/>
    <xf numFmtId="166" fontId="0" fillId="5" borderId="3" xfId="1" applyNumberFormat="1" applyFont="1" applyFill="1" applyBorder="1"/>
    <xf numFmtId="170" fontId="0" fillId="5" borderId="3" xfId="0" applyNumberFormat="1" applyFill="1" applyBorder="1"/>
    <xf numFmtId="166" fontId="0" fillId="5" borderId="3" xfId="0" applyNumberFormat="1" applyFill="1" applyBorder="1"/>
    <xf numFmtId="6" fontId="0" fillId="5" borderId="6" xfId="0" applyNumberFormat="1" applyFill="1" applyBorder="1"/>
    <xf numFmtId="0" fontId="5" fillId="6" borderId="4" xfId="0" applyFont="1" applyFill="1" applyBorder="1"/>
    <xf numFmtId="0" fontId="0" fillId="5" borderId="1" xfId="0" applyFill="1" applyBorder="1"/>
    <xf numFmtId="6" fontId="0" fillId="5" borderId="1" xfId="0" applyNumberFormat="1" applyFill="1" applyBorder="1"/>
    <xf numFmtId="6" fontId="0" fillId="5" borderId="5" xfId="0" applyNumberFormat="1" applyFill="1" applyBorder="1"/>
    <xf numFmtId="6" fontId="1" fillId="3" borderId="3" xfId="0" applyNumberFormat="1" applyFont="1" applyFill="1" applyBorder="1"/>
    <xf numFmtId="170" fontId="0" fillId="11" borderId="3" xfId="0" applyNumberFormat="1" applyFill="1" applyBorder="1"/>
    <xf numFmtId="0" fontId="11" fillId="5" borderId="3" xfId="0" applyFont="1" applyFill="1" applyBorder="1"/>
    <xf numFmtId="0" fontId="5" fillId="5" borderId="4" xfId="0" applyFont="1" applyFill="1" applyBorder="1"/>
    <xf numFmtId="0" fontId="25" fillId="0" borderId="12" xfId="0" applyFont="1" applyBorder="1"/>
    <xf numFmtId="0" fontId="25" fillId="0" borderId="6" xfId="0" applyFont="1" applyBorder="1"/>
    <xf numFmtId="0" fontId="25" fillId="0" borderId="4" xfId="0" applyFont="1" applyBorder="1"/>
    <xf numFmtId="0" fontId="25" fillId="0" borderId="5" xfId="0" applyFont="1" applyBorder="1"/>
    <xf numFmtId="3" fontId="0" fillId="3" borderId="0" xfId="0" applyNumberFormat="1" applyFill="1"/>
    <xf numFmtId="3" fontId="0" fillId="11" borderId="0" xfId="0" applyNumberFormat="1" applyFill="1"/>
    <xf numFmtId="1" fontId="0" fillId="11" borderId="0" xfId="0" applyNumberFormat="1" applyFill="1"/>
    <xf numFmtId="1" fontId="0" fillId="11" borderId="3" xfId="0" applyNumberFormat="1" applyFill="1" applyBorder="1"/>
    <xf numFmtId="2" fontId="0" fillId="5" borderId="0" xfId="0" applyNumberFormat="1" applyFill="1"/>
    <xf numFmtId="2" fontId="0" fillId="5" borderId="3" xfId="0" applyNumberFormat="1" applyFill="1" applyBorder="1"/>
    <xf numFmtId="2" fontId="0" fillId="11" borderId="3" xfId="0" applyNumberFormat="1" applyFill="1" applyBorder="1"/>
    <xf numFmtId="3" fontId="0" fillId="3" borderId="3" xfId="0" applyNumberFormat="1" applyFill="1" applyBorder="1"/>
    <xf numFmtId="2" fontId="0" fillId="3" borderId="3" xfId="0" applyNumberFormat="1" applyFill="1" applyBorder="1"/>
    <xf numFmtId="3" fontId="0" fillId="11" borderId="3" xfId="0" applyNumberFormat="1" applyFill="1" applyBorder="1"/>
    <xf numFmtId="168" fontId="1" fillId="2" borderId="0" xfId="0" applyNumberFormat="1" applyFont="1" applyFill="1"/>
    <xf numFmtId="0" fontId="1" fillId="0" borderId="14" xfId="0" applyFont="1" applyBorder="1"/>
    <xf numFmtId="3" fontId="25" fillId="0" borderId="11" xfId="0" applyNumberFormat="1" applyFont="1" applyBorder="1"/>
    <xf numFmtId="3" fontId="25" fillId="0" borderId="1" xfId="0" applyNumberFormat="1" applyFont="1" applyBorder="1"/>
    <xf numFmtId="0" fontId="1" fillId="0" borderId="0" xfId="0" applyFont="1" applyAlignment="1">
      <alignment horizontal="center" vertical="center"/>
    </xf>
    <xf numFmtId="0" fontId="29" fillId="14" borderId="12" xfId="0" applyFont="1" applyFill="1" applyBorder="1"/>
    <xf numFmtId="0" fontId="29" fillId="14" borderId="2" xfId="0" applyFont="1" applyFill="1" applyBorder="1"/>
    <xf numFmtId="0" fontId="29" fillId="14" borderId="4" xfId="0" applyFont="1" applyFill="1" applyBorder="1"/>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Storage</a:t>
            </a:r>
            <a:r>
              <a:rPr lang="en-US" baseline="0"/>
              <a:t> Tank, Potable, Stainless steel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3942563429571303"/>
                  <c:y val="-1.893518518518520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strRef>
              <c:f>'Proto Costing'!$C$46:$C$302</c:f>
              <c:strCache>
                <c:ptCount val="180"/>
                <c:pt idx="0">
                  <c:v>$1,121,825</c:v>
                </c:pt>
                <c:pt idx="1">
                  <c:v>$16,000</c:v>
                </c:pt>
                <c:pt idx="2">
                  <c:v>$1,137,825</c:v>
                </c:pt>
                <c:pt idx="4">
                  <c:v>$5,741,555 </c:v>
                </c:pt>
                <c:pt idx="9">
                  <c:v>CZ1</c:v>
                </c:pt>
                <c:pt idx="10">
                  <c:v>200</c:v>
                </c:pt>
                <c:pt idx="11">
                  <c:v>1</c:v>
                </c:pt>
                <c:pt idx="12">
                  <c:v>$1,280</c:v>
                </c:pt>
                <c:pt idx="13">
                  <c:v>$256,000</c:v>
                </c:pt>
                <c:pt idx="14">
                  <c:v>$10,560 </c:v>
                </c:pt>
                <c:pt idx="15">
                  <c:v>15%</c:v>
                </c:pt>
                <c:pt idx="16">
                  <c:v>$306,544 </c:v>
                </c:pt>
                <c:pt idx="19">
                  <c:v>74788</c:v>
                </c:pt>
                <c:pt idx="20">
                  <c:v>$10 </c:v>
                </c:pt>
                <c:pt idx="21">
                  <c:v>$747,880</c:v>
                </c:pt>
                <c:pt idx="22">
                  <c:v>0</c:v>
                </c:pt>
                <c:pt idx="23">
                  <c:v>15%</c:v>
                </c:pt>
                <c:pt idx="24">
                  <c:v>$860,062 </c:v>
                </c:pt>
                <c:pt idx="27">
                  <c:v>8600</c:v>
                </c:pt>
                <c:pt idx="28">
                  <c:v>56.65</c:v>
                </c:pt>
                <c:pt idx="29">
                  <c:v>$487,190</c:v>
                </c:pt>
                <c:pt idx="30">
                  <c:v>0</c:v>
                </c:pt>
                <c:pt idx="31">
                  <c:v>15%</c:v>
                </c:pt>
                <c:pt idx="32">
                  <c:v>$560,269 </c:v>
                </c:pt>
                <c:pt idx="35">
                  <c:v>11600</c:v>
                </c:pt>
                <c:pt idx="36">
                  <c:v>$57</c:v>
                </c:pt>
                <c:pt idx="37">
                  <c:v>$657,140</c:v>
                </c:pt>
                <c:pt idx="38">
                  <c:v>$0</c:v>
                </c:pt>
                <c:pt idx="39">
                  <c:v>15%</c:v>
                </c:pt>
                <c:pt idx="40">
                  <c:v>$755,711 </c:v>
                </c:pt>
                <c:pt idx="42">
                  <c:v>120</c:v>
                </c:pt>
                <c:pt idx="43">
                  <c:v>$1,202,988 </c:v>
                </c:pt>
                <c:pt idx="45">
                  <c:v>12.00</c:v>
                </c:pt>
                <c:pt idx="46">
                  <c:v>$18,122</c:v>
                </c:pt>
                <c:pt idx="48">
                  <c:v>1458.7</c:v>
                </c:pt>
                <c:pt idx="49">
                  <c:v>1475</c:v>
                </c:pt>
                <c:pt idx="51">
                  <c:v>$30,668</c:v>
                </c:pt>
                <c:pt idx="53">
                  <c:v>15%</c:v>
                </c:pt>
                <c:pt idx="54">
                  <c:v>$35,268</c:v>
                </c:pt>
                <c:pt idx="56">
                  <c:v>703.4</c:v>
                </c:pt>
                <c:pt idx="57">
                  <c:v>1</c:v>
                </c:pt>
                <c:pt idx="58">
                  <c:v>$33,339</c:v>
                </c:pt>
                <c:pt idx="59">
                  <c:v>15%</c:v>
                </c:pt>
                <c:pt idx="60">
                  <c:v>$38,339</c:v>
                </c:pt>
                <c:pt idx="62">
                  <c:v>$3,777,303 </c:v>
                </c:pt>
                <c:pt idx="64">
                  <c:v>$1,246,473</c:v>
                </c:pt>
                <c:pt idx="65">
                  <c:v>$32,000</c:v>
                </c:pt>
                <c:pt idx="67">
                  <c:v>$5,055,775 </c:v>
                </c:pt>
                <c:pt idx="72">
                  <c:v>CZ1</c:v>
                </c:pt>
                <c:pt idx="73">
                  <c:v>4320</c:v>
                </c:pt>
                <c:pt idx="74">
                  <c:v>1</c:v>
                </c:pt>
                <c:pt idx="75">
                  <c:v>$56,819</c:v>
                </c:pt>
                <c:pt idx="76">
                  <c:v>$23,012 </c:v>
                </c:pt>
                <c:pt idx="77">
                  <c:v>15%</c:v>
                </c:pt>
                <c:pt idx="78">
                  <c:v>$91,806 </c:v>
                </c:pt>
                <c:pt idx="81">
                  <c:v>166505</c:v>
                </c:pt>
                <c:pt idx="83">
                  <c:v>$363,694</c:v>
                </c:pt>
                <c:pt idx="84">
                  <c:v>0</c:v>
                </c:pt>
                <c:pt idx="85">
                  <c:v>15%</c:v>
                </c:pt>
                <c:pt idx="86">
                  <c:v>$418,248 </c:v>
                </c:pt>
                <c:pt idx="89">
                  <c:v>4412</c:v>
                </c:pt>
                <c:pt idx="90">
                  <c:v>$270.93</c:v>
                </c:pt>
                <c:pt idx="91">
                  <c:v>$1,195,343</c:v>
                </c:pt>
                <c:pt idx="92">
                  <c:v>0</c:v>
                </c:pt>
                <c:pt idx="93">
                  <c:v>15%</c:v>
                </c:pt>
                <c:pt idx="94">
                  <c:v>$1,374,645 </c:v>
                </c:pt>
                <c:pt idx="96">
                  <c:v>4412</c:v>
                </c:pt>
                <c:pt idx="97">
                  <c:v>50.122</c:v>
                </c:pt>
                <c:pt idx="98">
                  <c:v>$221,138</c:v>
                </c:pt>
                <c:pt idx="99">
                  <c:v>0</c:v>
                </c:pt>
                <c:pt idx="100">
                  <c:v>15%</c:v>
                </c:pt>
                <c:pt idx="101">
                  <c:v>$254,309 </c:v>
                </c:pt>
                <c:pt idx="103">
                  <c:v>$149,284 </c:v>
                </c:pt>
                <c:pt idx="106">
                  <c:v>8.00</c:v>
                </c:pt>
                <c:pt idx="107">
                  <c:v>$15,119</c:v>
                </c:pt>
                <c:pt idx="109">
                  <c:v>$2,303,410 </c:v>
                </c:pt>
                <c:pt idx="111">
                  <c:v>$474,494</c:v>
                </c:pt>
                <c:pt idx="112">
                  <c:v>$16,000</c:v>
                </c:pt>
                <c:pt idx="113">
                  <c:v>$490,494</c:v>
                </c:pt>
                <c:pt idx="115">
                  <c:v>$2,793,904 </c:v>
                </c:pt>
                <c:pt idx="121">
                  <c:v>CZ1</c:v>
                </c:pt>
                <c:pt idx="122">
                  <c:v>180</c:v>
                </c:pt>
                <c:pt idx="123">
                  <c:v>1</c:v>
                </c:pt>
                <c:pt idx="124">
                  <c:v>$1,280</c:v>
                </c:pt>
                <c:pt idx="125">
                  <c:v>$230,400</c:v>
                </c:pt>
                <c:pt idx="126">
                  <c:v>$10,560 </c:v>
                </c:pt>
                <c:pt idx="127">
                  <c:v>15%</c:v>
                </c:pt>
                <c:pt idx="128">
                  <c:v>$277,104 </c:v>
                </c:pt>
                <c:pt idx="131">
                  <c:v>85729</c:v>
                </c:pt>
                <c:pt idx="132">
                  <c:v>$10 </c:v>
                </c:pt>
                <c:pt idx="133">
                  <c:v>$857,290</c:v>
                </c:pt>
                <c:pt idx="134">
                  <c:v>0</c:v>
                </c:pt>
                <c:pt idx="135">
                  <c:v>15%</c:v>
                </c:pt>
                <c:pt idx="136">
                  <c:v>$985,884 </c:v>
                </c:pt>
                <c:pt idx="139">
                  <c:v>4412</c:v>
                </c:pt>
                <c:pt idx="140">
                  <c:v>$57</c:v>
                </c:pt>
                <c:pt idx="141">
                  <c:v>$249,940</c:v>
                </c:pt>
                <c:pt idx="142">
                  <c:v>0</c:v>
                </c:pt>
                <c:pt idx="143">
                  <c:v>15%</c:v>
                </c:pt>
                <c:pt idx="144">
                  <c:v>$287,431 </c:v>
                </c:pt>
                <c:pt idx="147">
                  <c:v>4412</c:v>
                </c:pt>
                <c:pt idx="148">
                  <c:v>$57</c:v>
                </c:pt>
                <c:pt idx="149">
                  <c:v>$249,940</c:v>
                </c:pt>
                <c:pt idx="150">
                  <c:v>0</c:v>
                </c:pt>
                <c:pt idx="151">
                  <c:v>15%</c:v>
                </c:pt>
                <c:pt idx="152">
                  <c:v>$287,431 </c:v>
                </c:pt>
                <c:pt idx="154">
                  <c:v>46</c:v>
                </c:pt>
                <c:pt idx="155">
                  <c:v>$461,145 </c:v>
                </c:pt>
                <c:pt idx="157">
                  <c:v>10.00</c:v>
                </c:pt>
                <c:pt idx="158">
                  <c:v>$16,620</c:v>
                </c:pt>
                <c:pt idx="160">
                  <c:v>1594.1</c:v>
                </c:pt>
                <c:pt idx="161">
                  <c:v>1600</c:v>
                </c:pt>
                <c:pt idx="163">
                  <c:v>$33,230</c:v>
                </c:pt>
                <c:pt idx="165">
                  <c:v>15%</c:v>
                </c:pt>
                <c:pt idx="166">
                  <c:v>$38,214</c:v>
                </c:pt>
                <c:pt idx="168">
                  <c:v>633.1</c:v>
                </c:pt>
                <c:pt idx="169">
                  <c:v>1</c:v>
                </c:pt>
                <c:pt idx="170">
                  <c:v>$30,521</c:v>
                </c:pt>
                <c:pt idx="171">
                  <c:v>15%</c:v>
                </c:pt>
                <c:pt idx="172">
                  <c:v>$35,099</c:v>
                </c:pt>
                <c:pt idx="174">
                  <c:v>$2,372,307 </c:v>
                </c:pt>
                <c:pt idx="176">
                  <c:v>$527,215</c:v>
                </c:pt>
                <c:pt idx="177">
                  <c:v>$32,000</c:v>
                </c:pt>
                <c:pt idx="179">
                  <c:v>$2,931,522 </c:v>
                </c:pt>
              </c:strCache>
            </c:strRef>
          </c:xVal>
          <c:yVal>
            <c:numRef>
              <c:f>'Proto Costing'!$F$46:$F$302</c:f>
              <c:numCache>
                <c:formatCode>"$"#,##0</c:formatCode>
                <c:ptCount val="185"/>
                <c:pt idx="0">
                  <c:v>1121825.25</c:v>
                </c:pt>
                <c:pt idx="1">
                  <c:v>16000</c:v>
                </c:pt>
                <c:pt idx="2">
                  <c:v>1137825.25</c:v>
                </c:pt>
                <c:pt idx="4" formatCode="&quot;$&quot;#,##0_);[Red]\(&quot;$&quot;#,##0\)">
                  <c:v>5804202.5682399999</c:v>
                </c:pt>
                <c:pt idx="9" formatCode="General">
                  <c:v>0</c:v>
                </c:pt>
                <c:pt idx="10" formatCode="General">
                  <c:v>200</c:v>
                </c:pt>
                <c:pt idx="11" formatCode="General">
                  <c:v>1</c:v>
                </c:pt>
                <c:pt idx="12">
                  <c:v>1280</c:v>
                </c:pt>
                <c:pt idx="13">
                  <c:v>256000</c:v>
                </c:pt>
                <c:pt idx="14" formatCode="&quot;$&quot;#,##0_);[Red]\(&quot;$&quot;#,##0\)">
                  <c:v>10560</c:v>
                </c:pt>
                <c:pt idx="15" formatCode="0%">
                  <c:v>0.15</c:v>
                </c:pt>
                <c:pt idx="16" formatCode="&quot;$&quot;#,##0_);[Red]\(&quot;$&quot;#,##0\)">
                  <c:v>306544</c:v>
                </c:pt>
                <c:pt idx="19" formatCode="General">
                  <c:v>74788</c:v>
                </c:pt>
                <c:pt idx="20" formatCode="&quot;$&quot;#,##0_);[Red]\(&quot;$&quot;#,##0\)">
                  <c:v>10</c:v>
                </c:pt>
                <c:pt idx="21">
                  <c:v>747880</c:v>
                </c:pt>
                <c:pt idx="22" formatCode="General">
                  <c:v>0</c:v>
                </c:pt>
                <c:pt idx="23" formatCode="0%">
                  <c:v>0.15</c:v>
                </c:pt>
                <c:pt idx="24" formatCode="&quot;$&quot;#,##0_);[Red]\(&quot;$&quot;#,##0\)">
                  <c:v>860061.99999999988</c:v>
                </c:pt>
                <c:pt idx="27" formatCode="General">
                  <c:v>8600</c:v>
                </c:pt>
                <c:pt idx="28" formatCode="General">
                  <c:v>56.65</c:v>
                </c:pt>
                <c:pt idx="29">
                  <c:v>487190</c:v>
                </c:pt>
                <c:pt idx="30" formatCode="General">
                  <c:v>0</c:v>
                </c:pt>
                <c:pt idx="31" formatCode="0%">
                  <c:v>0.15</c:v>
                </c:pt>
                <c:pt idx="32" formatCode="&quot;$&quot;#,##0_);[Red]\(&quot;$&quot;#,##0\)">
                  <c:v>560268.5</c:v>
                </c:pt>
                <c:pt idx="35" formatCode="General">
                  <c:v>11600</c:v>
                </c:pt>
                <c:pt idx="36">
                  <c:v>56.65</c:v>
                </c:pt>
                <c:pt idx="37">
                  <c:v>657140</c:v>
                </c:pt>
                <c:pt idx="38">
                  <c:v>0</c:v>
                </c:pt>
                <c:pt idx="39" formatCode="0%">
                  <c:v>0.15</c:v>
                </c:pt>
                <c:pt idx="40" formatCode="&quot;$&quot;#,##0_);[Red]\(&quot;$&quot;#,##0\)">
                  <c:v>755710.99999999988</c:v>
                </c:pt>
                <c:pt idx="42" formatCode="General">
                  <c:v>120</c:v>
                </c:pt>
                <c:pt idx="43" formatCode="&quot;$&quot;#,##0_);[Red]\(&quot;$&quot;#,##0\)">
                  <c:v>1202988</c:v>
                </c:pt>
                <c:pt idx="45" formatCode="0.00">
                  <c:v>12</c:v>
                </c:pt>
                <c:pt idx="46">
                  <c:v>18121.7</c:v>
                </c:pt>
                <c:pt idx="48" formatCode="0.0">
                  <c:v>1458.7027531497902</c:v>
                </c:pt>
                <c:pt idx="49" formatCode="General">
                  <c:v>1475</c:v>
                </c:pt>
                <c:pt idx="51">
                  <c:v>30667.884999999998</c:v>
                </c:pt>
                <c:pt idx="53" formatCode="0%">
                  <c:v>0.15</c:v>
                </c:pt>
                <c:pt idx="54">
                  <c:v>35268.067749999995</c:v>
                </c:pt>
                <c:pt idx="56" formatCode="0.0">
                  <c:v>703.39976553341148</c:v>
                </c:pt>
                <c:pt idx="57" formatCode="General">
                  <c:v>1</c:v>
                </c:pt>
                <c:pt idx="58">
                  <c:v>33338.591207502926</c:v>
                </c:pt>
                <c:pt idx="59" formatCode="0%">
                  <c:v>0.15</c:v>
                </c:pt>
                <c:pt idx="60">
                  <c:v>38339.379888628362</c:v>
                </c:pt>
                <c:pt idx="62" formatCode="&quot;$&quot;#,##0_);[Red]\(&quot;$&quot;#,##0\)">
                  <c:v>3777302.6476386283</c:v>
                </c:pt>
                <c:pt idx="64">
                  <c:v>1246472.5</c:v>
                </c:pt>
                <c:pt idx="65">
                  <c:v>32000</c:v>
                </c:pt>
                <c:pt idx="67" formatCode="&quot;$&quot;#,##0_);[Red]\(&quot;$&quot;#,##0\)">
                  <c:v>5055775.1476386283</c:v>
                </c:pt>
                <c:pt idx="71" formatCode="General">
                  <c:v>0</c:v>
                </c:pt>
                <c:pt idx="72" formatCode="General">
                  <c:v>0</c:v>
                </c:pt>
                <c:pt idx="73" formatCode="General">
                  <c:v>4560</c:v>
                </c:pt>
                <c:pt idx="74" formatCode="General">
                  <c:v>1</c:v>
                </c:pt>
                <c:pt idx="75">
                  <c:v>59883.64</c:v>
                </c:pt>
                <c:pt idx="76" formatCode="&quot;$&quot;#,##0_);[Red]\(&quot;$&quot;#,##0\)">
                  <c:v>24206.748</c:v>
                </c:pt>
                <c:pt idx="77" formatCode="0%">
                  <c:v>0.15</c:v>
                </c:pt>
                <c:pt idx="78" formatCode="&quot;$&quot;#,##0_);[Red]\(&quot;$&quot;#,##0\)">
                  <c:v>96703.946200000006</c:v>
                </c:pt>
                <c:pt idx="81" formatCode="General">
                  <c:v>181289</c:v>
                </c:pt>
                <c:pt idx="83">
                  <c:v>395233.02370000002</c:v>
                </c:pt>
                <c:pt idx="84" formatCode="General">
                  <c:v>0</c:v>
                </c:pt>
                <c:pt idx="85" formatCode="0%">
                  <c:v>0.15</c:v>
                </c:pt>
                <c:pt idx="86" formatCode="&quot;$&quot;#,##0_);[Red]\(&quot;$&quot;#,##0\)">
                  <c:v>454517.97725499998</c:v>
                </c:pt>
                <c:pt idx="89" formatCode="General">
                  <c:v>4412</c:v>
                </c:pt>
                <c:pt idx="90" formatCode="&quot;$&quot;#,##0.00">
                  <c:v>270.93</c:v>
                </c:pt>
                <c:pt idx="91">
                  <c:v>1195343.1599999999</c:v>
                </c:pt>
                <c:pt idx="92" formatCode="General">
                  <c:v>0</c:v>
                </c:pt>
                <c:pt idx="93" formatCode="0%">
                  <c:v>0.15</c:v>
                </c:pt>
                <c:pt idx="94" formatCode="&quot;$&quot;#,##0_);[Red]\(&quot;$&quot;#,##0\)">
                  <c:v>1374644.6339999998</c:v>
                </c:pt>
                <c:pt idx="96" formatCode="General">
                  <c:v>4412</c:v>
                </c:pt>
                <c:pt idx="97" formatCode="General">
                  <c:v>50.122</c:v>
                </c:pt>
                <c:pt idx="98">
                  <c:v>221138.264</c:v>
                </c:pt>
                <c:pt idx="99" formatCode="General">
                  <c:v>0</c:v>
                </c:pt>
                <c:pt idx="100" formatCode="0%">
                  <c:v>0.15</c:v>
                </c:pt>
                <c:pt idx="101" formatCode="&quot;$&quot;#,##0_);[Red]\(&quot;$&quot;#,##0\)">
                  <c:v>254309.00359999997</c:v>
                </c:pt>
                <c:pt idx="103" formatCode="&quot;$&quot;#,##0_);[Red]\(&quot;$&quot;#,##0\)">
                  <c:v>149283.79999999999</c:v>
                </c:pt>
                <c:pt idx="106" formatCode="0.00">
                  <c:v>8</c:v>
                </c:pt>
                <c:pt idx="107">
                  <c:v>15118.9</c:v>
                </c:pt>
                <c:pt idx="109" formatCode="&quot;$&quot;#,##0_);[Red]\(&quot;$&quot;#,##0\)">
                  <c:v>2344578.2610549997</c:v>
                </c:pt>
                <c:pt idx="111">
                  <c:v>474493.5</c:v>
                </c:pt>
                <c:pt idx="112">
                  <c:v>16000</c:v>
                </c:pt>
                <c:pt idx="113">
                  <c:v>490493.5</c:v>
                </c:pt>
                <c:pt idx="115" formatCode="&quot;$&quot;#,##0_);[Red]\(&quot;$&quot;#,##0\)">
                  <c:v>2835071.7610549997</c:v>
                </c:pt>
                <c:pt idx="121" formatCode="General">
                  <c:v>0</c:v>
                </c:pt>
                <c:pt idx="122" formatCode="General">
                  <c:v>190</c:v>
                </c:pt>
                <c:pt idx="123" formatCode="General">
                  <c:v>1</c:v>
                </c:pt>
                <c:pt idx="124">
                  <c:v>1280</c:v>
                </c:pt>
                <c:pt idx="125">
                  <c:v>243200</c:v>
                </c:pt>
                <c:pt idx="126" formatCode="&quot;$&quot;#,##0_);[Red]\(&quot;$&quot;#,##0\)">
                  <c:v>10560</c:v>
                </c:pt>
                <c:pt idx="127" formatCode="0%">
                  <c:v>0.15</c:v>
                </c:pt>
                <c:pt idx="128" formatCode="&quot;$&quot;#,##0_);[Red]\(&quot;$&quot;#,##0\)">
                  <c:v>291824</c:v>
                </c:pt>
                <c:pt idx="131" formatCode="General">
                  <c:v>85729</c:v>
                </c:pt>
                <c:pt idx="132" formatCode="&quot;$&quot;#,##0_);[Red]\(&quot;$&quot;#,##0\)">
                  <c:v>10</c:v>
                </c:pt>
                <c:pt idx="133">
                  <c:v>857290</c:v>
                </c:pt>
                <c:pt idx="134" formatCode="General">
                  <c:v>0</c:v>
                </c:pt>
                <c:pt idx="135" formatCode="0%">
                  <c:v>0.15</c:v>
                </c:pt>
                <c:pt idx="136" formatCode="&quot;$&quot;#,##0_);[Red]\(&quot;$&quot;#,##0\)">
                  <c:v>985883.49999999988</c:v>
                </c:pt>
                <c:pt idx="139" formatCode="General">
                  <c:v>4412</c:v>
                </c:pt>
                <c:pt idx="140">
                  <c:v>56.65</c:v>
                </c:pt>
                <c:pt idx="141">
                  <c:v>249939.8</c:v>
                </c:pt>
                <c:pt idx="142" formatCode="General">
                  <c:v>0</c:v>
                </c:pt>
                <c:pt idx="143" formatCode="0%">
                  <c:v>0.15</c:v>
                </c:pt>
                <c:pt idx="144" formatCode="&quot;$&quot;#,##0_);[Red]\(&quot;$&quot;#,##0\)">
                  <c:v>287430.76999999996</c:v>
                </c:pt>
                <c:pt idx="147" formatCode="General">
                  <c:v>4412</c:v>
                </c:pt>
                <c:pt idx="148">
                  <c:v>56.65</c:v>
                </c:pt>
                <c:pt idx="149">
                  <c:v>249939.8</c:v>
                </c:pt>
                <c:pt idx="150" formatCode="General">
                  <c:v>0</c:v>
                </c:pt>
                <c:pt idx="151" formatCode="0%">
                  <c:v>0.15</c:v>
                </c:pt>
                <c:pt idx="152" formatCode="&quot;$&quot;#,##0_);[Red]\(&quot;$&quot;#,##0\)">
                  <c:v>287430.76999999996</c:v>
                </c:pt>
                <c:pt idx="154" formatCode="General">
                  <c:v>46</c:v>
                </c:pt>
                <c:pt idx="155" formatCode="&quot;$&quot;#,##0_);[Red]\(&quot;$&quot;#,##0\)">
                  <c:v>461145.39999999997</c:v>
                </c:pt>
                <c:pt idx="157" formatCode="0.00">
                  <c:v>12</c:v>
                </c:pt>
                <c:pt idx="158">
                  <c:v>18121.7</c:v>
                </c:pt>
                <c:pt idx="160" formatCode="0.0">
                  <c:v>1694.1203919738684</c:v>
                </c:pt>
                <c:pt idx="161" formatCode="General">
                  <c:v>1700</c:v>
                </c:pt>
                <c:pt idx="163">
                  <c:v>35278.81</c:v>
                </c:pt>
                <c:pt idx="165" formatCode="0%">
                  <c:v>0.15</c:v>
                </c:pt>
                <c:pt idx="166">
                  <c:v>40570.631499999996</c:v>
                </c:pt>
                <c:pt idx="168" formatCode="0.0">
                  <c:v>668.22977725674093</c:v>
                </c:pt>
                <c:pt idx="169" formatCode="General">
                  <c:v>1</c:v>
                </c:pt>
                <c:pt idx="170">
                  <c:v>31929.716647127781</c:v>
                </c:pt>
                <c:pt idx="171" formatCode="0%">
                  <c:v>0.15</c:v>
                </c:pt>
                <c:pt idx="172">
                  <c:v>36719.174144196943</c:v>
                </c:pt>
                <c:pt idx="174" formatCode="&quot;$&quot;#,##0_);[Red]\(&quot;$&quot;#,##0\)">
                  <c:v>2391004.2456441969</c:v>
                </c:pt>
                <c:pt idx="176">
                  <c:v>527215</c:v>
                </c:pt>
                <c:pt idx="177">
                  <c:v>32000</c:v>
                </c:pt>
                <c:pt idx="179" formatCode="&quot;$&quot;#,##0_);[Red]\(&quot;$&quot;#,##0\)">
                  <c:v>2950219.2456441969</c:v>
                </c:pt>
              </c:numCache>
            </c:numRef>
          </c:yVal>
          <c:smooth val="0"/>
          <c:extLst>
            <c:ext xmlns:c16="http://schemas.microsoft.com/office/drawing/2014/chart" uri="{C3380CC4-5D6E-409C-BE32-E72D297353CC}">
              <c16:uniqueId val="{00000000-51F0-445D-A655-B2F774BFDC7F}"/>
            </c:ext>
          </c:extLst>
        </c:ser>
        <c:dLbls>
          <c:showLegendKey val="0"/>
          <c:showVal val="0"/>
          <c:showCatName val="0"/>
          <c:showSerName val="0"/>
          <c:showPercent val="0"/>
          <c:showBubbleSize val="0"/>
        </c:dLbls>
        <c:axId val="719930824"/>
        <c:axId val="719933120"/>
      </c:scatterChart>
      <c:valAx>
        <c:axId val="719930824"/>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933120"/>
        <c:crosses val="autoZero"/>
        <c:crossBetween val="midCat"/>
      </c:valAx>
      <c:valAx>
        <c:axId val="7199331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93082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VAV</a:t>
            </a:r>
            <a:r>
              <a:rPr lang="en-US" baseline="0"/>
              <a:t> </a:t>
            </a:r>
            <a:r>
              <a:rPr lang="en-US"/>
              <a:t>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'Air-side Costs'!$C$23</c:f>
              <c:strCache>
                <c:ptCount val="1"/>
                <c:pt idx="0">
                  <c:v>Total Cost</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28699978127734033"/>
                  <c:y val="-9.6759259259259264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'Air-side Costs'!$B$24:$B$36</c:f>
              <c:numCache>
                <c:formatCode>General</c:formatCode>
                <c:ptCount val="13"/>
                <c:pt idx="0">
                  <c:v>5000</c:v>
                </c:pt>
                <c:pt idx="1">
                  <c:v>6500</c:v>
                </c:pt>
                <c:pt idx="2">
                  <c:v>7500</c:v>
                </c:pt>
                <c:pt idx="3">
                  <c:v>9200</c:v>
                </c:pt>
                <c:pt idx="4">
                  <c:v>11500</c:v>
                </c:pt>
                <c:pt idx="5">
                  <c:v>13200</c:v>
                </c:pt>
                <c:pt idx="6">
                  <c:v>16500</c:v>
                </c:pt>
                <c:pt idx="7">
                  <c:v>19500</c:v>
                </c:pt>
                <c:pt idx="8">
                  <c:v>22000</c:v>
                </c:pt>
                <c:pt idx="9">
                  <c:v>22500</c:v>
                </c:pt>
                <c:pt idx="10">
                  <c:v>27000</c:v>
                </c:pt>
                <c:pt idx="11">
                  <c:v>34000</c:v>
                </c:pt>
                <c:pt idx="12">
                  <c:v>40000</c:v>
                </c:pt>
              </c:numCache>
            </c:numRef>
          </c:xVal>
          <c:yVal>
            <c:numRef>
              <c:f>'Air-side Costs'!$C$24:$C$36</c:f>
              <c:numCache>
                <c:formatCode>"$"#,##0</c:formatCode>
                <c:ptCount val="13"/>
                <c:pt idx="0">
                  <c:v>16050</c:v>
                </c:pt>
                <c:pt idx="1">
                  <c:v>20550</c:v>
                </c:pt>
                <c:pt idx="2">
                  <c:v>22550</c:v>
                </c:pt>
                <c:pt idx="3">
                  <c:v>28975</c:v>
                </c:pt>
                <c:pt idx="4">
                  <c:v>31925</c:v>
                </c:pt>
                <c:pt idx="5">
                  <c:v>36500</c:v>
                </c:pt>
                <c:pt idx="6">
                  <c:v>45225</c:v>
                </c:pt>
                <c:pt idx="7">
                  <c:v>53225</c:v>
                </c:pt>
                <c:pt idx="8">
                  <c:v>60200</c:v>
                </c:pt>
                <c:pt idx="9">
                  <c:v>60950</c:v>
                </c:pt>
                <c:pt idx="10">
                  <c:v>64250</c:v>
                </c:pt>
                <c:pt idx="11">
                  <c:v>81075</c:v>
                </c:pt>
                <c:pt idx="12">
                  <c:v>88925</c:v>
                </c:pt>
              </c:numCache>
            </c:numRef>
          </c:yVal>
          <c:smooth val="0"/>
          <c:extLst>
            <c:ext xmlns:c16="http://schemas.microsoft.com/office/drawing/2014/chart" uri="{C3380CC4-5D6E-409C-BE32-E72D297353CC}">
              <c16:uniqueId val="{00000000-EB50-44C7-8AEF-58D49586F214}"/>
            </c:ext>
          </c:extLst>
        </c:ser>
        <c:dLbls>
          <c:showLegendKey val="0"/>
          <c:showVal val="0"/>
          <c:showCatName val="0"/>
          <c:showSerName val="0"/>
          <c:showPercent val="0"/>
          <c:showBubbleSize val="0"/>
        </c:dLbls>
        <c:axId val="1129182728"/>
        <c:axId val="1129183712"/>
      </c:scatterChart>
      <c:valAx>
        <c:axId val="1129182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183712"/>
        <c:crosses val="autoZero"/>
        <c:crossBetween val="midCat"/>
      </c:valAx>
      <c:valAx>
        <c:axId val="112918371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1827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FPFC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'Air-side Costs'!$F$7</c:f>
              <c:strCache>
                <c:ptCount val="1"/>
                <c:pt idx="0">
                  <c:v>Total</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3451771653543305"/>
                  <c:y val="-3.726523767862350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'Air-side Costs'!$B$8:$B$13</c:f>
              <c:numCache>
                <c:formatCode>General</c:formatCode>
                <c:ptCount val="6"/>
                <c:pt idx="0">
                  <c:v>0.5</c:v>
                </c:pt>
                <c:pt idx="1">
                  <c:v>1</c:v>
                </c:pt>
                <c:pt idx="2">
                  <c:v>1.5</c:v>
                </c:pt>
                <c:pt idx="3">
                  <c:v>2</c:v>
                </c:pt>
                <c:pt idx="4">
                  <c:v>2.5</c:v>
                </c:pt>
                <c:pt idx="5">
                  <c:v>3</c:v>
                </c:pt>
              </c:numCache>
            </c:numRef>
          </c:xVal>
          <c:yVal>
            <c:numRef>
              <c:f>'Air-side Costs'!$F$8:$F$13</c:f>
              <c:numCache>
                <c:formatCode>"$"#,##0_);[Red]\("$"#,##0\)</c:formatCode>
                <c:ptCount val="6"/>
                <c:pt idx="0">
                  <c:v>1202</c:v>
                </c:pt>
                <c:pt idx="1">
                  <c:v>1406</c:v>
                </c:pt>
                <c:pt idx="2">
                  <c:v>1478</c:v>
                </c:pt>
                <c:pt idx="3">
                  <c:v>1949</c:v>
                </c:pt>
                <c:pt idx="4">
                  <c:v>3639</c:v>
                </c:pt>
                <c:pt idx="5">
                  <c:v>4005.9999999999995</c:v>
                </c:pt>
              </c:numCache>
            </c:numRef>
          </c:yVal>
          <c:smooth val="0"/>
          <c:extLst>
            <c:ext xmlns:c16="http://schemas.microsoft.com/office/drawing/2014/chart" uri="{C3380CC4-5D6E-409C-BE32-E72D297353CC}">
              <c16:uniqueId val="{00000000-44EF-4270-A199-B2D580D7F75E}"/>
            </c:ext>
          </c:extLst>
        </c:ser>
        <c:dLbls>
          <c:showLegendKey val="0"/>
          <c:showVal val="0"/>
          <c:showCatName val="0"/>
          <c:showSerName val="0"/>
          <c:showPercent val="0"/>
          <c:showBubbleSize val="0"/>
        </c:dLbls>
        <c:axId val="1144954520"/>
        <c:axId val="1144956816"/>
      </c:scatterChart>
      <c:valAx>
        <c:axId val="1144954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4956816"/>
        <c:crosses val="autoZero"/>
        <c:crossBetween val="midCat"/>
      </c:valAx>
      <c:valAx>
        <c:axId val="114495681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495452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a:t>
            </a:r>
            <a:r>
              <a:rPr lang="en-US" baseline="0"/>
              <a:t> Resistance Boiler Total Cost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242294400699913"/>
                  <c:y val="-1.496208807232429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'Air-side Costs'!$R$6:$R$27</c:f>
              <c:numCache>
                <c:formatCode>General</c:formatCode>
                <c:ptCount val="22"/>
              </c:numCache>
            </c:numRef>
          </c:xVal>
          <c:yVal>
            <c:numRef>
              <c:f>'Air-side Costs'!$U$6:$U$27</c:f>
              <c:numCache>
                <c:formatCode>General</c:formatCode>
                <c:ptCount val="22"/>
              </c:numCache>
            </c:numRef>
          </c:yVal>
          <c:smooth val="0"/>
          <c:extLst>
            <c:ext xmlns:c16="http://schemas.microsoft.com/office/drawing/2014/chart" uri="{C3380CC4-5D6E-409C-BE32-E72D297353CC}">
              <c16:uniqueId val="{00000000-BDAE-40F7-8A4A-AEA4C144F7B7}"/>
            </c:ext>
          </c:extLst>
        </c:ser>
        <c:dLbls>
          <c:showLegendKey val="0"/>
          <c:showVal val="0"/>
          <c:showCatName val="0"/>
          <c:showSerName val="0"/>
          <c:showPercent val="0"/>
          <c:showBubbleSize val="0"/>
        </c:dLbls>
        <c:axId val="929166096"/>
        <c:axId val="929169048"/>
      </c:scatterChart>
      <c:valAx>
        <c:axId val="9291660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169048"/>
        <c:crosses val="autoZero"/>
        <c:crossBetween val="midCat"/>
      </c:valAx>
      <c:valAx>
        <c:axId val="929169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1660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Storage</a:t>
            </a:r>
            <a:r>
              <a:rPr lang="en-US" baseline="0"/>
              <a:t> Tank, Potable, Stainless steel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3942563429571303"/>
                  <c:y val="-1.893518518518520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strRef>
              <c:f>'Proto Costing'!$C$46:$C$302</c:f>
              <c:strCache>
                <c:ptCount val="180"/>
                <c:pt idx="0">
                  <c:v>$1,121,825</c:v>
                </c:pt>
                <c:pt idx="1">
                  <c:v>$16,000</c:v>
                </c:pt>
                <c:pt idx="2">
                  <c:v>$1,137,825</c:v>
                </c:pt>
                <c:pt idx="4">
                  <c:v>$5,741,555 </c:v>
                </c:pt>
                <c:pt idx="9">
                  <c:v>CZ1</c:v>
                </c:pt>
                <c:pt idx="10">
                  <c:v>200</c:v>
                </c:pt>
                <c:pt idx="11">
                  <c:v>1</c:v>
                </c:pt>
                <c:pt idx="12">
                  <c:v>$1,280</c:v>
                </c:pt>
                <c:pt idx="13">
                  <c:v>$256,000</c:v>
                </c:pt>
                <c:pt idx="14">
                  <c:v>$10,560 </c:v>
                </c:pt>
                <c:pt idx="15">
                  <c:v>15%</c:v>
                </c:pt>
                <c:pt idx="16">
                  <c:v>$306,544 </c:v>
                </c:pt>
                <c:pt idx="19">
                  <c:v>74788</c:v>
                </c:pt>
                <c:pt idx="20">
                  <c:v>$10 </c:v>
                </c:pt>
                <c:pt idx="21">
                  <c:v>$747,880</c:v>
                </c:pt>
                <c:pt idx="22">
                  <c:v>0</c:v>
                </c:pt>
                <c:pt idx="23">
                  <c:v>15%</c:v>
                </c:pt>
                <c:pt idx="24">
                  <c:v>$860,062 </c:v>
                </c:pt>
                <c:pt idx="27">
                  <c:v>8600</c:v>
                </c:pt>
                <c:pt idx="28">
                  <c:v>56.65</c:v>
                </c:pt>
                <c:pt idx="29">
                  <c:v>$487,190</c:v>
                </c:pt>
                <c:pt idx="30">
                  <c:v>0</c:v>
                </c:pt>
                <c:pt idx="31">
                  <c:v>15%</c:v>
                </c:pt>
                <c:pt idx="32">
                  <c:v>$560,269 </c:v>
                </c:pt>
                <c:pt idx="35">
                  <c:v>11600</c:v>
                </c:pt>
                <c:pt idx="36">
                  <c:v>$57</c:v>
                </c:pt>
                <c:pt idx="37">
                  <c:v>$657,140</c:v>
                </c:pt>
                <c:pt idx="38">
                  <c:v>$0</c:v>
                </c:pt>
                <c:pt idx="39">
                  <c:v>15%</c:v>
                </c:pt>
                <c:pt idx="40">
                  <c:v>$755,711 </c:v>
                </c:pt>
                <c:pt idx="42">
                  <c:v>120</c:v>
                </c:pt>
                <c:pt idx="43">
                  <c:v>$1,202,988 </c:v>
                </c:pt>
                <c:pt idx="45">
                  <c:v>12.00</c:v>
                </c:pt>
                <c:pt idx="46">
                  <c:v>$18,122</c:v>
                </c:pt>
                <c:pt idx="48">
                  <c:v>1458.7</c:v>
                </c:pt>
                <c:pt idx="49">
                  <c:v>1475</c:v>
                </c:pt>
                <c:pt idx="51">
                  <c:v>$30,668</c:v>
                </c:pt>
                <c:pt idx="53">
                  <c:v>15%</c:v>
                </c:pt>
                <c:pt idx="54">
                  <c:v>$35,268</c:v>
                </c:pt>
                <c:pt idx="56">
                  <c:v>703.4</c:v>
                </c:pt>
                <c:pt idx="57">
                  <c:v>1</c:v>
                </c:pt>
                <c:pt idx="58">
                  <c:v>$33,339</c:v>
                </c:pt>
                <c:pt idx="59">
                  <c:v>15%</c:v>
                </c:pt>
                <c:pt idx="60">
                  <c:v>$38,339</c:v>
                </c:pt>
                <c:pt idx="62">
                  <c:v>$3,777,303 </c:v>
                </c:pt>
                <c:pt idx="64">
                  <c:v>$1,246,473</c:v>
                </c:pt>
                <c:pt idx="65">
                  <c:v>$32,000</c:v>
                </c:pt>
                <c:pt idx="67">
                  <c:v>$5,055,775 </c:v>
                </c:pt>
                <c:pt idx="72">
                  <c:v>CZ1</c:v>
                </c:pt>
                <c:pt idx="73">
                  <c:v>4320</c:v>
                </c:pt>
                <c:pt idx="74">
                  <c:v>1</c:v>
                </c:pt>
                <c:pt idx="75">
                  <c:v>$56,819</c:v>
                </c:pt>
                <c:pt idx="76">
                  <c:v>$23,012 </c:v>
                </c:pt>
                <c:pt idx="77">
                  <c:v>15%</c:v>
                </c:pt>
                <c:pt idx="78">
                  <c:v>$91,806 </c:v>
                </c:pt>
                <c:pt idx="81">
                  <c:v>166505</c:v>
                </c:pt>
                <c:pt idx="83">
                  <c:v>$363,694</c:v>
                </c:pt>
                <c:pt idx="84">
                  <c:v>0</c:v>
                </c:pt>
                <c:pt idx="85">
                  <c:v>15%</c:v>
                </c:pt>
                <c:pt idx="86">
                  <c:v>$418,248 </c:v>
                </c:pt>
                <c:pt idx="89">
                  <c:v>4412</c:v>
                </c:pt>
                <c:pt idx="90">
                  <c:v>$270.93</c:v>
                </c:pt>
                <c:pt idx="91">
                  <c:v>$1,195,343</c:v>
                </c:pt>
                <c:pt idx="92">
                  <c:v>0</c:v>
                </c:pt>
                <c:pt idx="93">
                  <c:v>15%</c:v>
                </c:pt>
                <c:pt idx="94">
                  <c:v>$1,374,645 </c:v>
                </c:pt>
                <c:pt idx="96">
                  <c:v>4412</c:v>
                </c:pt>
                <c:pt idx="97">
                  <c:v>50.122</c:v>
                </c:pt>
                <c:pt idx="98">
                  <c:v>$221,138</c:v>
                </c:pt>
                <c:pt idx="99">
                  <c:v>0</c:v>
                </c:pt>
                <c:pt idx="100">
                  <c:v>15%</c:v>
                </c:pt>
                <c:pt idx="101">
                  <c:v>$254,309 </c:v>
                </c:pt>
                <c:pt idx="103">
                  <c:v>$149,284 </c:v>
                </c:pt>
                <c:pt idx="106">
                  <c:v>8.00</c:v>
                </c:pt>
                <c:pt idx="107">
                  <c:v>$15,119</c:v>
                </c:pt>
                <c:pt idx="109">
                  <c:v>$2,303,410 </c:v>
                </c:pt>
                <c:pt idx="111">
                  <c:v>$474,494</c:v>
                </c:pt>
                <c:pt idx="112">
                  <c:v>$16,000</c:v>
                </c:pt>
                <c:pt idx="113">
                  <c:v>$490,494</c:v>
                </c:pt>
                <c:pt idx="115">
                  <c:v>$2,793,904 </c:v>
                </c:pt>
                <c:pt idx="121">
                  <c:v>CZ1</c:v>
                </c:pt>
                <c:pt idx="122">
                  <c:v>180</c:v>
                </c:pt>
                <c:pt idx="123">
                  <c:v>1</c:v>
                </c:pt>
                <c:pt idx="124">
                  <c:v>$1,280</c:v>
                </c:pt>
                <c:pt idx="125">
                  <c:v>$230,400</c:v>
                </c:pt>
                <c:pt idx="126">
                  <c:v>$10,560 </c:v>
                </c:pt>
                <c:pt idx="127">
                  <c:v>15%</c:v>
                </c:pt>
                <c:pt idx="128">
                  <c:v>$277,104 </c:v>
                </c:pt>
                <c:pt idx="131">
                  <c:v>85729</c:v>
                </c:pt>
                <c:pt idx="132">
                  <c:v>$10 </c:v>
                </c:pt>
                <c:pt idx="133">
                  <c:v>$857,290</c:v>
                </c:pt>
                <c:pt idx="134">
                  <c:v>0</c:v>
                </c:pt>
                <c:pt idx="135">
                  <c:v>15%</c:v>
                </c:pt>
                <c:pt idx="136">
                  <c:v>$985,884 </c:v>
                </c:pt>
                <c:pt idx="139">
                  <c:v>4412</c:v>
                </c:pt>
                <c:pt idx="140">
                  <c:v>$57</c:v>
                </c:pt>
                <c:pt idx="141">
                  <c:v>$249,940</c:v>
                </c:pt>
                <c:pt idx="142">
                  <c:v>0</c:v>
                </c:pt>
                <c:pt idx="143">
                  <c:v>15%</c:v>
                </c:pt>
                <c:pt idx="144">
                  <c:v>$287,431 </c:v>
                </c:pt>
                <c:pt idx="147">
                  <c:v>4412</c:v>
                </c:pt>
                <c:pt idx="148">
                  <c:v>$57</c:v>
                </c:pt>
                <c:pt idx="149">
                  <c:v>$249,940</c:v>
                </c:pt>
                <c:pt idx="150">
                  <c:v>0</c:v>
                </c:pt>
                <c:pt idx="151">
                  <c:v>15%</c:v>
                </c:pt>
                <c:pt idx="152">
                  <c:v>$287,431 </c:v>
                </c:pt>
                <c:pt idx="154">
                  <c:v>46</c:v>
                </c:pt>
                <c:pt idx="155">
                  <c:v>$461,145 </c:v>
                </c:pt>
                <c:pt idx="157">
                  <c:v>10.00</c:v>
                </c:pt>
                <c:pt idx="158">
                  <c:v>$16,620</c:v>
                </c:pt>
                <c:pt idx="160">
                  <c:v>1594.1</c:v>
                </c:pt>
                <c:pt idx="161">
                  <c:v>1600</c:v>
                </c:pt>
                <c:pt idx="163">
                  <c:v>$33,230</c:v>
                </c:pt>
                <c:pt idx="165">
                  <c:v>15%</c:v>
                </c:pt>
                <c:pt idx="166">
                  <c:v>$38,214</c:v>
                </c:pt>
                <c:pt idx="168">
                  <c:v>633.1</c:v>
                </c:pt>
                <c:pt idx="169">
                  <c:v>1</c:v>
                </c:pt>
                <c:pt idx="170">
                  <c:v>$30,521</c:v>
                </c:pt>
                <c:pt idx="171">
                  <c:v>15%</c:v>
                </c:pt>
                <c:pt idx="172">
                  <c:v>$35,099</c:v>
                </c:pt>
                <c:pt idx="174">
                  <c:v>$2,372,307 </c:v>
                </c:pt>
                <c:pt idx="176">
                  <c:v>$527,215</c:v>
                </c:pt>
                <c:pt idx="177">
                  <c:v>$32,000</c:v>
                </c:pt>
                <c:pt idx="179">
                  <c:v>$2,931,522 </c:v>
                </c:pt>
              </c:strCache>
            </c:strRef>
          </c:xVal>
          <c:yVal>
            <c:numRef>
              <c:f>'Proto Costing'!$F$46:$F$302</c:f>
              <c:numCache>
                <c:formatCode>"$"#,##0</c:formatCode>
                <c:ptCount val="185"/>
                <c:pt idx="0">
                  <c:v>1121825.25</c:v>
                </c:pt>
                <c:pt idx="1">
                  <c:v>16000</c:v>
                </c:pt>
                <c:pt idx="2">
                  <c:v>1137825.25</c:v>
                </c:pt>
                <c:pt idx="4" formatCode="&quot;$&quot;#,##0_);[Red]\(&quot;$&quot;#,##0\)">
                  <c:v>5804202.5682399999</c:v>
                </c:pt>
                <c:pt idx="9" formatCode="General">
                  <c:v>0</c:v>
                </c:pt>
                <c:pt idx="10" formatCode="General">
                  <c:v>200</c:v>
                </c:pt>
                <c:pt idx="11" formatCode="General">
                  <c:v>1</c:v>
                </c:pt>
                <c:pt idx="12">
                  <c:v>1280</c:v>
                </c:pt>
                <c:pt idx="13">
                  <c:v>256000</c:v>
                </c:pt>
                <c:pt idx="14" formatCode="&quot;$&quot;#,##0_);[Red]\(&quot;$&quot;#,##0\)">
                  <c:v>10560</c:v>
                </c:pt>
                <c:pt idx="15" formatCode="0%">
                  <c:v>0.15</c:v>
                </c:pt>
                <c:pt idx="16" formatCode="&quot;$&quot;#,##0_);[Red]\(&quot;$&quot;#,##0\)">
                  <c:v>306544</c:v>
                </c:pt>
                <c:pt idx="19" formatCode="General">
                  <c:v>74788</c:v>
                </c:pt>
                <c:pt idx="20" formatCode="&quot;$&quot;#,##0_);[Red]\(&quot;$&quot;#,##0\)">
                  <c:v>10</c:v>
                </c:pt>
                <c:pt idx="21">
                  <c:v>747880</c:v>
                </c:pt>
                <c:pt idx="22" formatCode="General">
                  <c:v>0</c:v>
                </c:pt>
                <c:pt idx="23" formatCode="0%">
                  <c:v>0.15</c:v>
                </c:pt>
                <c:pt idx="24" formatCode="&quot;$&quot;#,##0_);[Red]\(&quot;$&quot;#,##0\)">
                  <c:v>860061.99999999988</c:v>
                </c:pt>
                <c:pt idx="27" formatCode="General">
                  <c:v>8600</c:v>
                </c:pt>
                <c:pt idx="28" formatCode="General">
                  <c:v>56.65</c:v>
                </c:pt>
                <c:pt idx="29">
                  <c:v>487190</c:v>
                </c:pt>
                <c:pt idx="30" formatCode="General">
                  <c:v>0</c:v>
                </c:pt>
                <c:pt idx="31" formatCode="0%">
                  <c:v>0.15</c:v>
                </c:pt>
                <c:pt idx="32" formatCode="&quot;$&quot;#,##0_);[Red]\(&quot;$&quot;#,##0\)">
                  <c:v>560268.5</c:v>
                </c:pt>
                <c:pt idx="35" formatCode="General">
                  <c:v>11600</c:v>
                </c:pt>
                <c:pt idx="36">
                  <c:v>56.65</c:v>
                </c:pt>
                <c:pt idx="37">
                  <c:v>657140</c:v>
                </c:pt>
                <c:pt idx="38">
                  <c:v>0</c:v>
                </c:pt>
                <c:pt idx="39" formatCode="0%">
                  <c:v>0.15</c:v>
                </c:pt>
                <c:pt idx="40" formatCode="&quot;$&quot;#,##0_);[Red]\(&quot;$&quot;#,##0\)">
                  <c:v>755710.99999999988</c:v>
                </c:pt>
                <c:pt idx="42" formatCode="General">
                  <c:v>120</c:v>
                </c:pt>
                <c:pt idx="43" formatCode="&quot;$&quot;#,##0_);[Red]\(&quot;$&quot;#,##0\)">
                  <c:v>1202988</c:v>
                </c:pt>
                <c:pt idx="45" formatCode="0.00">
                  <c:v>12</c:v>
                </c:pt>
                <c:pt idx="46">
                  <c:v>18121.7</c:v>
                </c:pt>
                <c:pt idx="48" formatCode="0.0">
                  <c:v>1458.7027531497902</c:v>
                </c:pt>
                <c:pt idx="49" formatCode="General">
                  <c:v>1475</c:v>
                </c:pt>
                <c:pt idx="51">
                  <c:v>30667.884999999998</c:v>
                </c:pt>
                <c:pt idx="53" formatCode="0%">
                  <c:v>0.15</c:v>
                </c:pt>
                <c:pt idx="54">
                  <c:v>35268.067749999995</c:v>
                </c:pt>
                <c:pt idx="56" formatCode="0.0">
                  <c:v>703.39976553341148</c:v>
                </c:pt>
                <c:pt idx="57" formatCode="General">
                  <c:v>1</c:v>
                </c:pt>
                <c:pt idx="58">
                  <c:v>33338.591207502926</c:v>
                </c:pt>
                <c:pt idx="59" formatCode="0%">
                  <c:v>0.15</c:v>
                </c:pt>
                <c:pt idx="60">
                  <c:v>38339.379888628362</c:v>
                </c:pt>
                <c:pt idx="62" formatCode="&quot;$&quot;#,##0_);[Red]\(&quot;$&quot;#,##0\)">
                  <c:v>3777302.6476386283</c:v>
                </c:pt>
                <c:pt idx="64">
                  <c:v>1246472.5</c:v>
                </c:pt>
                <c:pt idx="65">
                  <c:v>32000</c:v>
                </c:pt>
                <c:pt idx="67" formatCode="&quot;$&quot;#,##0_);[Red]\(&quot;$&quot;#,##0\)">
                  <c:v>5055775.1476386283</c:v>
                </c:pt>
                <c:pt idx="71" formatCode="General">
                  <c:v>0</c:v>
                </c:pt>
                <c:pt idx="72" formatCode="General">
                  <c:v>0</c:v>
                </c:pt>
                <c:pt idx="73" formatCode="General">
                  <c:v>4560</c:v>
                </c:pt>
                <c:pt idx="74" formatCode="General">
                  <c:v>1</c:v>
                </c:pt>
                <c:pt idx="75">
                  <c:v>59883.64</c:v>
                </c:pt>
                <c:pt idx="76" formatCode="&quot;$&quot;#,##0_);[Red]\(&quot;$&quot;#,##0\)">
                  <c:v>24206.748</c:v>
                </c:pt>
                <c:pt idx="77" formatCode="0%">
                  <c:v>0.15</c:v>
                </c:pt>
                <c:pt idx="78" formatCode="&quot;$&quot;#,##0_);[Red]\(&quot;$&quot;#,##0\)">
                  <c:v>96703.946200000006</c:v>
                </c:pt>
                <c:pt idx="81" formatCode="General">
                  <c:v>181289</c:v>
                </c:pt>
                <c:pt idx="83">
                  <c:v>395233.02370000002</c:v>
                </c:pt>
                <c:pt idx="84" formatCode="General">
                  <c:v>0</c:v>
                </c:pt>
                <c:pt idx="85" formatCode="0%">
                  <c:v>0.15</c:v>
                </c:pt>
                <c:pt idx="86" formatCode="&quot;$&quot;#,##0_);[Red]\(&quot;$&quot;#,##0\)">
                  <c:v>454517.97725499998</c:v>
                </c:pt>
                <c:pt idx="89" formatCode="General">
                  <c:v>4412</c:v>
                </c:pt>
                <c:pt idx="90" formatCode="&quot;$&quot;#,##0.00">
                  <c:v>270.93</c:v>
                </c:pt>
                <c:pt idx="91">
                  <c:v>1195343.1599999999</c:v>
                </c:pt>
                <c:pt idx="92" formatCode="General">
                  <c:v>0</c:v>
                </c:pt>
                <c:pt idx="93" formatCode="0%">
                  <c:v>0.15</c:v>
                </c:pt>
                <c:pt idx="94" formatCode="&quot;$&quot;#,##0_);[Red]\(&quot;$&quot;#,##0\)">
                  <c:v>1374644.6339999998</c:v>
                </c:pt>
                <c:pt idx="96" formatCode="General">
                  <c:v>4412</c:v>
                </c:pt>
                <c:pt idx="97" formatCode="General">
                  <c:v>50.122</c:v>
                </c:pt>
                <c:pt idx="98">
                  <c:v>221138.264</c:v>
                </c:pt>
                <c:pt idx="99" formatCode="General">
                  <c:v>0</c:v>
                </c:pt>
                <c:pt idx="100" formatCode="0%">
                  <c:v>0.15</c:v>
                </c:pt>
                <c:pt idx="101" formatCode="&quot;$&quot;#,##0_);[Red]\(&quot;$&quot;#,##0\)">
                  <c:v>254309.00359999997</c:v>
                </c:pt>
                <c:pt idx="103" formatCode="&quot;$&quot;#,##0_);[Red]\(&quot;$&quot;#,##0\)">
                  <c:v>149283.79999999999</c:v>
                </c:pt>
                <c:pt idx="106" formatCode="0.00">
                  <c:v>8</c:v>
                </c:pt>
                <c:pt idx="107">
                  <c:v>15118.9</c:v>
                </c:pt>
                <c:pt idx="109" formatCode="&quot;$&quot;#,##0_);[Red]\(&quot;$&quot;#,##0\)">
                  <c:v>2344578.2610549997</c:v>
                </c:pt>
                <c:pt idx="111">
                  <c:v>474493.5</c:v>
                </c:pt>
                <c:pt idx="112">
                  <c:v>16000</c:v>
                </c:pt>
                <c:pt idx="113">
                  <c:v>490493.5</c:v>
                </c:pt>
                <c:pt idx="115" formatCode="&quot;$&quot;#,##0_);[Red]\(&quot;$&quot;#,##0\)">
                  <c:v>2835071.7610549997</c:v>
                </c:pt>
                <c:pt idx="121" formatCode="General">
                  <c:v>0</c:v>
                </c:pt>
                <c:pt idx="122" formatCode="General">
                  <c:v>190</c:v>
                </c:pt>
                <c:pt idx="123" formatCode="General">
                  <c:v>1</c:v>
                </c:pt>
                <c:pt idx="124">
                  <c:v>1280</c:v>
                </c:pt>
                <c:pt idx="125">
                  <c:v>243200</c:v>
                </c:pt>
                <c:pt idx="126" formatCode="&quot;$&quot;#,##0_);[Red]\(&quot;$&quot;#,##0\)">
                  <c:v>10560</c:v>
                </c:pt>
                <c:pt idx="127" formatCode="0%">
                  <c:v>0.15</c:v>
                </c:pt>
                <c:pt idx="128" formatCode="&quot;$&quot;#,##0_);[Red]\(&quot;$&quot;#,##0\)">
                  <c:v>291824</c:v>
                </c:pt>
                <c:pt idx="131" formatCode="General">
                  <c:v>85729</c:v>
                </c:pt>
                <c:pt idx="132" formatCode="&quot;$&quot;#,##0_);[Red]\(&quot;$&quot;#,##0\)">
                  <c:v>10</c:v>
                </c:pt>
                <c:pt idx="133">
                  <c:v>857290</c:v>
                </c:pt>
                <c:pt idx="134" formatCode="General">
                  <c:v>0</c:v>
                </c:pt>
                <c:pt idx="135" formatCode="0%">
                  <c:v>0.15</c:v>
                </c:pt>
                <c:pt idx="136" formatCode="&quot;$&quot;#,##0_);[Red]\(&quot;$&quot;#,##0\)">
                  <c:v>985883.49999999988</c:v>
                </c:pt>
                <c:pt idx="139" formatCode="General">
                  <c:v>4412</c:v>
                </c:pt>
                <c:pt idx="140">
                  <c:v>56.65</c:v>
                </c:pt>
                <c:pt idx="141">
                  <c:v>249939.8</c:v>
                </c:pt>
                <c:pt idx="142" formatCode="General">
                  <c:v>0</c:v>
                </c:pt>
                <c:pt idx="143" formatCode="0%">
                  <c:v>0.15</c:v>
                </c:pt>
                <c:pt idx="144" formatCode="&quot;$&quot;#,##0_);[Red]\(&quot;$&quot;#,##0\)">
                  <c:v>287430.76999999996</c:v>
                </c:pt>
                <c:pt idx="147" formatCode="General">
                  <c:v>4412</c:v>
                </c:pt>
                <c:pt idx="148">
                  <c:v>56.65</c:v>
                </c:pt>
                <c:pt idx="149">
                  <c:v>249939.8</c:v>
                </c:pt>
                <c:pt idx="150" formatCode="General">
                  <c:v>0</c:v>
                </c:pt>
                <c:pt idx="151" formatCode="0%">
                  <c:v>0.15</c:v>
                </c:pt>
                <c:pt idx="152" formatCode="&quot;$&quot;#,##0_);[Red]\(&quot;$&quot;#,##0\)">
                  <c:v>287430.76999999996</c:v>
                </c:pt>
                <c:pt idx="154" formatCode="General">
                  <c:v>46</c:v>
                </c:pt>
                <c:pt idx="155" formatCode="&quot;$&quot;#,##0_);[Red]\(&quot;$&quot;#,##0\)">
                  <c:v>461145.39999999997</c:v>
                </c:pt>
                <c:pt idx="157" formatCode="0.00">
                  <c:v>12</c:v>
                </c:pt>
                <c:pt idx="158">
                  <c:v>18121.7</c:v>
                </c:pt>
                <c:pt idx="160" formatCode="0.0">
                  <c:v>1694.1203919738684</c:v>
                </c:pt>
                <c:pt idx="161" formatCode="General">
                  <c:v>1700</c:v>
                </c:pt>
                <c:pt idx="163">
                  <c:v>35278.81</c:v>
                </c:pt>
                <c:pt idx="165" formatCode="0%">
                  <c:v>0.15</c:v>
                </c:pt>
                <c:pt idx="166">
                  <c:v>40570.631499999996</c:v>
                </c:pt>
                <c:pt idx="168" formatCode="0.0">
                  <c:v>668.22977725674093</c:v>
                </c:pt>
                <c:pt idx="169" formatCode="General">
                  <c:v>1</c:v>
                </c:pt>
                <c:pt idx="170">
                  <c:v>31929.716647127781</c:v>
                </c:pt>
                <c:pt idx="171" formatCode="0%">
                  <c:v>0.15</c:v>
                </c:pt>
                <c:pt idx="172">
                  <c:v>36719.174144196943</c:v>
                </c:pt>
                <c:pt idx="174" formatCode="&quot;$&quot;#,##0_);[Red]\(&quot;$&quot;#,##0\)">
                  <c:v>2391004.2456441969</c:v>
                </c:pt>
                <c:pt idx="176">
                  <c:v>527215</c:v>
                </c:pt>
                <c:pt idx="177">
                  <c:v>32000</c:v>
                </c:pt>
                <c:pt idx="179" formatCode="&quot;$&quot;#,##0_);[Red]\(&quot;$&quot;#,##0\)">
                  <c:v>2950219.2456441969</c:v>
                </c:pt>
              </c:numCache>
            </c:numRef>
          </c:yVal>
          <c:smooth val="0"/>
          <c:extLst>
            <c:ext xmlns:c16="http://schemas.microsoft.com/office/drawing/2014/chart" uri="{C3380CC4-5D6E-409C-BE32-E72D297353CC}">
              <c16:uniqueId val="{00000001-9858-4071-B185-93B956DAE220}"/>
            </c:ext>
          </c:extLst>
        </c:ser>
        <c:dLbls>
          <c:showLegendKey val="0"/>
          <c:showVal val="0"/>
          <c:showCatName val="0"/>
          <c:showSerName val="0"/>
          <c:showPercent val="0"/>
          <c:showBubbleSize val="0"/>
        </c:dLbls>
        <c:axId val="719930824"/>
        <c:axId val="719933120"/>
      </c:scatterChart>
      <c:valAx>
        <c:axId val="719930824"/>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933120"/>
        <c:crosses val="autoZero"/>
        <c:crossBetween val="midCat"/>
      </c:valAx>
      <c:valAx>
        <c:axId val="7199331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93082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a:t>
            </a:r>
            <a:r>
              <a:rPr lang="en-US" baseline="0"/>
              <a:t> Resistance Boiler Total Cost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242294400699913"/>
                  <c:y val="-1.496208807232429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'Plant-side Costs'!$C$26:$C$45</c:f>
              <c:numCache>
                <c:formatCode>General</c:formatCode>
                <c:ptCount val="20"/>
                <c:pt idx="0">
                  <c:v>30</c:v>
                </c:pt>
                <c:pt idx="1">
                  <c:v>45</c:v>
                </c:pt>
                <c:pt idx="2">
                  <c:v>60</c:v>
                </c:pt>
                <c:pt idx="3">
                  <c:v>75</c:v>
                </c:pt>
                <c:pt idx="4">
                  <c:v>90</c:v>
                </c:pt>
                <c:pt idx="5">
                  <c:v>105</c:v>
                </c:pt>
                <c:pt idx="6">
                  <c:v>120</c:v>
                </c:pt>
                <c:pt idx="7">
                  <c:v>135</c:v>
                </c:pt>
                <c:pt idx="8">
                  <c:v>150</c:v>
                </c:pt>
                <c:pt idx="9">
                  <c:v>165</c:v>
                </c:pt>
                <c:pt idx="10">
                  <c:v>296</c:v>
                </c:pt>
                <c:pt idx="11">
                  <c:v>370</c:v>
                </c:pt>
                <c:pt idx="12">
                  <c:v>444</c:v>
                </c:pt>
                <c:pt idx="13">
                  <c:v>518</c:v>
                </c:pt>
                <c:pt idx="14">
                  <c:v>592</c:v>
                </c:pt>
                <c:pt idx="15">
                  <c:v>666</c:v>
                </c:pt>
                <c:pt idx="16">
                  <c:v>740</c:v>
                </c:pt>
                <c:pt idx="17">
                  <c:v>814</c:v>
                </c:pt>
                <c:pt idx="18">
                  <c:v>888</c:v>
                </c:pt>
                <c:pt idx="19">
                  <c:v>962</c:v>
                </c:pt>
              </c:numCache>
            </c:numRef>
          </c:xVal>
          <c:yVal>
            <c:numRef>
              <c:f>'Plant-side Costs'!$F$26:$F$45</c:f>
              <c:numCache>
                <c:formatCode>General</c:formatCode>
                <c:ptCount val="20"/>
                <c:pt idx="0">
                  <c:v>6800</c:v>
                </c:pt>
                <c:pt idx="1">
                  <c:v>6675</c:v>
                </c:pt>
                <c:pt idx="2">
                  <c:v>7050</c:v>
                </c:pt>
                <c:pt idx="3">
                  <c:v>7500</c:v>
                </c:pt>
                <c:pt idx="4">
                  <c:v>7550</c:v>
                </c:pt>
                <c:pt idx="5">
                  <c:v>8675</c:v>
                </c:pt>
                <c:pt idx="6">
                  <c:v>8525</c:v>
                </c:pt>
                <c:pt idx="7">
                  <c:v>9600</c:v>
                </c:pt>
                <c:pt idx="8">
                  <c:v>10325</c:v>
                </c:pt>
                <c:pt idx="9">
                  <c:v>10750</c:v>
                </c:pt>
                <c:pt idx="10">
                  <c:v>19000</c:v>
                </c:pt>
                <c:pt idx="11">
                  <c:v>21850</c:v>
                </c:pt>
                <c:pt idx="12">
                  <c:v>26000</c:v>
                </c:pt>
                <c:pt idx="13">
                  <c:v>28675</c:v>
                </c:pt>
                <c:pt idx="14">
                  <c:v>31100</c:v>
                </c:pt>
                <c:pt idx="15">
                  <c:v>33675</c:v>
                </c:pt>
                <c:pt idx="16">
                  <c:v>34000</c:v>
                </c:pt>
                <c:pt idx="17">
                  <c:v>36350</c:v>
                </c:pt>
                <c:pt idx="18">
                  <c:v>39000</c:v>
                </c:pt>
                <c:pt idx="19">
                  <c:v>41150</c:v>
                </c:pt>
              </c:numCache>
            </c:numRef>
          </c:yVal>
          <c:smooth val="0"/>
          <c:extLst>
            <c:ext xmlns:c16="http://schemas.microsoft.com/office/drawing/2014/chart" uri="{C3380CC4-5D6E-409C-BE32-E72D297353CC}">
              <c16:uniqueId val="{00000001-2DCB-4D9D-A122-A0B7A6A707A9}"/>
            </c:ext>
          </c:extLst>
        </c:ser>
        <c:dLbls>
          <c:showLegendKey val="0"/>
          <c:showVal val="0"/>
          <c:showCatName val="0"/>
          <c:showSerName val="0"/>
          <c:showPercent val="0"/>
          <c:showBubbleSize val="0"/>
        </c:dLbls>
        <c:axId val="929166096"/>
        <c:axId val="929169048"/>
      </c:scatterChart>
      <c:valAx>
        <c:axId val="9291660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169048"/>
        <c:crosses val="autoZero"/>
        <c:crossBetween val="midCat"/>
      </c:valAx>
      <c:valAx>
        <c:axId val="929169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1660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Commerical NG Boiler Cost,</a:t>
            </a:r>
            <a:r>
              <a:rPr lang="en-US" baseline="0"/>
              <a:t> AF Supply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2331430446194226"/>
                  <c:y val="4.2129629629629626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'Plant-side Costs'!$E$52:$E$65</c:f>
              <c:numCache>
                <c:formatCode>General</c:formatCode>
                <c:ptCount val="14"/>
                <c:pt idx="0">
                  <c:v>400</c:v>
                </c:pt>
                <c:pt idx="1">
                  <c:v>650</c:v>
                </c:pt>
                <c:pt idx="2">
                  <c:v>910</c:v>
                </c:pt>
                <c:pt idx="3">
                  <c:v>1040</c:v>
                </c:pt>
                <c:pt idx="4">
                  <c:v>1170</c:v>
                </c:pt>
                <c:pt idx="5">
                  <c:v>1300</c:v>
                </c:pt>
                <c:pt idx="6">
                  <c:v>495</c:v>
                </c:pt>
                <c:pt idx="7">
                  <c:v>315</c:v>
                </c:pt>
                <c:pt idx="8">
                  <c:v>360</c:v>
                </c:pt>
                <c:pt idx="9">
                  <c:v>399</c:v>
                </c:pt>
                <c:pt idx="10">
                  <c:v>500</c:v>
                </c:pt>
                <c:pt idx="11">
                  <c:v>500</c:v>
                </c:pt>
                <c:pt idx="12">
                  <c:v>750</c:v>
                </c:pt>
                <c:pt idx="13">
                  <c:v>1250</c:v>
                </c:pt>
              </c:numCache>
            </c:numRef>
          </c:xVal>
          <c:yVal>
            <c:numRef>
              <c:f>'Plant-side Costs'!$F$52:$F$65</c:f>
              <c:numCache>
                <c:formatCode>"$"#,##0</c:formatCode>
                <c:ptCount val="14"/>
                <c:pt idx="0">
                  <c:v>7413</c:v>
                </c:pt>
                <c:pt idx="1">
                  <c:v>10679</c:v>
                </c:pt>
                <c:pt idx="2">
                  <c:v>13720</c:v>
                </c:pt>
                <c:pt idx="3">
                  <c:v>15005</c:v>
                </c:pt>
                <c:pt idx="4">
                  <c:v>16622</c:v>
                </c:pt>
                <c:pt idx="5">
                  <c:v>17967</c:v>
                </c:pt>
                <c:pt idx="6" formatCode="&quot;$&quot;#,##0_);[Red]\(&quot;$&quot;#,##0\)">
                  <c:v>6661</c:v>
                </c:pt>
                <c:pt idx="7">
                  <c:v>4266</c:v>
                </c:pt>
                <c:pt idx="8">
                  <c:v>4455</c:v>
                </c:pt>
                <c:pt idx="9">
                  <c:v>4893</c:v>
                </c:pt>
                <c:pt idx="10" formatCode="&quot;$&quot;#,##0_);[Red]\(&quot;$&quot;#,##0\)">
                  <c:v>6427</c:v>
                </c:pt>
                <c:pt idx="11">
                  <c:v>13121</c:v>
                </c:pt>
                <c:pt idx="12">
                  <c:v>14700</c:v>
                </c:pt>
                <c:pt idx="13">
                  <c:v>15456</c:v>
                </c:pt>
              </c:numCache>
            </c:numRef>
          </c:yVal>
          <c:smooth val="0"/>
          <c:extLst>
            <c:ext xmlns:c16="http://schemas.microsoft.com/office/drawing/2014/chart" uri="{C3380CC4-5D6E-409C-BE32-E72D297353CC}">
              <c16:uniqueId val="{00000000-B250-49FA-A3A9-8C2EF8768521}"/>
            </c:ext>
          </c:extLst>
        </c:ser>
        <c:dLbls>
          <c:showLegendKey val="0"/>
          <c:showVal val="0"/>
          <c:showCatName val="0"/>
          <c:showSerName val="0"/>
          <c:showPercent val="0"/>
          <c:showBubbleSize val="0"/>
        </c:dLbls>
        <c:axId val="1043805504"/>
        <c:axId val="1043811080"/>
      </c:scatterChart>
      <c:valAx>
        <c:axId val="1043805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3811080"/>
        <c:crosses val="autoZero"/>
        <c:crossBetween val="midCat"/>
      </c:valAx>
      <c:valAx>
        <c:axId val="104381108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38055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Gas Boiler  Labor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5981014873140859"/>
                  <c:y val="-1.87102653834937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'Plant-side Costs'!$H$52:$H$64</c:f>
              <c:numCache>
                <c:formatCode>General</c:formatCode>
                <c:ptCount val="13"/>
                <c:pt idx="0">
                  <c:v>102</c:v>
                </c:pt>
                <c:pt idx="1">
                  <c:v>122</c:v>
                </c:pt>
                <c:pt idx="2">
                  <c:v>163</c:v>
                </c:pt>
                <c:pt idx="3">
                  <c:v>203</c:v>
                </c:pt>
                <c:pt idx="4">
                  <c:v>240</c:v>
                </c:pt>
                <c:pt idx="5">
                  <c:v>280</c:v>
                </c:pt>
                <c:pt idx="6">
                  <c:v>320</c:v>
                </c:pt>
                <c:pt idx="7">
                  <c:v>360</c:v>
                </c:pt>
                <c:pt idx="8">
                  <c:v>400</c:v>
                </c:pt>
                <c:pt idx="9">
                  <c:v>440</c:v>
                </c:pt>
                <c:pt idx="10">
                  <c:v>544</c:v>
                </c:pt>
                <c:pt idx="11">
                  <c:v>765</c:v>
                </c:pt>
                <c:pt idx="12">
                  <c:v>892</c:v>
                </c:pt>
              </c:numCache>
            </c:numRef>
          </c:xVal>
          <c:yVal>
            <c:numRef>
              <c:f>'Plant-side Costs'!$I$52:$I$64</c:f>
              <c:numCache>
                <c:formatCode>General</c:formatCode>
                <c:ptCount val="13"/>
                <c:pt idx="0">
                  <c:v>1650</c:v>
                </c:pt>
                <c:pt idx="1">
                  <c:v>2150</c:v>
                </c:pt>
                <c:pt idx="2">
                  <c:v>2375</c:v>
                </c:pt>
                <c:pt idx="3">
                  <c:v>2375</c:v>
                </c:pt>
                <c:pt idx="4">
                  <c:v>2525</c:v>
                </c:pt>
                <c:pt idx="5">
                  <c:v>2675</c:v>
                </c:pt>
                <c:pt idx="6">
                  <c:v>3050</c:v>
                </c:pt>
                <c:pt idx="7">
                  <c:v>3425</c:v>
                </c:pt>
                <c:pt idx="8">
                  <c:v>3800</c:v>
                </c:pt>
                <c:pt idx="9">
                  <c:v>4175</c:v>
                </c:pt>
                <c:pt idx="10">
                  <c:v>4800</c:v>
                </c:pt>
                <c:pt idx="11">
                  <c:v>4975</c:v>
                </c:pt>
                <c:pt idx="12">
                  <c:v>5650</c:v>
                </c:pt>
              </c:numCache>
            </c:numRef>
          </c:yVal>
          <c:smooth val="0"/>
          <c:extLst>
            <c:ext xmlns:c16="http://schemas.microsoft.com/office/drawing/2014/chart" uri="{C3380CC4-5D6E-409C-BE32-E72D297353CC}">
              <c16:uniqueId val="{00000000-1799-4B04-8608-34E20AD9B0DC}"/>
            </c:ext>
          </c:extLst>
        </c:ser>
        <c:dLbls>
          <c:showLegendKey val="0"/>
          <c:showVal val="0"/>
          <c:showCatName val="0"/>
          <c:showSerName val="0"/>
          <c:showPercent val="0"/>
          <c:showBubbleSize val="0"/>
        </c:dLbls>
        <c:axId val="1036126544"/>
        <c:axId val="1036123920"/>
      </c:scatterChart>
      <c:valAx>
        <c:axId val="10361265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6123920"/>
        <c:crosses val="autoZero"/>
        <c:crossBetween val="midCat"/>
      </c:valAx>
      <c:valAx>
        <c:axId val="10361239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612654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HHW Pump Cost = f (MHP)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3.6210848643919512E-2"/>
                  <c:y val="-2.97152960046660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'Plant-side Costs'!$G$85:$G$90</c:f>
              <c:numCache>
                <c:formatCode>General</c:formatCode>
                <c:ptCount val="6"/>
                <c:pt idx="0">
                  <c:v>2</c:v>
                </c:pt>
                <c:pt idx="1">
                  <c:v>3</c:v>
                </c:pt>
                <c:pt idx="2">
                  <c:v>5</c:v>
                </c:pt>
                <c:pt idx="3">
                  <c:v>7.5</c:v>
                </c:pt>
                <c:pt idx="4">
                  <c:v>10</c:v>
                </c:pt>
                <c:pt idx="5">
                  <c:v>15</c:v>
                </c:pt>
              </c:numCache>
            </c:numRef>
          </c:xVal>
          <c:yVal>
            <c:numRef>
              <c:f>'Plant-side Costs'!$H$85:$H$90</c:f>
              <c:numCache>
                <c:formatCode>"$"#,##0</c:formatCode>
                <c:ptCount val="6"/>
                <c:pt idx="0">
                  <c:v>10125</c:v>
                </c:pt>
                <c:pt idx="1">
                  <c:v>10125</c:v>
                </c:pt>
                <c:pt idx="2">
                  <c:v>14635</c:v>
                </c:pt>
                <c:pt idx="3">
                  <c:v>14200</c:v>
                </c:pt>
                <c:pt idx="4">
                  <c:v>18150</c:v>
                </c:pt>
                <c:pt idx="5">
                  <c:v>19350</c:v>
                </c:pt>
              </c:numCache>
            </c:numRef>
          </c:yVal>
          <c:smooth val="0"/>
          <c:extLst>
            <c:ext xmlns:c16="http://schemas.microsoft.com/office/drawing/2014/chart" uri="{C3380CC4-5D6E-409C-BE32-E72D297353CC}">
              <c16:uniqueId val="{00000001-C218-486F-996F-696D24F8CB85}"/>
            </c:ext>
          </c:extLst>
        </c:ser>
        <c:dLbls>
          <c:showLegendKey val="0"/>
          <c:showVal val="0"/>
          <c:showCatName val="0"/>
          <c:showSerName val="0"/>
          <c:showPercent val="0"/>
          <c:showBubbleSize val="0"/>
        </c:dLbls>
        <c:axId val="962199424"/>
        <c:axId val="962195160"/>
      </c:scatterChart>
      <c:valAx>
        <c:axId val="9621994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2195160"/>
        <c:crosses val="autoZero"/>
        <c:crossBetween val="midCat"/>
      </c:valAx>
      <c:valAx>
        <c:axId val="96219516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219942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Packaged AWHP Cost (Trane</a:t>
            </a:r>
            <a:r>
              <a:rPr lang="en-US" baseline="0"/>
              <a:t> ACX)</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23772545320924215"/>
                  <c:y val="7.334449519534092E-2"/>
                </c:manualLayout>
              </c:layout>
              <c:numFmt formatCode="General" sourceLinked="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rendlineLbl>
          </c:trendline>
          <c:xVal>
            <c:numRef>
              <c:f>'Plant-side Costs'!$D$103:$D$106</c:f>
              <c:numCache>
                <c:formatCode>General</c:formatCode>
                <c:ptCount val="4"/>
                <c:pt idx="0">
                  <c:v>140</c:v>
                </c:pt>
                <c:pt idx="1">
                  <c:v>180</c:v>
                </c:pt>
                <c:pt idx="2">
                  <c:v>200</c:v>
                </c:pt>
                <c:pt idx="3">
                  <c:v>230</c:v>
                </c:pt>
              </c:numCache>
            </c:numRef>
          </c:xVal>
          <c:yVal>
            <c:numRef>
              <c:f>'Plant-side Costs'!$M$103:$M$106</c:f>
              <c:numCache>
                <c:formatCode>"$"#,##0_);[Red]\("$"#,##0\)</c:formatCode>
                <c:ptCount val="4"/>
                <c:pt idx="0">
                  <c:v>175100</c:v>
                </c:pt>
                <c:pt idx="1">
                  <c:v>214900</c:v>
                </c:pt>
                <c:pt idx="2">
                  <c:v>225300</c:v>
                </c:pt>
                <c:pt idx="3">
                  <c:v>252400</c:v>
                </c:pt>
              </c:numCache>
            </c:numRef>
          </c:yVal>
          <c:smooth val="0"/>
          <c:extLst>
            <c:ext xmlns:c16="http://schemas.microsoft.com/office/drawing/2014/chart" uri="{C3380CC4-5D6E-409C-BE32-E72D297353CC}">
              <c16:uniqueId val="{00000001-9767-4670-816D-DF01D5F61EC8}"/>
            </c:ext>
          </c:extLst>
        </c:ser>
        <c:dLbls>
          <c:showLegendKey val="0"/>
          <c:showVal val="0"/>
          <c:showCatName val="0"/>
          <c:showSerName val="0"/>
          <c:showPercent val="0"/>
          <c:showBubbleSize val="0"/>
        </c:dLbls>
        <c:axId val="1063785664"/>
        <c:axId val="1063780416"/>
      </c:scatterChart>
      <c:valAx>
        <c:axId val="10637856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3780416"/>
        <c:crosses val="autoZero"/>
        <c:crossBetween val="midCat"/>
      </c:valAx>
      <c:valAx>
        <c:axId val="106378041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378566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PVAV, Gas Heat, Bare Labor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'Air-side Costs'!$C$43</c:f>
              <c:strCache>
                <c:ptCount val="1"/>
                <c:pt idx="0">
                  <c:v>Bare Labor</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0248118985126859"/>
                  <c:y val="-3.904819189268007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'Air-side Costs'!$B$44:$B$52</c:f>
              <c:numCache>
                <c:formatCode>General</c:formatCode>
                <c:ptCount val="9"/>
                <c:pt idx="0">
                  <c:v>7.5</c:v>
                </c:pt>
                <c:pt idx="1">
                  <c:v>10</c:v>
                </c:pt>
                <c:pt idx="2">
                  <c:v>12.5</c:v>
                </c:pt>
                <c:pt idx="3">
                  <c:v>15</c:v>
                </c:pt>
                <c:pt idx="4">
                  <c:v>20</c:v>
                </c:pt>
                <c:pt idx="5">
                  <c:v>25</c:v>
                </c:pt>
                <c:pt idx="6">
                  <c:v>30</c:v>
                </c:pt>
                <c:pt idx="7">
                  <c:v>40</c:v>
                </c:pt>
                <c:pt idx="8">
                  <c:v>50</c:v>
                </c:pt>
              </c:numCache>
            </c:numRef>
          </c:xVal>
          <c:yVal>
            <c:numRef>
              <c:f>'Air-side Costs'!$C$44:$C$52</c:f>
              <c:numCache>
                <c:formatCode>General</c:formatCode>
                <c:ptCount val="9"/>
                <c:pt idx="0">
                  <c:v>2100</c:v>
                </c:pt>
                <c:pt idx="1">
                  <c:v>2425</c:v>
                </c:pt>
                <c:pt idx="2">
                  <c:v>2575</c:v>
                </c:pt>
                <c:pt idx="3">
                  <c:v>2850</c:v>
                </c:pt>
                <c:pt idx="4">
                  <c:v>3325</c:v>
                </c:pt>
                <c:pt idx="5">
                  <c:v>3975</c:v>
                </c:pt>
                <c:pt idx="6">
                  <c:v>4725</c:v>
                </c:pt>
                <c:pt idx="7">
                  <c:v>6300</c:v>
                </c:pt>
                <c:pt idx="8">
                  <c:v>7875</c:v>
                </c:pt>
              </c:numCache>
            </c:numRef>
          </c:yVal>
          <c:smooth val="0"/>
          <c:extLst>
            <c:ext xmlns:c16="http://schemas.microsoft.com/office/drawing/2014/chart" uri="{C3380CC4-5D6E-409C-BE32-E72D297353CC}">
              <c16:uniqueId val="{00000000-7CC1-40FB-B762-FD84BD1BCA1B}"/>
            </c:ext>
          </c:extLst>
        </c:ser>
        <c:dLbls>
          <c:showLegendKey val="0"/>
          <c:showVal val="0"/>
          <c:showCatName val="0"/>
          <c:showSerName val="0"/>
          <c:showPercent val="0"/>
          <c:showBubbleSize val="0"/>
        </c:dLbls>
        <c:axId val="1129193880"/>
        <c:axId val="1129194208"/>
      </c:scatterChart>
      <c:valAx>
        <c:axId val="1129193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194208"/>
        <c:crosses val="autoZero"/>
        <c:crossBetween val="midCat"/>
      </c:valAx>
      <c:valAx>
        <c:axId val="1129194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1938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590550</xdr:colOff>
      <xdr:row>9</xdr:row>
      <xdr:rowOff>152400</xdr:rowOff>
    </xdr:from>
    <xdr:to>
      <xdr:col>4</xdr:col>
      <xdr:colOff>285750</xdr:colOff>
      <xdr:row>23</xdr:row>
      <xdr:rowOff>85725</xdr:rowOff>
    </xdr:to>
    <xdr:sp macro="" textlink="">
      <xdr:nvSpPr>
        <xdr:cNvPr id="2" name="TextBox 1">
          <a:extLst>
            <a:ext uri="{FF2B5EF4-FFF2-40B4-BE49-F238E27FC236}">
              <a16:creationId xmlns:a16="http://schemas.microsoft.com/office/drawing/2014/main" id="{2D90850E-E4CA-01E5-C5BC-8B9B37A9D90F}"/>
            </a:ext>
          </a:extLst>
        </xdr:cNvPr>
        <xdr:cNvSpPr txBox="1"/>
      </xdr:nvSpPr>
      <xdr:spPr>
        <a:xfrm>
          <a:off x="590550" y="2057400"/>
          <a:ext cx="5229225" cy="260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MZ HP Costing Approach</a:t>
          </a:r>
        </a:p>
        <a:p>
          <a:r>
            <a:rPr lang="en-US" sz="1100"/>
            <a:t>Costs are developed for individual system</a:t>
          </a:r>
          <a:r>
            <a:rPr lang="en-US" sz="1100" baseline="0"/>
            <a:t> components using RS Means, manufacturer direct quotes, and other data sources. Cost versus capacity regressions are developed for components where possible. This allows costs to be calculated as models are revised. </a:t>
          </a:r>
        </a:p>
        <a:p>
          <a:endParaRPr lang="en-US" sz="1100" baseline="0"/>
        </a:p>
        <a:p>
          <a:r>
            <a:rPr lang="en-US" sz="1100" baseline="0"/>
            <a:t>Model sizing output for a given prototype and case is combined with component costs to develop prototype costs. These costs are applicable to a specific prototype and system configuration. These costs represent the first cost for the system in the context of the proposed measure, i.e., only those components of a system that are changing between the baseline and proposed case are costed. </a:t>
          </a:r>
        </a:p>
        <a:p>
          <a:endParaRPr lang="en-US" sz="1100" baseline="0"/>
        </a:p>
        <a:p>
          <a:r>
            <a:rPr lang="en-US" sz="1100" baseline="0"/>
            <a:t>Finally, present value of maintenance and replacement costs is added to the incremental cost to calculate the total incremental cost of the measure.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482923</xdr:colOff>
      <xdr:row>321</xdr:row>
      <xdr:rowOff>106405</xdr:rowOff>
    </xdr:from>
    <xdr:to>
      <xdr:col>36</xdr:col>
      <xdr:colOff>363655</xdr:colOff>
      <xdr:row>355</xdr:row>
      <xdr:rowOff>43263</xdr:rowOff>
    </xdr:to>
    <xdr:graphicFrame macro="">
      <xdr:nvGraphicFramePr>
        <xdr:cNvPr id="2" name="Chart 1">
          <a:extLst>
            <a:ext uri="{FF2B5EF4-FFF2-40B4-BE49-F238E27FC236}">
              <a16:creationId xmlns:a16="http://schemas.microsoft.com/office/drawing/2014/main" id="{0B7A45A2-2F86-470A-88DF-7E5FDF4BC99E}"/>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424792</xdr:colOff>
      <xdr:row>305</xdr:row>
      <xdr:rowOff>102397</xdr:rowOff>
    </xdr:from>
    <xdr:to>
      <xdr:col>36</xdr:col>
      <xdr:colOff>153179</xdr:colOff>
      <xdr:row>320</xdr:row>
      <xdr:rowOff>33241</xdr:rowOff>
    </xdr:to>
    <xdr:graphicFrame macro="">
      <xdr:nvGraphicFramePr>
        <xdr:cNvPr id="3" name="Chart 2">
          <a:extLst>
            <a:ext uri="{FF2B5EF4-FFF2-40B4-BE49-F238E27FC236}">
              <a16:creationId xmlns:a16="http://schemas.microsoft.com/office/drawing/2014/main" id="{59A2DB4C-1D1A-4211-BCAD-3751D9DDD274}"/>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71326</xdr:colOff>
      <xdr:row>5</xdr:row>
      <xdr:rowOff>92375</xdr:rowOff>
    </xdr:from>
    <xdr:to>
      <xdr:col>14</xdr:col>
      <xdr:colOff>190596</xdr:colOff>
      <xdr:row>20</xdr:row>
      <xdr:rowOff>29232</xdr:rowOff>
    </xdr:to>
    <xdr:graphicFrame macro="">
      <xdr:nvGraphicFramePr>
        <xdr:cNvPr id="2" name="Chart 1" descr="Storage Tank, Potable, Stainless Steel">
          <a:extLst>
            <a:ext uri="{FF2B5EF4-FFF2-40B4-BE49-F238E27FC236}">
              <a16:creationId xmlns:a16="http://schemas.microsoft.com/office/drawing/2014/main" id="{41DBB3B6-4D4A-4167-BA82-41411FF31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43945</xdr:colOff>
      <xdr:row>27</xdr:row>
      <xdr:rowOff>23190</xdr:rowOff>
    </xdr:from>
    <xdr:to>
      <xdr:col>14</xdr:col>
      <xdr:colOff>357027</xdr:colOff>
      <xdr:row>41</xdr:row>
      <xdr:rowOff>147137</xdr:rowOff>
    </xdr:to>
    <xdr:graphicFrame macro="">
      <xdr:nvGraphicFramePr>
        <xdr:cNvPr id="3" name="Chart 2" descr="Electric Resistance Boiler Total Cost">
          <a:extLst>
            <a:ext uri="{FF2B5EF4-FFF2-40B4-BE49-F238E27FC236}">
              <a16:creationId xmlns:a16="http://schemas.microsoft.com/office/drawing/2014/main" id="{1EFFEAB9-60DD-4C03-9A3B-C7BB2EC85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144507</xdr:colOff>
      <xdr:row>48</xdr:row>
      <xdr:rowOff>122387</xdr:rowOff>
    </xdr:from>
    <xdr:to>
      <xdr:col>18</xdr:col>
      <xdr:colOff>263776</xdr:colOff>
      <xdr:row>63</xdr:row>
      <xdr:rowOff>59245</xdr:rowOff>
    </xdr:to>
    <xdr:graphicFrame macro="">
      <xdr:nvGraphicFramePr>
        <xdr:cNvPr id="4" name="Chart 3">
          <a:extLst>
            <a:ext uri="{FF2B5EF4-FFF2-40B4-BE49-F238E27FC236}">
              <a16:creationId xmlns:a16="http://schemas.microsoft.com/office/drawing/2014/main" id="{629620DD-A774-4914-B436-7482F4B85FF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389379</xdr:colOff>
      <xdr:row>48</xdr:row>
      <xdr:rowOff>120439</xdr:rowOff>
    </xdr:from>
    <xdr:to>
      <xdr:col>25</xdr:col>
      <xdr:colOff>508648</xdr:colOff>
      <xdr:row>63</xdr:row>
      <xdr:rowOff>57296</xdr:rowOff>
    </xdr:to>
    <xdr:graphicFrame macro="">
      <xdr:nvGraphicFramePr>
        <xdr:cNvPr id="5" name="Chart 4" descr="Gas Boiler Labor Costs">
          <a:extLst>
            <a:ext uri="{FF2B5EF4-FFF2-40B4-BE49-F238E27FC236}">
              <a16:creationId xmlns:a16="http://schemas.microsoft.com/office/drawing/2014/main" id="{943F43EF-50F9-4C69-ABEF-9D3A1BC223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293984</xdr:colOff>
      <xdr:row>81</xdr:row>
      <xdr:rowOff>139147</xdr:rowOff>
    </xdr:from>
    <xdr:to>
      <xdr:col>16</xdr:col>
      <xdr:colOff>179294</xdr:colOff>
      <xdr:row>96</xdr:row>
      <xdr:rowOff>76003</xdr:rowOff>
    </xdr:to>
    <xdr:graphicFrame macro="">
      <xdr:nvGraphicFramePr>
        <xdr:cNvPr id="6" name="Chart 5" descr="HHW Pump Cost = f (MHP)">
          <a:extLst>
            <a:ext uri="{FF2B5EF4-FFF2-40B4-BE49-F238E27FC236}">
              <a16:creationId xmlns:a16="http://schemas.microsoft.com/office/drawing/2014/main" id="{389B155B-B99C-4D89-9793-4FF6742A0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381000</xdr:colOff>
      <xdr:row>99</xdr:row>
      <xdr:rowOff>44823</xdr:rowOff>
    </xdr:from>
    <xdr:to>
      <xdr:col>27</xdr:col>
      <xdr:colOff>165166</xdr:colOff>
      <xdr:row>118</xdr:row>
      <xdr:rowOff>88089</xdr:rowOff>
    </xdr:to>
    <xdr:graphicFrame macro="">
      <xdr:nvGraphicFramePr>
        <xdr:cNvPr id="7" name="Chart 6" descr="Packaged AWHP Cost (Trane ACX)">
          <a:extLst>
            <a:ext uri="{FF2B5EF4-FFF2-40B4-BE49-F238E27FC236}">
              <a16:creationId xmlns:a16="http://schemas.microsoft.com/office/drawing/2014/main" id="{FF5D1CF4-07AC-4E81-A3BD-8627ECFEA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692035</xdr:colOff>
      <xdr:row>42</xdr:row>
      <xdr:rowOff>22412</xdr:rowOff>
    </xdr:from>
    <xdr:to>
      <xdr:col>13</xdr:col>
      <xdr:colOff>461487</xdr:colOff>
      <xdr:row>57</xdr:row>
      <xdr:rowOff>171304</xdr:rowOff>
    </xdr:to>
    <xdr:graphicFrame macro="">
      <xdr:nvGraphicFramePr>
        <xdr:cNvPr id="2" name="Chart 1">
          <a:extLst>
            <a:ext uri="{FF2B5EF4-FFF2-40B4-BE49-F238E27FC236}">
              <a16:creationId xmlns:a16="http://schemas.microsoft.com/office/drawing/2014/main" id="{7987376D-9923-4A56-AAE5-8D68ADD4ABF5}"/>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686482</xdr:colOff>
      <xdr:row>22</xdr:row>
      <xdr:rowOff>180268</xdr:rowOff>
    </xdr:from>
    <xdr:to>
      <xdr:col>13</xdr:col>
      <xdr:colOff>459635</xdr:colOff>
      <xdr:row>37</xdr:row>
      <xdr:rowOff>117126</xdr:rowOff>
    </xdr:to>
    <xdr:graphicFrame macro="">
      <xdr:nvGraphicFramePr>
        <xdr:cNvPr id="6" name="Chart 5" descr="VAV Cost">
          <a:extLst>
            <a:ext uri="{FF2B5EF4-FFF2-40B4-BE49-F238E27FC236}">
              <a16:creationId xmlns:a16="http://schemas.microsoft.com/office/drawing/2014/main" id="{C73B8F57-CE7C-4A05-B3A9-9B5EC1FDD4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587481</xdr:colOff>
      <xdr:row>2</xdr:row>
      <xdr:rowOff>99780</xdr:rowOff>
    </xdr:from>
    <xdr:to>
      <xdr:col>13</xdr:col>
      <xdr:colOff>406531</xdr:colOff>
      <xdr:row>17</xdr:row>
      <xdr:rowOff>33227</xdr:rowOff>
    </xdr:to>
    <xdr:graphicFrame macro="">
      <xdr:nvGraphicFramePr>
        <xdr:cNvPr id="7" name="Chart 6" descr="Total FPFC Cost">
          <a:extLst>
            <a:ext uri="{FF2B5EF4-FFF2-40B4-BE49-F238E27FC236}">
              <a16:creationId xmlns:a16="http://schemas.microsoft.com/office/drawing/2014/main" id="{281B7783-919B-4C9C-91F0-3F21B96424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33617</xdr:colOff>
      <xdr:row>62</xdr:row>
      <xdr:rowOff>179294</xdr:rowOff>
    </xdr:from>
    <xdr:to>
      <xdr:col>7</xdr:col>
      <xdr:colOff>241753</xdr:colOff>
      <xdr:row>83</xdr:row>
      <xdr:rowOff>147819</xdr:rowOff>
    </xdr:to>
    <xdr:pic>
      <xdr:nvPicPr>
        <xdr:cNvPr id="8" name="Picture 1" descr="Distribution Costs - J. Singer (Northern CA recent Large Office MEP projects)">
          <a:extLst>
            <a:ext uri="{FF2B5EF4-FFF2-40B4-BE49-F238E27FC236}">
              <a16:creationId xmlns:a16="http://schemas.microsoft.com/office/drawing/2014/main" id="{88D967FB-6B14-436A-B446-D8B2B917429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735" y="14354735"/>
          <a:ext cx="6225694" cy="396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4638</xdr:colOff>
      <xdr:row>14</xdr:row>
      <xdr:rowOff>0</xdr:rowOff>
    </xdr:from>
    <xdr:to>
      <xdr:col>10</xdr:col>
      <xdr:colOff>537069</xdr:colOff>
      <xdr:row>34</xdr:row>
      <xdr:rowOff>144993</xdr:rowOff>
    </xdr:to>
    <xdr:pic>
      <xdr:nvPicPr>
        <xdr:cNvPr id="2" name="Picture 1">
          <a:extLst>
            <a:ext uri="{FF2B5EF4-FFF2-40B4-BE49-F238E27FC236}">
              <a16:creationId xmlns:a16="http://schemas.microsoft.com/office/drawing/2014/main" id="{2B7045EC-3783-4B4C-8FDF-F194C7502EEA}"/>
            </a:ext>
          </a:extLst>
        </xdr:cNvPr>
        <xdr:cNvPicPr>
          <a:picLocks noChangeAspect="1"/>
        </xdr:cNvPicPr>
      </xdr:nvPicPr>
      <xdr:blipFill>
        <a:blip xmlns:r="http://schemas.openxmlformats.org/officeDocument/2006/relationships" r:embed="rId1"/>
        <a:stretch>
          <a:fillRect/>
        </a:stretch>
      </xdr:blipFill>
      <xdr:spPr>
        <a:xfrm>
          <a:off x="614238" y="2667000"/>
          <a:ext cx="6018831" cy="3954993"/>
        </a:xfrm>
        <a:prstGeom prst="rect">
          <a:avLst/>
        </a:prstGeom>
      </xdr:spPr>
    </xdr:pic>
    <xdr:clientData/>
  </xdr:twoCellAnchor>
  <xdr:twoCellAnchor editAs="oneCell">
    <xdr:from>
      <xdr:col>1</xdr:col>
      <xdr:colOff>0</xdr:colOff>
      <xdr:row>35</xdr:row>
      <xdr:rowOff>25511</xdr:rowOff>
    </xdr:from>
    <xdr:to>
      <xdr:col>9</xdr:col>
      <xdr:colOff>480638</xdr:colOff>
      <xdr:row>64</xdr:row>
      <xdr:rowOff>77452</xdr:rowOff>
    </xdr:to>
    <xdr:pic>
      <xdr:nvPicPr>
        <xdr:cNvPr id="3" name="Picture 2">
          <a:extLst>
            <a:ext uri="{FF2B5EF4-FFF2-40B4-BE49-F238E27FC236}">
              <a16:creationId xmlns:a16="http://schemas.microsoft.com/office/drawing/2014/main" id="{737D67A9-E037-4B95-BF0B-535D71D7D2F0}"/>
            </a:ext>
          </a:extLst>
        </xdr:cNvPr>
        <xdr:cNvPicPr>
          <a:picLocks noChangeAspect="1"/>
        </xdr:cNvPicPr>
      </xdr:nvPicPr>
      <xdr:blipFill>
        <a:blip xmlns:r="http://schemas.openxmlformats.org/officeDocument/2006/relationships" r:embed="rId2"/>
        <a:stretch>
          <a:fillRect/>
        </a:stretch>
      </xdr:blipFill>
      <xdr:spPr>
        <a:xfrm>
          <a:off x="609600" y="6693011"/>
          <a:ext cx="5357438" cy="557644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jelmgren@trane.com" TargetMode="External"/><Relationship Id="rId1" Type="http://schemas.openxmlformats.org/officeDocument/2006/relationships/hyperlink" Target="mailto:COP@47"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0C04D-2121-44C9-A750-A7A5D51AD121}">
  <dimension ref="B2:C7"/>
  <sheetViews>
    <sheetView tabSelected="1" zoomScale="85" zoomScaleNormal="85" workbookViewId="0">
      <selection activeCell="B1" sqref="B1"/>
    </sheetView>
    <sheetView workbookViewId="1"/>
  </sheetViews>
  <sheetFormatPr defaultRowHeight="15" x14ac:dyDescent="0.25"/>
  <cols>
    <col min="2" max="2" width="19.85546875" customWidth="1"/>
    <col min="3" max="3" width="44.85546875" customWidth="1"/>
  </cols>
  <sheetData>
    <row r="2" spans="2:3" x14ac:dyDescent="0.25">
      <c r="B2" s="201" t="s">
        <v>0</v>
      </c>
      <c r="C2" s="201" t="s">
        <v>1</v>
      </c>
    </row>
    <row r="3" spans="2:3" ht="30" x14ac:dyDescent="0.25">
      <c r="B3" s="112" t="s">
        <v>2</v>
      </c>
      <c r="C3" s="113" t="s">
        <v>3</v>
      </c>
    </row>
    <row r="4" spans="2:3" x14ac:dyDescent="0.25">
      <c r="B4" s="112" t="s">
        <v>4</v>
      </c>
      <c r="C4" s="112" t="s">
        <v>5</v>
      </c>
    </row>
    <row r="5" spans="2:3" x14ac:dyDescent="0.25">
      <c r="B5" s="112" t="s">
        <v>6</v>
      </c>
      <c r="C5" s="112" t="s">
        <v>7</v>
      </c>
    </row>
    <row r="6" spans="2:3" x14ac:dyDescent="0.25">
      <c r="B6" s="112" t="s">
        <v>8</v>
      </c>
      <c r="C6" s="112" t="s">
        <v>9</v>
      </c>
    </row>
    <row r="7" spans="2:3" x14ac:dyDescent="0.25">
      <c r="B7" s="112" t="s">
        <v>10</v>
      </c>
      <c r="C7" s="112" t="s">
        <v>11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81797-B867-44B2-BEB3-46349DB32DB7}">
  <dimension ref="B2:BM82"/>
  <sheetViews>
    <sheetView zoomScale="85" zoomScaleNormal="85" workbookViewId="0"/>
    <sheetView tabSelected="1" workbookViewId="1">
      <selection activeCell="D28" sqref="D28:D33"/>
    </sheetView>
  </sheetViews>
  <sheetFormatPr defaultRowHeight="15" x14ac:dyDescent="0.25"/>
  <cols>
    <col min="1" max="1" width="7.42578125" customWidth="1"/>
    <col min="2" max="2" width="12.5703125" customWidth="1"/>
    <col min="3" max="3" width="6.140625" customWidth="1"/>
    <col min="4" max="4" width="23.42578125" customWidth="1"/>
    <col min="5" max="5" width="16.42578125" customWidth="1"/>
    <col min="6" max="7" width="10.7109375" customWidth="1"/>
    <col min="8" max="8" width="13.42578125" customWidth="1"/>
    <col min="9" max="11" width="10.7109375" customWidth="1"/>
    <col min="12" max="12" width="14.28515625" customWidth="1"/>
    <col min="13" max="13" width="12.28515625" customWidth="1"/>
    <col min="14" max="23" width="10.7109375" customWidth="1"/>
    <col min="49" max="49" width="29.28515625" bestFit="1" customWidth="1"/>
    <col min="50" max="50" width="12.7109375" customWidth="1"/>
  </cols>
  <sheetData>
    <row r="2" spans="2:9" ht="26.25" x14ac:dyDescent="0.4">
      <c r="B2" s="154" t="s">
        <v>12</v>
      </c>
      <c r="D2" s="52"/>
    </row>
    <row r="3" spans="2:9" ht="26.25" x14ac:dyDescent="0.4">
      <c r="B3" s="154"/>
      <c r="D3" s="52"/>
    </row>
    <row r="4" spans="2:9" ht="26.25" x14ac:dyDescent="0.4">
      <c r="B4" s="154"/>
      <c r="D4" s="52" t="s">
        <v>13</v>
      </c>
    </row>
    <row r="5" spans="2:9" x14ac:dyDescent="0.25">
      <c r="D5" s="2" t="s">
        <v>14</v>
      </c>
      <c r="E5" s="2" t="s">
        <v>15</v>
      </c>
      <c r="F5" s="2"/>
      <c r="G5" s="2" t="s">
        <v>16</v>
      </c>
    </row>
    <row r="6" spans="2:9" x14ac:dyDescent="0.25">
      <c r="D6" t="s">
        <v>17</v>
      </c>
      <c r="E6" s="168">
        <v>0.03</v>
      </c>
      <c r="G6" t="s">
        <v>18</v>
      </c>
    </row>
    <row r="7" spans="2:9" x14ac:dyDescent="0.25">
      <c r="D7" t="s">
        <v>19</v>
      </c>
      <c r="E7">
        <v>120</v>
      </c>
      <c r="G7" t="s">
        <v>20</v>
      </c>
    </row>
    <row r="8" spans="2:9" x14ac:dyDescent="0.25">
      <c r="D8" s="2" t="s">
        <v>21</v>
      </c>
      <c r="E8" s="2">
        <v>46</v>
      </c>
      <c r="F8" s="2"/>
      <c r="G8" s="2"/>
    </row>
    <row r="9" spans="2:9" x14ac:dyDescent="0.25">
      <c r="D9" s="2"/>
      <c r="E9" s="167"/>
      <c r="F9" s="2"/>
      <c r="G9" s="2"/>
      <c r="H9" s="2"/>
    </row>
    <row r="10" spans="2:9" ht="30" x14ac:dyDescent="0.25">
      <c r="D10" s="2" t="s">
        <v>22</v>
      </c>
      <c r="E10" s="165" t="s">
        <v>23</v>
      </c>
      <c r="F10" s="4" t="s">
        <v>24</v>
      </c>
      <c r="G10" s="166" t="s">
        <v>25</v>
      </c>
      <c r="H10" s="2" t="s">
        <v>26</v>
      </c>
    </row>
    <row r="11" spans="2:9" x14ac:dyDescent="0.25">
      <c r="D11" t="s">
        <v>27</v>
      </c>
      <c r="E11" s="102">
        <v>500</v>
      </c>
      <c r="F11" s="3">
        <v>20</v>
      </c>
      <c r="G11" s="51">
        <f t="shared" ref="G11:G12" si="0">1/(1*(1+$E$6)^F11)</f>
        <v>0.55367575418633497</v>
      </c>
      <c r="H11" s="9">
        <f t="shared" ref="H11:H12" si="1">PV(3%,30,E11,,1)</f>
        <v>-10094.22729497693</v>
      </c>
    </row>
    <row r="12" spans="2:9" x14ac:dyDescent="0.25">
      <c r="D12" t="s">
        <v>28</v>
      </c>
      <c r="E12" s="102">
        <v>400</v>
      </c>
      <c r="F12" s="3">
        <v>20</v>
      </c>
      <c r="G12" s="51">
        <f t="shared" si="0"/>
        <v>0.55367575418633497</v>
      </c>
      <c r="H12" s="9">
        <f t="shared" si="1"/>
        <v>-8075.3818359815441</v>
      </c>
    </row>
    <row r="13" spans="2:9" x14ac:dyDescent="0.25">
      <c r="D13" t="s">
        <v>29</v>
      </c>
      <c r="E13" s="103">
        <v>500</v>
      </c>
      <c r="F13" s="3">
        <v>25</v>
      </c>
      <c r="G13" s="51">
        <f t="shared" ref="G13:G20" si="2">1/(1*(1+$E$6)^F13)</f>
        <v>0.47760556926165965</v>
      </c>
      <c r="H13" s="9">
        <f t="shared" ref="H13:H19" si="3">PV(3%,30,E13,,1)</f>
        <v>-10094.22729497693</v>
      </c>
    </row>
    <row r="14" spans="2:9" x14ac:dyDescent="0.25">
      <c r="D14" t="s">
        <v>30</v>
      </c>
      <c r="E14" s="103">
        <v>300</v>
      </c>
      <c r="F14" s="3">
        <v>15</v>
      </c>
      <c r="G14" s="51">
        <f t="shared" si="2"/>
        <v>0.64186194739671765</v>
      </c>
      <c r="H14" s="9">
        <f t="shared" si="3"/>
        <v>-6056.5363769861588</v>
      </c>
    </row>
    <row r="15" spans="2:9" x14ac:dyDescent="0.25">
      <c r="D15" t="s">
        <v>31</v>
      </c>
      <c r="E15" s="103">
        <v>50</v>
      </c>
      <c r="F15" s="3">
        <v>20</v>
      </c>
      <c r="G15" s="51">
        <f t="shared" si="2"/>
        <v>0.55367575418633497</v>
      </c>
      <c r="H15" s="9">
        <f t="shared" si="3"/>
        <v>-1009.422729497693</v>
      </c>
      <c r="I15" s="62"/>
    </row>
    <row r="16" spans="2:9" x14ac:dyDescent="0.25">
      <c r="D16" t="s">
        <v>32</v>
      </c>
      <c r="E16" s="103">
        <f>2*90</f>
        <v>180</v>
      </c>
      <c r="F16" s="3">
        <v>20</v>
      </c>
      <c r="G16" s="51">
        <f t="shared" si="2"/>
        <v>0.55367575418633497</v>
      </c>
      <c r="H16" s="9">
        <f t="shared" si="3"/>
        <v>-3633.9218261916949</v>
      </c>
    </row>
    <row r="17" spans="4:25" x14ac:dyDescent="0.25">
      <c r="D17" t="s">
        <v>33</v>
      </c>
      <c r="E17" s="103">
        <v>45</v>
      </c>
      <c r="F17" s="3">
        <v>20</v>
      </c>
      <c r="G17" s="51">
        <f t="shared" si="2"/>
        <v>0.55367575418633497</v>
      </c>
      <c r="H17" s="9">
        <f t="shared" si="3"/>
        <v>-908.48045654792372</v>
      </c>
      <c r="I17" s="62"/>
    </row>
    <row r="18" spans="4:25" x14ac:dyDescent="0.25">
      <c r="D18" t="s">
        <v>34</v>
      </c>
      <c r="E18" s="103">
        <v>500</v>
      </c>
      <c r="F18" s="3">
        <v>20</v>
      </c>
      <c r="G18" s="51">
        <f t="shared" si="2"/>
        <v>0.55367575418633497</v>
      </c>
      <c r="H18" s="9">
        <f t="shared" si="3"/>
        <v>-10094.22729497693</v>
      </c>
      <c r="I18" s="62"/>
    </row>
    <row r="19" spans="4:25" x14ac:dyDescent="0.25">
      <c r="D19" t="s">
        <v>35</v>
      </c>
      <c r="E19" s="103">
        <v>500</v>
      </c>
      <c r="F19" s="3">
        <v>20</v>
      </c>
      <c r="G19" s="51">
        <f t="shared" si="2"/>
        <v>0.55367575418633497</v>
      </c>
      <c r="H19" s="9">
        <f t="shared" si="3"/>
        <v>-10094.22729497693</v>
      </c>
      <c r="I19" s="62"/>
    </row>
    <row r="20" spans="4:25" x14ac:dyDescent="0.25">
      <c r="D20" s="2" t="s">
        <v>36</v>
      </c>
      <c r="E20" s="162">
        <f>'Air-side Costs'!I113</f>
        <v>1.1090336749633969</v>
      </c>
      <c r="F20" s="4">
        <v>25</v>
      </c>
      <c r="G20" s="163">
        <f t="shared" si="2"/>
        <v>0.47760556926165965</v>
      </c>
      <c r="H20" s="164"/>
      <c r="I20" s="62"/>
    </row>
    <row r="21" spans="4:25" x14ac:dyDescent="0.25">
      <c r="D21" t="s">
        <v>37</v>
      </c>
      <c r="E21" s="5"/>
      <c r="G21" s="51"/>
    </row>
    <row r="22" spans="4:25" x14ac:dyDescent="0.25">
      <c r="D22" t="s">
        <v>38</v>
      </c>
      <c r="E22" s="5"/>
      <c r="G22" s="51"/>
    </row>
    <row r="23" spans="4:25" x14ac:dyDescent="0.25">
      <c r="D23" t="s">
        <v>39</v>
      </c>
    </row>
    <row r="24" spans="4:25" x14ac:dyDescent="0.25">
      <c r="D24" t="s">
        <v>40</v>
      </c>
    </row>
    <row r="25" spans="4:25" x14ac:dyDescent="0.25">
      <c r="D25" t="s">
        <v>41</v>
      </c>
    </row>
    <row r="26" spans="4:25" x14ac:dyDescent="0.25">
      <c r="D26" t="s">
        <v>42</v>
      </c>
    </row>
    <row r="28" spans="4:25" x14ac:dyDescent="0.25">
      <c r="D28" s="205" t="s">
        <v>43</v>
      </c>
      <c r="E28" s="136"/>
      <c r="F28" s="137"/>
      <c r="G28" s="138"/>
      <c r="H28" s="137"/>
      <c r="I28" s="137"/>
      <c r="J28" s="137"/>
      <c r="K28" s="137"/>
      <c r="L28" s="137"/>
      <c r="M28" s="137"/>
      <c r="N28" s="137"/>
      <c r="O28" s="137"/>
      <c r="P28" s="137"/>
      <c r="Q28" s="137"/>
      <c r="R28" s="139"/>
    </row>
    <row r="29" spans="4:25" x14ac:dyDescent="0.25">
      <c r="D29" s="206" t="s">
        <v>44</v>
      </c>
      <c r="E29" s="140"/>
      <c r="F29" s="141"/>
      <c r="G29" s="142"/>
      <c r="H29" s="141"/>
      <c r="I29" s="141"/>
      <c r="J29" s="141"/>
      <c r="K29" s="141"/>
      <c r="L29" s="141"/>
      <c r="M29" s="141"/>
      <c r="N29" s="141"/>
      <c r="O29" s="141"/>
      <c r="P29" s="141"/>
      <c r="Q29" s="141"/>
      <c r="R29" s="143"/>
    </row>
    <row r="30" spans="4:25" x14ac:dyDescent="0.25">
      <c r="D30" s="206" t="s">
        <v>45</v>
      </c>
      <c r="E30" s="140"/>
      <c r="F30" s="141"/>
      <c r="G30" s="142"/>
      <c r="H30" s="141"/>
      <c r="I30" s="141"/>
      <c r="J30" s="141"/>
      <c r="K30" s="141"/>
      <c r="L30" s="141"/>
      <c r="M30" s="141"/>
      <c r="N30" s="141"/>
      <c r="O30" s="141"/>
      <c r="P30" s="141"/>
      <c r="Q30" s="141"/>
      <c r="R30" s="143"/>
      <c r="Y30" s="1"/>
    </row>
    <row r="31" spans="4:25" x14ac:dyDescent="0.25">
      <c r="D31" s="206" t="s">
        <v>46</v>
      </c>
      <c r="E31" s="140"/>
      <c r="F31" s="141"/>
      <c r="G31" s="142"/>
      <c r="H31" s="141"/>
      <c r="I31" s="141"/>
      <c r="J31" s="141"/>
      <c r="K31" s="141"/>
      <c r="L31" s="141"/>
      <c r="M31" s="141"/>
      <c r="N31" s="141"/>
      <c r="O31" s="141"/>
      <c r="P31" s="141"/>
      <c r="Q31" s="141"/>
      <c r="R31" s="143"/>
    </row>
    <row r="32" spans="4:25" x14ac:dyDescent="0.25">
      <c r="D32" s="206" t="s">
        <v>47</v>
      </c>
      <c r="E32" s="140"/>
      <c r="F32" s="141"/>
      <c r="G32" s="142"/>
      <c r="H32" s="141"/>
      <c r="I32" s="141"/>
      <c r="J32" s="141"/>
      <c r="K32" s="141"/>
      <c r="L32" s="141"/>
      <c r="M32" s="141"/>
      <c r="N32" s="141"/>
      <c r="O32" s="141"/>
      <c r="P32" s="141"/>
      <c r="Q32" s="141"/>
      <c r="R32" s="143"/>
    </row>
    <row r="33" spans="2:65" x14ac:dyDescent="0.25">
      <c r="D33" s="207" t="s">
        <v>48</v>
      </c>
      <c r="E33" s="144"/>
      <c r="F33" s="145"/>
      <c r="G33" s="146"/>
      <c r="H33" s="145"/>
      <c r="I33" s="145"/>
      <c r="J33" s="145"/>
      <c r="K33" s="145"/>
      <c r="L33" s="145"/>
      <c r="M33" s="145"/>
      <c r="N33" s="145"/>
      <c r="O33" s="145"/>
      <c r="P33" s="145"/>
      <c r="Q33" s="145"/>
      <c r="R33" s="147"/>
    </row>
    <row r="34" spans="2:65" ht="15.75" thickBot="1" x14ac:dyDescent="0.3"/>
    <row r="35" spans="2:65" s="54" customFormat="1" x14ac:dyDescent="0.25"/>
    <row r="36" spans="2:65" hidden="1" x14ac:dyDescent="0.25">
      <c r="E36" s="3" t="s">
        <v>49</v>
      </c>
      <c r="F36" s="3" t="s">
        <v>50</v>
      </c>
      <c r="G36" s="3" t="s">
        <v>51</v>
      </c>
      <c r="H36" s="3" t="s">
        <v>52</v>
      </c>
      <c r="I36" s="3" t="s">
        <v>53</v>
      </c>
      <c r="J36" s="3" t="s">
        <v>54</v>
      </c>
      <c r="K36" s="3" t="s">
        <v>55</v>
      </c>
      <c r="L36" s="3" t="s">
        <v>56</v>
      </c>
      <c r="M36" s="3" t="s">
        <v>57</v>
      </c>
      <c r="N36" s="3" t="s">
        <v>58</v>
      </c>
      <c r="O36" s="3" t="s">
        <v>59</v>
      </c>
      <c r="P36" s="3" t="s">
        <v>60</v>
      </c>
      <c r="Q36" s="3" t="s">
        <v>61</v>
      </c>
      <c r="R36" s="3" t="s">
        <v>62</v>
      </c>
      <c r="S36" s="3" t="s">
        <v>63</v>
      </c>
      <c r="T36" s="3" t="s">
        <v>64</v>
      </c>
      <c r="U36" s="3"/>
      <c r="V36" s="3"/>
      <c r="W36" s="3"/>
      <c r="AW36" s="1"/>
    </row>
    <row r="37" spans="2:65" hidden="1" x14ac:dyDescent="0.25">
      <c r="B37" s="1" t="s">
        <v>65</v>
      </c>
      <c r="D37" t="s">
        <v>66</v>
      </c>
      <c r="E37" s="5">
        <f>'Proto Costing'!C290</f>
        <v>6380934.3237586292</v>
      </c>
      <c r="F37" s="5">
        <f>'Proto Costing'!D290</f>
        <v>6392820.1984841973</v>
      </c>
      <c r="G37" s="5">
        <f>'Proto Costing'!E290</f>
        <v>6397473.4365403345</v>
      </c>
      <c r="H37" s="5">
        <f>'Proto Costing'!F290</f>
        <v>6443581.6648786291</v>
      </c>
      <c r="I37" s="5">
        <f>'Proto Costing'!G290</f>
        <v>6374437.3360397648</v>
      </c>
      <c r="J37" s="5">
        <f>'Proto Costing'!H290</f>
        <v>6321940.0484226085</v>
      </c>
      <c r="K37" s="5">
        <f>'Proto Costing'!I290</f>
        <v>6323914.6113481764</v>
      </c>
      <c r="L37" s="5">
        <f>'Proto Costing'!J290</f>
        <v>6339861.3683976084</v>
      </c>
      <c r="M37" s="5">
        <f>'Proto Costing'!K290</f>
        <v>6401351.093827039</v>
      </c>
      <c r="N37" s="5">
        <f>'Proto Costing'!L290</f>
        <v>6384629.7581164697</v>
      </c>
      <c r="O37" s="5">
        <f>'Proto Costing'!M290</f>
        <v>6526750.8186736284</v>
      </c>
      <c r="P37" s="5">
        <f>'Proto Costing'!N290</f>
        <v>6423039.8862941973</v>
      </c>
      <c r="Q37" s="5">
        <f>'Proto Costing'!O290</f>
        <v>6443641.9951453339</v>
      </c>
      <c r="R37" s="5">
        <f>'Proto Costing'!P290</f>
        <v>6528604.8471347652</v>
      </c>
      <c r="S37" s="5">
        <f>'Proto Costing'!Q290</f>
        <v>6438142.8193926085</v>
      </c>
      <c r="T37" s="5">
        <f>'Proto Costing'!R290</f>
        <v>6651746.1989236288</v>
      </c>
      <c r="U37" s="5"/>
      <c r="V37" s="5"/>
      <c r="W37" s="5"/>
      <c r="AA37" s="9"/>
      <c r="AB37" s="9"/>
      <c r="AC37" s="9"/>
      <c r="AD37" s="9"/>
      <c r="AE37" s="9"/>
      <c r="AF37" s="9"/>
      <c r="AG37" s="9"/>
      <c r="AH37" s="9"/>
      <c r="AI37" s="9"/>
      <c r="AJ37" s="9"/>
      <c r="AK37" s="9"/>
      <c r="AL37" s="9"/>
      <c r="AM37" s="9"/>
      <c r="AN37" s="9"/>
      <c r="AO37" s="9"/>
      <c r="AP37" s="9"/>
      <c r="AX37" s="5"/>
      <c r="AY37" s="5"/>
      <c r="AZ37" s="5"/>
      <c r="BA37" s="5"/>
      <c r="BB37" s="5"/>
      <c r="BC37" s="5"/>
      <c r="BD37" s="5"/>
      <c r="BE37" s="5"/>
      <c r="BF37" s="5"/>
      <c r="BG37" s="5"/>
      <c r="BH37" s="5"/>
      <c r="BI37" s="5"/>
      <c r="BJ37" s="5"/>
      <c r="BK37" s="5"/>
      <c r="BL37" s="5"/>
      <c r="BM37" s="5"/>
    </row>
    <row r="38" spans="2:65" hidden="1" x14ac:dyDescent="0.25">
      <c r="B38" s="1" t="s">
        <v>67</v>
      </c>
      <c r="D38" t="s">
        <v>68</v>
      </c>
      <c r="E38" s="5">
        <f>'Proto Costing'!C240*$G$14+'Proto Costing'!C269*'Final Results'!$G$15+'Proto Costing'!C266*'Final Results'!$G$17+'Proto Costing'!C248*'Final Results'!$G20</f>
        <v>842488.8471301836</v>
      </c>
      <c r="F38" s="5">
        <f>'Proto Costing'!D240*$G$14+'Proto Costing'!D269*'Final Results'!$G$15+'Proto Costing'!D266*'Final Results'!$G$17+'Proto Costing'!D248*'Final Results'!$G20</f>
        <v>847647.14315245487</v>
      </c>
      <c r="G38" s="5">
        <f>'Proto Costing'!E240*$G$14+'Proto Costing'!E269*'Final Results'!$G$15+'Proto Costing'!E266*'Final Results'!$G$17+'Proto Costing'!E248*'Final Results'!$G20</f>
        <v>848718.4159031068</v>
      </c>
      <c r="H38" s="5">
        <f>'Proto Costing'!F240*$G$14+'Proto Costing'!F269*'Final Results'!$G$15+'Proto Costing'!F266*'Final Results'!$G$17+'Proto Costing'!F248*'Final Results'!$G20</f>
        <v>872409.56614853058</v>
      </c>
      <c r="I38" s="5">
        <f>'Proto Costing'!G240*$G$14+'Proto Costing'!G269*'Final Results'!$G$15+'Proto Costing'!G266*'Final Results'!$G$17+'Proto Costing'!G248*'Final Results'!$G20</f>
        <v>838234.70995217061</v>
      </c>
      <c r="J38" s="5">
        <f>'Proto Costing'!H240*$G$14+'Proto Costing'!H269*'Final Results'!$G$15+'Proto Costing'!H266*'Final Results'!$G$17+'Proto Costing'!H248*'Final Results'!$G20</f>
        <v>810455.18152840552</v>
      </c>
      <c r="K38" s="5">
        <f>'Proto Costing'!I240*$G$14+'Proto Costing'!I269*'Final Results'!$G$15+'Proto Costing'!I266*'Final Results'!$G$17+'Proto Costing'!I248*'Final Results'!$G20</f>
        <v>810879.77983630798</v>
      </c>
      <c r="L38" s="5">
        <f>'Proto Costing'!J240*$G$14+'Proto Costing'!J269*'Final Results'!$G$15+'Proto Costing'!J266*'Final Results'!$G$17+'Proto Costing'!J248*'Final Results'!$G20</f>
        <v>819014.50375698577</v>
      </c>
      <c r="M38" s="5">
        <f>'Proto Costing'!K240*$G$14+'Proto Costing'!K269*'Final Results'!$G$15+'Proto Costing'!K266*'Final Results'!$G$17+'Proto Costing'!K248*'Final Results'!$G20</f>
        <v>848900.80301665922</v>
      </c>
      <c r="N38" s="5">
        <f>'Proto Costing'!L240*$G$14+'Proto Costing'!L269*'Final Results'!$G$15+'Proto Costing'!L266*'Final Results'!$G$17+'Proto Costing'!L248*'Final Results'!$G20</f>
        <v>841547.27567365044</v>
      </c>
      <c r="O38" s="5">
        <f>'Proto Costing'!M240*$G$14+'Proto Costing'!M269*'Final Results'!$G$15+'Proto Costing'!M266*'Final Results'!$G$17+'Proto Costing'!M248*'Final Results'!$G20</f>
        <v>912131.61719180201</v>
      </c>
      <c r="P38" s="5">
        <f>'Proto Costing'!N240*$G$14+'Proto Costing'!N269*'Final Results'!$G$15+'Proto Costing'!N266*'Final Results'!$G$17+'Proto Costing'!N248*'Final Results'!$G20</f>
        <v>862080.23435185943</v>
      </c>
      <c r="Q38" s="5">
        <f>'Proto Costing'!O240*$G$14+'Proto Costing'!O269*'Final Results'!$G$15+'Proto Costing'!O266*'Final Results'!$G$17+'Proto Costing'!O248*'Final Results'!$G20</f>
        <v>870768.77661763807</v>
      </c>
      <c r="R38" s="5">
        <f>'Proto Costing'!P240*$G$14+'Proto Costing'!P269*'Final Results'!$G$15+'Proto Costing'!P266*'Final Results'!$G$17+'Proto Costing'!P248*'Final Results'!$G20</f>
        <v>911865.97185035143</v>
      </c>
      <c r="S38" s="5">
        <f>'Proto Costing'!Q240*$G$14+'Proto Costing'!Q269*'Final Results'!$G$15+'Proto Costing'!Q266*'Final Results'!$G$17+'Proto Costing'!Q248*'Final Results'!$G20</f>
        <v>865954.27210731455</v>
      </c>
      <c r="T38" s="5">
        <f>'Proto Costing'!R240*$G$14+'Proto Costing'!R269*'Final Results'!$G$15+'Proto Costing'!R266*'Final Results'!$G$17+'Proto Costing'!R248*'Final Results'!$G20</f>
        <v>971830.10693118081</v>
      </c>
      <c r="U38" s="5"/>
      <c r="V38" s="5"/>
      <c r="W38" s="5"/>
      <c r="AA38" s="9"/>
      <c r="AB38" s="9"/>
      <c r="AC38" s="9"/>
      <c r="AD38" s="9"/>
      <c r="AE38" s="9"/>
      <c r="AF38" s="9"/>
      <c r="AG38" s="9"/>
      <c r="AH38" s="9"/>
      <c r="AI38" s="9"/>
      <c r="AJ38" s="9"/>
      <c r="AK38" s="9"/>
      <c r="AL38" s="9"/>
      <c r="AM38" s="9"/>
      <c r="AN38" s="9"/>
      <c r="AO38" s="9"/>
      <c r="AP38" s="9"/>
      <c r="AX38" s="5"/>
      <c r="AY38" s="5"/>
      <c r="AZ38" s="5"/>
      <c r="BA38" s="5"/>
      <c r="BB38" s="5"/>
      <c r="BC38" s="5"/>
      <c r="BD38" s="5"/>
      <c r="BE38" s="5"/>
      <c r="BF38" s="5"/>
      <c r="BG38" s="5"/>
      <c r="BH38" s="5"/>
      <c r="BI38" s="5"/>
      <c r="BJ38" s="5"/>
      <c r="BK38" s="5"/>
      <c r="BL38" s="5"/>
      <c r="BM38" s="5"/>
    </row>
    <row r="39" spans="2:65" hidden="1" x14ac:dyDescent="0.25">
      <c r="D39" t="s">
        <v>69</v>
      </c>
      <c r="E39" s="5">
        <f>$H$14*2*-1+$H$17*'Proto Costing'!C88*-1+12*$H$19*-1</f>
        <v>242261.45507944631</v>
      </c>
      <c r="F39" s="5">
        <f>$H$14*2*-1+$H$17*'Proto Costing'!D88*-1+12*$H$19*-1</f>
        <v>242261.45507944631</v>
      </c>
      <c r="G39" s="5">
        <f>$H$14*2*-1+$H$17*'Proto Costing'!E88*-1+12*$H$19*-1</f>
        <v>242261.45507944631</v>
      </c>
      <c r="H39" s="5">
        <f>$H$14*2*-1+$H$17*'Proto Costing'!F88*-1+12*$H$19*-1</f>
        <v>242261.45507944631</v>
      </c>
      <c r="I39" s="5">
        <f>$H$14*2*-1+$H$17*'Proto Costing'!G88*-1+12*$H$19*-1</f>
        <v>242261.45507944631</v>
      </c>
      <c r="J39" s="5">
        <f>$H$14*2*-1+$H$17*'Proto Costing'!H88*-1+12*$H$19*-1</f>
        <v>242261.45507944631</v>
      </c>
      <c r="K39" s="5">
        <f>$H$14*2*-1+$H$17*'Proto Costing'!I88*-1+12*$H$19*-1</f>
        <v>242261.45507944631</v>
      </c>
      <c r="L39" s="5">
        <f>$H$14*2*-1+$H$17*'Proto Costing'!J88*-1+12*$H$19*-1</f>
        <v>242261.45507944631</v>
      </c>
      <c r="M39" s="5">
        <f>$H$14*2*-1+$H$17*'Proto Costing'!K88*-1+12*$H$19*-1</f>
        <v>242261.45507944631</v>
      </c>
      <c r="N39" s="5">
        <f>$H$14*2*-1+$H$17*'Proto Costing'!L88*-1+12*$H$19*-1</f>
        <v>242261.45507944631</v>
      </c>
      <c r="O39" s="5">
        <f>$H$14*2*-1+$H$17*'Proto Costing'!M88*-1+12*$H$19*-1</f>
        <v>242261.45507944631</v>
      </c>
      <c r="P39" s="5">
        <f>$H$14*2*-1+$H$17*'Proto Costing'!N88*-1+12*$H$19*-1</f>
        <v>242261.45507944631</v>
      </c>
      <c r="Q39" s="5">
        <f>$H$14*2*-1+$H$17*'Proto Costing'!O88*-1+12*$H$19*-1</f>
        <v>242261.45507944631</v>
      </c>
      <c r="R39" s="5">
        <f>$H$14*2*-1+$H$17*'Proto Costing'!P88*-1+12*$H$19*-1</f>
        <v>242261.45507944631</v>
      </c>
      <c r="S39" s="5">
        <f>$H$14*2*-1+$H$17*'Proto Costing'!Q88*-1+12*$H$19*-1</f>
        <v>242261.45507944631</v>
      </c>
      <c r="T39" s="5">
        <f>$H$14*2*-1+$H$17*'Proto Costing'!R88*-1+12*$H$19*-1</f>
        <v>242261.45507944631</v>
      </c>
      <c r="V39" s="5"/>
      <c r="W39" s="5"/>
      <c r="AA39" s="9"/>
      <c r="AB39" s="9"/>
      <c r="AC39" s="9"/>
      <c r="AD39" s="9"/>
      <c r="AE39" s="9"/>
      <c r="AF39" s="9"/>
      <c r="AG39" s="9"/>
      <c r="AH39" s="9"/>
      <c r="AI39" s="9"/>
      <c r="AJ39" s="9"/>
      <c r="AK39" s="9"/>
      <c r="AL39" s="9"/>
      <c r="AM39" s="9"/>
      <c r="AN39" s="9"/>
      <c r="AO39" s="9"/>
      <c r="AP39" s="9"/>
      <c r="AX39" s="5"/>
      <c r="AY39" s="5"/>
      <c r="AZ39" s="5"/>
      <c r="BA39" s="5"/>
      <c r="BB39" s="5"/>
      <c r="BC39" s="5"/>
      <c r="BD39" s="5"/>
      <c r="BE39" s="5"/>
      <c r="BF39" s="5"/>
      <c r="BG39" s="5"/>
      <c r="BH39" s="5"/>
      <c r="BI39" s="5"/>
      <c r="BJ39" s="5"/>
      <c r="BK39" s="5"/>
      <c r="BL39" s="5"/>
      <c r="BM39" s="5"/>
    </row>
    <row r="40" spans="2:65" hidden="1" x14ac:dyDescent="0.25">
      <c r="D40" t="s">
        <v>70</v>
      </c>
      <c r="E40" s="5">
        <f>SUM(E37:E39)</f>
        <v>7465684.6259682598</v>
      </c>
      <c r="F40" s="5">
        <f t="shared" ref="F40:T40" si="4">SUM(F37:F39)</f>
        <v>7482728.7967160987</v>
      </c>
      <c r="G40" s="5">
        <f t="shared" si="4"/>
        <v>7488453.3075228883</v>
      </c>
      <c r="H40" s="5">
        <f t="shared" si="4"/>
        <v>7558252.6861066064</v>
      </c>
      <c r="I40" s="5">
        <f t="shared" si="4"/>
        <v>7454933.5010713823</v>
      </c>
      <c r="J40" s="5">
        <f t="shared" si="4"/>
        <v>7374656.6850304604</v>
      </c>
      <c r="K40" s="5">
        <f t="shared" si="4"/>
        <v>7377055.8462639311</v>
      </c>
      <c r="L40" s="5">
        <f t="shared" si="4"/>
        <v>7401137.3272340409</v>
      </c>
      <c r="M40" s="5">
        <f t="shared" si="4"/>
        <v>7492513.3519231444</v>
      </c>
      <c r="N40" s="5">
        <f t="shared" si="4"/>
        <v>7468438.4888695665</v>
      </c>
      <c r="O40" s="5">
        <f t="shared" si="4"/>
        <v>7681143.8909448767</v>
      </c>
      <c r="P40" s="5">
        <f t="shared" si="4"/>
        <v>7527381.5757255033</v>
      </c>
      <c r="Q40" s="5">
        <f t="shared" si="4"/>
        <v>7556672.2268424183</v>
      </c>
      <c r="R40" s="5">
        <f t="shared" si="4"/>
        <v>7682732.2740645632</v>
      </c>
      <c r="S40" s="5">
        <f t="shared" si="4"/>
        <v>7546358.5465793693</v>
      </c>
      <c r="T40" s="5">
        <f t="shared" si="4"/>
        <v>7865837.760934256</v>
      </c>
      <c r="U40" s="5"/>
      <c r="V40" s="5"/>
      <c r="W40" s="5"/>
      <c r="AA40" s="9"/>
      <c r="AB40" s="9"/>
      <c r="AC40" s="9"/>
      <c r="AD40" s="9"/>
      <c r="AE40" s="9"/>
      <c r="AF40" s="9"/>
      <c r="AG40" s="9"/>
      <c r="AH40" s="9"/>
      <c r="AI40" s="9"/>
      <c r="AJ40" s="9"/>
      <c r="AK40" s="9"/>
      <c r="AL40" s="9"/>
      <c r="AM40" s="9"/>
      <c r="AN40" s="9"/>
      <c r="AO40" s="9"/>
      <c r="AP40" s="9"/>
      <c r="AX40" s="5"/>
      <c r="AY40" s="5"/>
      <c r="AZ40" s="5"/>
      <c r="BA40" s="5"/>
      <c r="BB40" s="5"/>
      <c r="BC40" s="5"/>
      <c r="BD40" s="5"/>
      <c r="BE40" s="5"/>
      <c r="BF40" s="5"/>
      <c r="BG40" s="5"/>
      <c r="BH40" s="5"/>
      <c r="BI40" s="5"/>
      <c r="BJ40" s="5"/>
      <c r="BK40" s="5"/>
      <c r="BL40" s="5"/>
      <c r="BM40" s="5"/>
    </row>
    <row r="41" spans="2:65" hidden="1" x14ac:dyDescent="0.25">
      <c r="D41" s="67" t="s">
        <v>71</v>
      </c>
      <c r="E41" s="68">
        <f>(E40-E49)/'Proto Costing'!$C$2</f>
        <v>1.5668204555520788</v>
      </c>
      <c r="F41" s="68">
        <f>(F40-F49)/'Proto Costing'!$C$2</f>
        <v>1.5248872800548878</v>
      </c>
      <c r="G41" s="68">
        <f>(G40-G49)/'Proto Costing'!$C$2</f>
        <v>1.4363423485516433</v>
      </c>
      <c r="H41" s="68">
        <f>(H40-H49)/'Proto Costing'!$C$2</f>
        <v>1.5668204555520788</v>
      </c>
      <c r="I41" s="68">
        <f>(I40-I49)/'Proto Costing'!$C$2</f>
        <v>1.4782755240488288</v>
      </c>
      <c r="J41" s="68">
        <f>(J40-J49)/'Proto Costing'!$C$2</f>
        <v>1.2686096465628809</v>
      </c>
      <c r="K41" s="68">
        <f>(K40-K49)/'Proto Costing'!$C$2</f>
        <v>1.2266764710656897</v>
      </c>
      <c r="L41" s="68">
        <f>(L40-L49)/'Proto Costing'!$C$2</f>
        <v>1.2686096465628827</v>
      </c>
      <c r="M41" s="68">
        <f>(M40-M49)/'Proto Costing'!$C$2</f>
        <v>1.3105428220600701</v>
      </c>
      <c r="N41" s="68">
        <f>(N40-N49)/'Proto Costing'!$C$2</f>
        <v>1.3571545780661252</v>
      </c>
      <c r="O41" s="68">
        <f>(O40-O49)/'Proto Costing'!$C$2</f>
        <v>1.5668204555520771</v>
      </c>
      <c r="P41" s="68">
        <f>(P40-P49)/'Proto Costing'!$C$2</f>
        <v>1.5248872800548878</v>
      </c>
      <c r="Q41" s="68">
        <f>(Q40-Q49)/'Proto Costing'!$C$2</f>
        <v>1.4363423485516396</v>
      </c>
      <c r="R41" s="68">
        <f>(R40-R49)/'Proto Costing'!$C$2</f>
        <v>1.4782755240488288</v>
      </c>
      <c r="S41" s="68">
        <f>(S40-S49)/'Proto Costing'!$C$2</f>
        <v>1.2686096465628809</v>
      </c>
      <c r="T41" s="68">
        <f>(T40-T49)/'Proto Costing'!$C$2</f>
        <v>1.5668204555520788</v>
      </c>
      <c r="U41" s="9"/>
      <c r="V41" s="9"/>
      <c r="W41" s="9"/>
      <c r="AX41" s="9"/>
      <c r="AY41" s="9"/>
      <c r="AZ41" s="9"/>
      <c r="BA41" s="9"/>
      <c r="BB41" s="9"/>
      <c r="BC41" s="9"/>
      <c r="BD41" s="9"/>
      <c r="BE41" s="9"/>
      <c r="BF41" s="9"/>
      <c r="BG41" s="9"/>
      <c r="BH41" s="9"/>
      <c r="BI41" s="9"/>
      <c r="BJ41" s="9"/>
      <c r="BK41" s="9"/>
      <c r="BL41" s="9"/>
      <c r="BM41" s="9"/>
    </row>
    <row r="42" spans="2:65" hidden="1" x14ac:dyDescent="0.25">
      <c r="D42" s="67" t="s">
        <v>72</v>
      </c>
      <c r="E42" s="68">
        <f>AGIC!C58</f>
        <v>7.2308053326487348E-2</v>
      </c>
      <c r="F42" s="68">
        <f>AGIC!D58</f>
        <v>7.2308053326487348E-2</v>
      </c>
      <c r="G42" s="68">
        <f>AGIC!E58</f>
        <v>7.2308053326487348E-2</v>
      </c>
      <c r="H42" s="68">
        <f>AGIC!F58</f>
        <v>7.2308053326487348E-2</v>
      </c>
      <c r="I42" s="68">
        <f>AGIC!G58</f>
        <v>7.2308053326487348E-2</v>
      </c>
      <c r="J42" s="68">
        <f>AGIC!H58</f>
        <v>4.4292994831414252E-2</v>
      </c>
      <c r="K42" s="68">
        <f>AGIC!I58</f>
        <v>4.4886670183257149E-2</v>
      </c>
      <c r="L42" s="68">
        <f>AGIC!J58</f>
        <v>4.4886670183257149E-2</v>
      </c>
      <c r="M42" s="68">
        <f>AGIC!K58</f>
        <v>4.4292994831414252E-2</v>
      </c>
      <c r="N42" s="68">
        <f>AGIC!L58</f>
        <v>4.4292994831414252E-2</v>
      </c>
      <c r="O42" s="68">
        <f>AGIC!M58</f>
        <v>7.2308053326487348E-2</v>
      </c>
      <c r="P42" s="68">
        <f>AGIC!N58</f>
        <v>4.4886670183257149E-2</v>
      </c>
      <c r="Q42" s="68">
        <f>AGIC!O58</f>
        <v>7.2308053326487348E-2</v>
      </c>
      <c r="R42" s="68">
        <f>AGIC!P58</f>
        <v>4.4292994831414252E-2</v>
      </c>
      <c r="S42" s="68">
        <f>AGIC!Q58</f>
        <v>7.2308053326487348E-2</v>
      </c>
      <c r="T42" s="68">
        <f>AGIC!R58</f>
        <v>7.2308053326487348E-2</v>
      </c>
      <c r="U42" s="9"/>
      <c r="V42" s="9"/>
      <c r="W42" s="9"/>
      <c r="AA42" s="9"/>
      <c r="AB42" s="9"/>
      <c r="AC42" s="9"/>
      <c r="AD42" s="9"/>
      <c r="AE42" s="9"/>
      <c r="AF42" s="9"/>
      <c r="AG42" s="9"/>
      <c r="AH42" s="9"/>
      <c r="AI42" s="9"/>
      <c r="AJ42" s="9"/>
      <c r="AK42" s="9"/>
      <c r="AL42" s="9"/>
      <c r="AM42" s="9"/>
      <c r="AN42" s="9"/>
      <c r="AO42" s="9"/>
      <c r="AP42" s="9"/>
      <c r="AX42" s="9"/>
      <c r="AY42" s="9"/>
      <c r="AZ42" s="9"/>
      <c r="BA42" s="9"/>
      <c r="BB42" s="9"/>
      <c r="BC42" s="9"/>
      <c r="BD42" s="9"/>
      <c r="BE42" s="9"/>
      <c r="BF42" s="9"/>
      <c r="BG42" s="9"/>
      <c r="BH42" s="9"/>
      <c r="BI42" s="9"/>
      <c r="BJ42" s="9"/>
      <c r="BK42" s="9"/>
      <c r="BL42" s="9"/>
      <c r="BM42" s="9"/>
    </row>
    <row r="43" spans="2:65" hidden="1" x14ac:dyDescent="0.25">
      <c r="D43" s="67" t="s">
        <v>73</v>
      </c>
      <c r="E43" s="68">
        <f>E41-E42</f>
        <v>1.4945124022255916</v>
      </c>
      <c r="F43" s="68">
        <f t="shared" ref="F43:T43" si="5">F41-F42</f>
        <v>1.4525792267284006</v>
      </c>
      <c r="G43" s="68">
        <f t="shared" si="5"/>
        <v>1.3640342952251561</v>
      </c>
      <c r="H43" s="68">
        <f t="shared" si="5"/>
        <v>1.4945124022255916</v>
      </c>
      <c r="I43" s="68">
        <f t="shared" si="5"/>
        <v>1.4059674707223415</v>
      </c>
      <c r="J43" s="68">
        <f t="shared" si="5"/>
        <v>1.2243166517314665</v>
      </c>
      <c r="K43" s="68">
        <f t="shared" si="5"/>
        <v>1.1817898008824326</v>
      </c>
      <c r="L43" s="68">
        <f t="shared" si="5"/>
        <v>1.2237229763796256</v>
      </c>
      <c r="M43" s="68">
        <f t="shared" si="5"/>
        <v>1.2662498272286558</v>
      </c>
      <c r="N43" s="68">
        <f t="shared" si="5"/>
        <v>1.3128615832347108</v>
      </c>
      <c r="O43" s="68">
        <f t="shared" si="5"/>
        <v>1.4945124022255898</v>
      </c>
      <c r="P43" s="68">
        <f t="shared" si="5"/>
        <v>1.4800006098716307</v>
      </c>
      <c r="Q43" s="68">
        <f t="shared" si="5"/>
        <v>1.3640342952251523</v>
      </c>
      <c r="R43" s="68">
        <f t="shared" si="5"/>
        <v>1.4339825292174144</v>
      </c>
      <c r="S43" s="68">
        <f t="shared" si="5"/>
        <v>1.1963015932363936</v>
      </c>
      <c r="T43" s="68">
        <f t="shared" si="5"/>
        <v>1.4945124022255916</v>
      </c>
      <c r="U43" s="9"/>
      <c r="V43" s="9"/>
      <c r="W43" s="9"/>
      <c r="AA43" s="9"/>
      <c r="AB43" s="9"/>
      <c r="AC43" s="9"/>
      <c r="AD43" s="9"/>
      <c r="AE43" s="9"/>
      <c r="AF43" s="9"/>
      <c r="AG43" s="9"/>
      <c r="AH43" s="9"/>
      <c r="AI43" s="9"/>
      <c r="AJ43" s="9"/>
      <c r="AK43" s="9"/>
      <c r="AL43" s="9"/>
      <c r="AM43" s="9"/>
      <c r="AN43" s="9"/>
      <c r="AO43" s="9"/>
      <c r="AP43" s="9"/>
      <c r="AX43" s="9"/>
      <c r="AY43" s="9"/>
      <c r="AZ43" s="9"/>
      <c r="BA43" s="9"/>
      <c r="BB43" s="9"/>
      <c r="BC43" s="9"/>
      <c r="BD43" s="9"/>
      <c r="BE43" s="9"/>
      <c r="BF43" s="9"/>
      <c r="BG43" s="9"/>
      <c r="BH43" s="9"/>
      <c r="BI43" s="9"/>
      <c r="BJ43" s="9"/>
      <c r="BK43" s="9"/>
      <c r="BL43" s="9"/>
      <c r="BM43" s="9"/>
    </row>
    <row r="44" spans="2:65" hidden="1" x14ac:dyDescent="0.25">
      <c r="D44" s="67"/>
      <c r="E44" s="109"/>
      <c r="F44" s="109"/>
      <c r="G44" s="109"/>
      <c r="H44" s="109"/>
      <c r="I44" s="109"/>
      <c r="J44" s="109"/>
      <c r="K44" s="109"/>
      <c r="L44" s="109"/>
      <c r="M44" s="109"/>
      <c r="N44" s="109"/>
      <c r="O44" s="109"/>
      <c r="P44" s="109"/>
      <c r="Q44" s="109"/>
      <c r="R44" s="109"/>
      <c r="S44" s="109"/>
      <c r="T44" s="109"/>
      <c r="U44" s="151"/>
      <c r="V44" s="151"/>
      <c r="W44" s="151"/>
      <c r="AA44" s="9"/>
      <c r="AB44" s="9"/>
      <c r="AC44" s="9"/>
      <c r="AD44" s="9"/>
      <c r="AE44" s="9"/>
      <c r="AF44" s="9"/>
      <c r="AG44" s="9"/>
      <c r="AH44" s="9"/>
      <c r="AI44" s="9"/>
      <c r="AJ44" s="9"/>
      <c r="AK44" s="9"/>
      <c r="AL44" s="9"/>
      <c r="AM44" s="9"/>
      <c r="AN44" s="9"/>
      <c r="AO44" s="9"/>
      <c r="AP44" s="9"/>
    </row>
    <row r="45" spans="2:65" ht="18.75" x14ac:dyDescent="0.3">
      <c r="B45" s="52" t="s">
        <v>74</v>
      </c>
      <c r="D45" s="67" t="s">
        <v>75</v>
      </c>
      <c r="E45">
        <v>1</v>
      </c>
      <c r="F45">
        <v>2</v>
      </c>
      <c r="G45">
        <v>3</v>
      </c>
      <c r="H45">
        <v>4</v>
      </c>
      <c r="I45">
        <v>5</v>
      </c>
      <c r="J45">
        <v>6</v>
      </c>
      <c r="K45">
        <v>7</v>
      </c>
      <c r="L45">
        <v>8</v>
      </c>
      <c r="M45">
        <v>9</v>
      </c>
      <c r="N45">
        <v>10</v>
      </c>
      <c r="O45">
        <v>11</v>
      </c>
      <c r="P45">
        <v>12</v>
      </c>
      <c r="Q45">
        <v>13</v>
      </c>
      <c r="R45">
        <v>14</v>
      </c>
      <c r="S45">
        <v>15</v>
      </c>
      <c r="T45">
        <v>16</v>
      </c>
      <c r="AA45" s="9"/>
      <c r="AB45" s="9"/>
      <c r="AC45" s="9"/>
      <c r="AD45" s="9"/>
      <c r="AE45" s="9"/>
      <c r="AF45" s="9"/>
      <c r="AG45" s="9"/>
      <c r="AH45" s="9"/>
      <c r="AI45" s="9"/>
      <c r="AJ45" s="9"/>
      <c r="AK45" s="9"/>
      <c r="AL45" s="9"/>
      <c r="AM45" s="9"/>
      <c r="AN45" s="9"/>
      <c r="AO45" s="9"/>
      <c r="AP45" s="9"/>
    </row>
    <row r="46" spans="2:65" x14ac:dyDescent="0.25">
      <c r="B46" s="204" t="s">
        <v>76</v>
      </c>
      <c r="D46" t="s">
        <v>77</v>
      </c>
      <c r="E46" s="5">
        <f>'Proto Costing'!C50</f>
        <v>5741555.2271200009</v>
      </c>
      <c r="F46" s="5">
        <f>'Proto Costing'!D50</f>
        <v>5767239.7477900004</v>
      </c>
      <c r="G46" s="5">
        <f>'Proto Costing'!E50</f>
        <v>5800991.6777349999</v>
      </c>
      <c r="H46" s="5">
        <f>'Proto Costing'!F50</f>
        <v>5804202.5682399999</v>
      </c>
      <c r="I46" s="5">
        <f>'Proto Costing'!G50</f>
        <v>5764156.9312900007</v>
      </c>
      <c r="J46" s="5">
        <f>'Proto Costing'!H50</f>
        <v>5780652.8733949997</v>
      </c>
      <c r="K46" s="5">
        <f>'Proto Costing'!I50</f>
        <v>5796426.0822649999</v>
      </c>
      <c r="L46" s="5">
        <f>'Proto Costing'!J50</f>
        <v>5798574.1933699995</v>
      </c>
      <c r="M46" s="5">
        <f>'Proto Costing'!K50</f>
        <v>5846265.2728549996</v>
      </c>
      <c r="N46" s="5">
        <f>'Proto Costing'!L50</f>
        <v>5814243.8911999995</v>
      </c>
      <c r="O46" s="5">
        <f>'Proto Costing'!M50</f>
        <v>5887371.7220350001</v>
      </c>
      <c r="P46" s="5">
        <f>'Proto Costing'!N50</f>
        <v>5797459.4356000004</v>
      </c>
      <c r="Q46" s="5">
        <f>'Proto Costing'!O50</f>
        <v>5847160.2363400003</v>
      </c>
      <c r="R46" s="5">
        <f>'Proto Costing'!P50</f>
        <v>5918324.4423850002</v>
      </c>
      <c r="S46" s="5">
        <f>'Proto Costing'!Q50</f>
        <v>5896855.6443649996</v>
      </c>
      <c r="T46" s="5">
        <f>'Proto Costing'!R50</f>
        <v>6012367.1022849996</v>
      </c>
      <c r="U46" s="5"/>
      <c r="V46" s="5"/>
      <c r="W46" s="5"/>
      <c r="AA46" s="9"/>
      <c r="AB46" s="9"/>
      <c r="AC46" s="9"/>
      <c r="AD46" s="9"/>
      <c r="AE46" s="9"/>
      <c r="AF46" s="9"/>
      <c r="AG46" s="9"/>
      <c r="AH46" s="9"/>
      <c r="AI46" s="9"/>
      <c r="AJ46" s="9"/>
      <c r="AK46" s="9"/>
      <c r="AL46" s="9"/>
      <c r="AM46" s="9"/>
      <c r="AN46" s="9"/>
      <c r="AO46" s="9"/>
      <c r="AP46" s="9"/>
    </row>
    <row r="47" spans="2:65" x14ac:dyDescent="0.25">
      <c r="B47" s="204"/>
      <c r="D47" t="s">
        <v>68</v>
      </c>
      <c r="E47" s="5">
        <f>'Proto Costing'!C12*$G$13+'Proto Costing'!C42*'Final Results'!$G$15+'Proto Costing'!C266*'Final Results'!$G$17+'Proto Costing'!C20*'Final Results'!$G20</f>
        <v>692593.11781957606</v>
      </c>
      <c r="F47" s="5">
        <f>'Proto Costing'!D12*$G$13+'Proto Costing'!D42*'Final Results'!$G$15+'Proto Costing'!D266*'Final Results'!$G$17+'Proto Costing'!D20*'Final Results'!$G20</f>
        <v>704860.18793538422</v>
      </c>
      <c r="G47" s="5">
        <f>'Proto Costing'!E12*$G$13+'Proto Costing'!E42*'Final Results'!$G$15+'Proto Costing'!E266*'Final Results'!$G$17+'Proto Costing'!E20*'Final Results'!$G20</f>
        <v>720980.2976504456</v>
      </c>
      <c r="H47" s="5">
        <f>'Proto Costing'!F12*$G$13+'Proto Costing'!F42*'Final Results'!$G$15+'Proto Costing'!F266*'Final Results'!$G$17+'Proto Costing'!F20*'Final Results'!$G20</f>
        <v>722513.83683792304</v>
      </c>
      <c r="I47" s="5">
        <f>'Proto Costing'!G12*$G$13+'Proto Costing'!G42*'Final Results'!$G$15+'Proto Costing'!G266*'Final Results'!$G$17+'Proto Costing'!G20*'Final Results'!$G20</f>
        <v>703387.81760597252</v>
      </c>
      <c r="J47" s="5">
        <f>'Proto Costing'!H12*$G$13+'Proto Costing'!H42*'Final Results'!$G$15+'Proto Costing'!H266*'Final Results'!$G$17+'Proto Costing'!H20*'Final Results'!$G20</f>
        <v>711152.15964989259</v>
      </c>
      <c r="K47" s="5">
        <f>'Proto Costing'!I12*$G$13+'Proto Costing'!I42*'Final Results'!$G$15+'Proto Costing'!I266*'Final Results'!$G$17+'Proto Costing'!I20*'Final Results'!$G20</f>
        <v>718685.53205133195</v>
      </c>
      <c r="L47" s="5">
        <f>'Proto Costing'!J12*$G$13+'Proto Costing'!J42*'Final Results'!$G$15+'Proto Costing'!J266*'Final Results'!$G$17+'Proto Costing'!J20*'Final Results'!$G20</f>
        <v>719711.48187847272</v>
      </c>
      <c r="M47" s="5">
        <f>'Proto Costing'!K12*$G$13+'Proto Costing'!K42*'Final Results'!$G$15+'Proto Costing'!K266*'Final Results'!$G$17+'Proto Costing'!K20*'Final Results'!$G20</f>
        <v>742489.00704460917</v>
      </c>
      <c r="N47" s="5">
        <f>'Proto Costing'!L12*$G$13+'Proto Costing'!L42*'Final Results'!$G$15+'Proto Costing'!L266*'Final Results'!$G$17+'Proto Costing'!L20*'Final Results'!$G20</f>
        <v>727195.41683072806</v>
      </c>
      <c r="O47" s="5">
        <f>'Proto Costing'!M12*$G$13+'Proto Costing'!M42*'Final Results'!$G$15+'Proto Costing'!M266*'Final Results'!$G$17+'Proto Costing'!M20*'Final Results'!$G20</f>
        <v>762235.88788119447</v>
      </c>
      <c r="P47" s="5">
        <f>'Proto Costing'!N12*$G$13+'Proto Costing'!N42*'Final Results'!$G$15+'Proto Costing'!N266*'Final Results'!$G$17+'Proto Costing'!N20*'Final Results'!$G20</f>
        <v>719293.27913478902</v>
      </c>
      <c r="Q47" s="5">
        <f>'Proto Costing'!O12*$G$13+'Proto Costing'!O42*'Final Results'!$G$15+'Proto Costing'!O266*'Final Results'!$G$17+'Proto Costing'!O20*'Final Results'!$G20</f>
        <v>743030.65836497687</v>
      </c>
      <c r="R47" s="5">
        <f>'Proto Costing'!P12*$G$13+'Proto Costing'!P42*'Final Results'!$G$15+'Proto Costing'!P266*'Final Results'!$G$17+'Proto Costing'!P20*'Final Results'!$G20</f>
        <v>777019.07950415323</v>
      </c>
      <c r="S47" s="5">
        <f>'Proto Costing'!Q12*$G$13+'Proto Costing'!Q42*'Final Results'!$G$15+'Proto Costing'!Q266*'Final Results'!$G$17+'Proto Costing'!Q20*'Final Results'!$G20</f>
        <v>766651.25022880163</v>
      </c>
      <c r="T47" s="5">
        <f>'Proto Costing'!R12*$G$13+'Proto Costing'!R42*'Final Results'!$G$15+'Proto Costing'!R266*'Final Results'!$G$17+'Proto Costing'!R20*'Final Results'!$G20</f>
        <v>821934.37762057327</v>
      </c>
      <c r="U47" s="5"/>
      <c r="V47" s="5"/>
      <c r="W47" s="5"/>
      <c r="AA47" s="9"/>
      <c r="AB47" s="9"/>
      <c r="AC47" s="9"/>
      <c r="AD47" s="9"/>
      <c r="AE47" s="9"/>
      <c r="AF47" s="9"/>
      <c r="AG47" s="9"/>
      <c r="AH47" s="9"/>
      <c r="AI47" s="9"/>
      <c r="AJ47" s="9"/>
      <c r="AK47" s="9"/>
      <c r="AL47" s="9"/>
      <c r="AM47" s="9"/>
      <c r="AN47" s="9"/>
      <c r="AO47" s="9"/>
      <c r="AP47" s="9"/>
    </row>
    <row r="48" spans="2:65" x14ac:dyDescent="0.25">
      <c r="B48" s="204"/>
      <c r="D48" t="s">
        <v>69</v>
      </c>
      <c r="E48" s="5">
        <f t="shared" ref="E48:T48" si="6">$H$13*2*-1+$H$17*$E$7*-1+12*$H$19*-1</f>
        <v>250336.83691542788</v>
      </c>
      <c r="F48" s="5">
        <f t="shared" si="6"/>
        <v>250336.83691542788</v>
      </c>
      <c r="G48" s="5">
        <f t="shared" si="6"/>
        <v>250336.83691542788</v>
      </c>
      <c r="H48" s="5">
        <f t="shared" si="6"/>
        <v>250336.83691542788</v>
      </c>
      <c r="I48" s="5">
        <f t="shared" si="6"/>
        <v>250336.83691542788</v>
      </c>
      <c r="J48" s="5">
        <f t="shared" si="6"/>
        <v>250336.83691542788</v>
      </c>
      <c r="K48" s="5">
        <f t="shared" si="6"/>
        <v>250336.83691542788</v>
      </c>
      <c r="L48" s="5">
        <f t="shared" si="6"/>
        <v>250336.83691542788</v>
      </c>
      <c r="M48" s="5">
        <f t="shared" si="6"/>
        <v>250336.83691542788</v>
      </c>
      <c r="N48" s="5">
        <f t="shared" si="6"/>
        <v>250336.83691542788</v>
      </c>
      <c r="O48" s="5">
        <f t="shared" si="6"/>
        <v>250336.83691542788</v>
      </c>
      <c r="P48" s="5">
        <f t="shared" si="6"/>
        <v>250336.83691542788</v>
      </c>
      <c r="Q48" s="5">
        <f t="shared" si="6"/>
        <v>250336.83691542788</v>
      </c>
      <c r="R48" s="5">
        <f t="shared" si="6"/>
        <v>250336.83691542788</v>
      </c>
      <c r="S48" s="5">
        <f t="shared" si="6"/>
        <v>250336.83691542788</v>
      </c>
      <c r="T48" s="5">
        <f t="shared" si="6"/>
        <v>250336.83691542788</v>
      </c>
      <c r="U48" s="5"/>
      <c r="V48" s="5"/>
      <c r="W48" s="5"/>
      <c r="AA48" s="9"/>
      <c r="AB48" s="9"/>
      <c r="AC48" s="9"/>
      <c r="AD48" s="9"/>
      <c r="AE48" s="9"/>
      <c r="AF48" s="9"/>
      <c r="AG48" s="9"/>
      <c r="AH48" s="9"/>
      <c r="AI48" s="9"/>
      <c r="AJ48" s="9"/>
      <c r="AK48" s="9"/>
      <c r="AL48" s="9"/>
      <c r="AM48" s="9"/>
      <c r="AN48" s="9"/>
      <c r="AO48" s="9"/>
      <c r="AP48" s="9"/>
    </row>
    <row r="49" spans="2:65" x14ac:dyDescent="0.25">
      <c r="B49" s="204"/>
      <c r="D49" t="s">
        <v>70</v>
      </c>
      <c r="E49" s="5">
        <f>SUM(E46:E48)</f>
        <v>6684485.1818550043</v>
      </c>
      <c r="F49" s="5">
        <f t="shared" ref="F49:T49" si="7">SUM(F46:F48)</f>
        <v>6722436.7726408122</v>
      </c>
      <c r="G49" s="5">
        <f t="shared" si="7"/>
        <v>6772308.812300873</v>
      </c>
      <c r="H49" s="5">
        <f t="shared" si="7"/>
        <v>6777053.2419933509</v>
      </c>
      <c r="I49" s="5">
        <f t="shared" si="7"/>
        <v>6717881.5858114008</v>
      </c>
      <c r="J49" s="5">
        <f t="shared" si="7"/>
        <v>6742141.8699603202</v>
      </c>
      <c r="K49" s="5">
        <f t="shared" si="7"/>
        <v>6765448.45123176</v>
      </c>
      <c r="L49" s="5">
        <f t="shared" si="7"/>
        <v>6768622.5121638998</v>
      </c>
      <c r="M49" s="5">
        <f t="shared" si="7"/>
        <v>6839091.1168150362</v>
      </c>
      <c r="N49" s="5">
        <f t="shared" si="7"/>
        <v>6791776.1449461551</v>
      </c>
      <c r="O49" s="5">
        <f t="shared" si="7"/>
        <v>6899944.4468316222</v>
      </c>
      <c r="P49" s="5">
        <f t="shared" si="7"/>
        <v>6767089.5516502168</v>
      </c>
      <c r="Q49" s="5">
        <f t="shared" si="7"/>
        <v>6840527.7316204049</v>
      </c>
      <c r="R49" s="5">
        <f t="shared" si="7"/>
        <v>6945680.3588045817</v>
      </c>
      <c r="S49" s="5">
        <f t="shared" si="7"/>
        <v>6913843.7315092292</v>
      </c>
      <c r="T49" s="5">
        <f t="shared" si="7"/>
        <v>7084638.3168210005</v>
      </c>
      <c r="U49" s="5"/>
      <c r="V49" s="5"/>
      <c r="W49" s="5"/>
      <c r="AA49" s="9"/>
      <c r="AB49" s="9"/>
      <c r="AC49" s="9"/>
      <c r="AD49" s="9"/>
      <c r="AE49" s="9"/>
      <c r="AF49" s="9"/>
      <c r="AG49" s="9"/>
      <c r="AH49" s="9"/>
      <c r="AI49" s="9"/>
      <c r="AJ49" s="9"/>
      <c r="AK49" s="9"/>
      <c r="AL49" s="9"/>
      <c r="AM49" s="9"/>
      <c r="AN49" s="9"/>
      <c r="AO49" s="9"/>
      <c r="AP49" s="9"/>
    </row>
    <row r="50" spans="2:65" x14ac:dyDescent="0.25">
      <c r="AA50" s="9"/>
      <c r="AB50" s="9"/>
      <c r="AC50" s="9"/>
      <c r="AD50" s="9"/>
      <c r="AE50" s="9"/>
      <c r="AF50" s="9"/>
      <c r="AG50" s="9"/>
      <c r="AH50" s="9"/>
      <c r="AI50" s="9"/>
      <c r="AJ50" s="9"/>
      <c r="AK50" s="9"/>
      <c r="AL50" s="9"/>
      <c r="AM50" s="9"/>
      <c r="AN50" s="9"/>
      <c r="AO50" s="9"/>
      <c r="AP50" s="9"/>
    </row>
    <row r="51" spans="2:65" x14ac:dyDescent="0.25">
      <c r="B51" s="204" t="s">
        <v>78</v>
      </c>
      <c r="D51" t="s">
        <v>77</v>
      </c>
      <c r="E51" s="5">
        <f>'Proto Costing'!C113</f>
        <v>5055775.1476386283</v>
      </c>
      <c r="F51" s="5">
        <f>'Proto Costing'!D113</f>
        <v>5037078.2468941975</v>
      </c>
      <c r="G51" s="5">
        <f>'Proto Costing'!E113</f>
        <v>4998183.0454053339</v>
      </c>
      <c r="H51" s="5">
        <f>'Proto Costing'!F113</f>
        <v>5055775.1476386283</v>
      </c>
      <c r="I51" s="5">
        <f>'Proto Costing'!G113</f>
        <v>5016879.9461497646</v>
      </c>
      <c r="J51" s="5">
        <f>'Proto Costing'!H113</f>
        <v>4921894.0424276087</v>
      </c>
      <c r="K51" s="5">
        <f>'Proto Costing'!I113</f>
        <v>4903197.1416831762</v>
      </c>
      <c r="L51" s="5">
        <f>'Proto Costing'!J113</f>
        <v>4921894.0424276087</v>
      </c>
      <c r="M51" s="5">
        <f>'Proto Costing'!K113</f>
        <v>4940590.9431720395</v>
      </c>
      <c r="N51" s="5">
        <f>'Proto Costing'!L113</f>
        <v>4960789.2439164706</v>
      </c>
      <c r="O51" s="5">
        <f>'Proto Costing'!M113</f>
        <v>5055775.1476386283</v>
      </c>
      <c r="P51" s="5">
        <f>'Proto Costing'!N113</f>
        <v>5037078.2468941975</v>
      </c>
      <c r="Q51" s="5">
        <f>'Proto Costing'!O113</f>
        <v>4998183.0454053339</v>
      </c>
      <c r="R51" s="5">
        <f>'Proto Costing'!P113</f>
        <v>5016879.9461497646</v>
      </c>
      <c r="S51" s="5">
        <f>'Proto Costing'!Q113</f>
        <v>4921894.0424276087</v>
      </c>
      <c r="T51" s="5">
        <f>'Proto Costing'!R113</f>
        <v>5055775.1476386283</v>
      </c>
      <c r="U51" s="5"/>
      <c r="V51" s="5"/>
      <c r="W51" s="5"/>
      <c r="AA51" s="9"/>
      <c r="AB51" s="9"/>
      <c r="AC51" s="9"/>
      <c r="AD51" s="9"/>
      <c r="AE51" s="9"/>
      <c r="AF51" s="9"/>
      <c r="AG51" s="9"/>
      <c r="AH51" s="9"/>
      <c r="AI51" s="9"/>
      <c r="AJ51" s="9"/>
      <c r="AK51" s="9"/>
      <c r="AL51" s="9"/>
      <c r="AM51" s="9"/>
      <c r="AN51" s="9"/>
      <c r="AO51" s="9"/>
      <c r="AP51" s="9"/>
    </row>
    <row r="52" spans="2:65" x14ac:dyDescent="0.25">
      <c r="B52" s="204"/>
      <c r="D52" t="s">
        <v>68</v>
      </c>
      <c r="E52" s="135">
        <f>'Proto Costing'!C$62*'Final Results'!$G$14+'Proto Costing'!C$42*'Final Results'!$G$15+'Proto Costing'!C89*'Final Results'!$G$16+3.5*'Proto Costing'!C65*'Final Results'!$G$18</f>
        <v>1016124.2434041647</v>
      </c>
      <c r="F52" s="135">
        <f>'Proto Costing'!D$62*'Final Results'!$G$14+'Proto Costing'!D$42*'Final Results'!$G$15+'Proto Costing'!D89*'Final Results'!$G$16+3.5*'Proto Costing'!D65*'Final Results'!$G$18</f>
        <v>1006676.0355384848</v>
      </c>
      <c r="G52" s="135">
        <f>'Proto Costing'!E$62*'Final Results'!$G$14+'Proto Costing'!E$42*'Final Results'!$G$15+'Proto Costing'!E89*'Final Results'!$G$16+3.5*'Proto Costing'!E65*'Final Results'!$G$18</f>
        <v>987779.61980712553</v>
      </c>
      <c r="H52" s="135">
        <f>'Proto Costing'!F$62*'Final Results'!$G$14+'Proto Costing'!F$42*'Final Results'!$G$15+'Proto Costing'!F89*'Final Results'!$G$16+3.5*'Proto Costing'!F65*'Final Results'!$G$18</f>
        <v>1016124.2434041647</v>
      </c>
      <c r="I52" s="135">
        <f>'Proto Costing'!G$62*'Final Results'!$G$14+'Proto Costing'!G$42*'Final Results'!$G$15+'Proto Costing'!G89*'Final Results'!$G$16+3.5*'Proto Costing'!G65*'Final Results'!$G$18</f>
        <v>997227.82767280517</v>
      </c>
      <c r="J52" s="135">
        <f>'Proto Costing'!H$62*'Final Results'!$G$14+'Proto Costing'!H$42*'Final Results'!$G$15+'Proto Costing'!H89*'Final Results'!$G$16+3.5*'Proto Costing'!H65*'Final Results'!$G$18</f>
        <v>949155.49956707144</v>
      </c>
      <c r="K52" s="135">
        <f>'Proto Costing'!I$62*'Final Results'!$G$14+'Proto Costing'!I$42*'Final Results'!$G$15+'Proto Costing'!I89*'Final Results'!$G$16+3.5*'Proto Costing'!I65*'Final Results'!$G$18</f>
        <v>939707.2917013918</v>
      </c>
      <c r="L52" s="135">
        <f>'Proto Costing'!J$62*'Final Results'!$G$14+'Proto Costing'!J$42*'Final Results'!$G$15+'Proto Costing'!J89*'Final Results'!$G$16+3.5*'Proto Costing'!J65*'Final Results'!$G$18</f>
        <v>949155.49956707144</v>
      </c>
      <c r="M52" s="135">
        <f>'Proto Costing'!K$62*'Final Results'!$G$14+'Proto Costing'!K$42*'Final Results'!$G$15+'Proto Costing'!K89*'Final Results'!$G$16+3.5*'Proto Costing'!K65*'Final Results'!$G$18</f>
        <v>958603.70743275108</v>
      </c>
      <c r="N52" s="135">
        <f>'Proto Costing'!L$62*'Final Results'!$G$14+'Proto Costing'!L$42*'Final Results'!$G$15+'Proto Costing'!L89*'Final Results'!$G$16+3.5*'Proto Costing'!L65*'Final Results'!$G$18</f>
        <v>968051.91529843071</v>
      </c>
      <c r="O52" s="135">
        <f>'Proto Costing'!M$62*'Final Results'!$G$14+'Proto Costing'!M$42*'Final Results'!$G$15+'Proto Costing'!M89*'Final Results'!$G$16+3.5*'Proto Costing'!M65*'Final Results'!$G$18</f>
        <v>1016124.2434041647</v>
      </c>
      <c r="P52" s="135">
        <f>'Proto Costing'!N$62*'Final Results'!$G$14+'Proto Costing'!N$42*'Final Results'!$G$15+'Proto Costing'!N89*'Final Results'!$G$16+3.5*'Proto Costing'!N65*'Final Results'!$G$18</f>
        <v>1006676.0355384848</v>
      </c>
      <c r="Q52" s="135">
        <f>'Proto Costing'!O$62*'Final Results'!$G$14+'Proto Costing'!O$42*'Final Results'!$G$15+'Proto Costing'!O89*'Final Results'!$G$16+3.5*'Proto Costing'!O65*'Final Results'!$G$18</f>
        <v>987779.61980712553</v>
      </c>
      <c r="R52" s="135">
        <f>'Proto Costing'!P$62*'Final Results'!$G$14+'Proto Costing'!P$42*'Final Results'!$G$15+'Proto Costing'!P89*'Final Results'!$G$16+3.5*'Proto Costing'!P65*'Final Results'!$G$18</f>
        <v>997227.82767280517</v>
      </c>
      <c r="S52" s="135">
        <f>'Proto Costing'!Q$62*'Final Results'!$G$14+'Proto Costing'!Q$42*'Final Results'!$G$15+'Proto Costing'!Q89*'Final Results'!$G$16+3.5*'Proto Costing'!Q65*'Final Results'!$G$18</f>
        <v>949155.49956707144</v>
      </c>
      <c r="T52" s="135">
        <f>'Proto Costing'!R$62*'Final Results'!$G$14+'Proto Costing'!R$42*'Final Results'!$G$15+'Proto Costing'!R89*'Final Results'!$G$16+3.5*'Proto Costing'!R65*'Final Results'!$G$18</f>
        <v>1016124.2434041647</v>
      </c>
      <c r="U52" s="135"/>
      <c r="V52" s="135"/>
      <c r="W52" s="135"/>
      <c r="AA52" s="9"/>
      <c r="AB52" s="9"/>
      <c r="AC52" s="9"/>
      <c r="AD52" s="9"/>
      <c r="AE52" s="9"/>
      <c r="AF52" s="9"/>
      <c r="AG52" s="9"/>
      <c r="AH52" s="9"/>
      <c r="AI52" s="9"/>
      <c r="AJ52" s="9"/>
      <c r="AK52" s="9"/>
      <c r="AL52" s="9"/>
      <c r="AM52" s="9"/>
      <c r="AN52" s="9"/>
      <c r="AO52" s="9"/>
      <c r="AP52" s="9"/>
    </row>
    <row r="53" spans="2:65" x14ac:dyDescent="0.25">
      <c r="B53" s="204"/>
      <c r="D53" t="s">
        <v>69</v>
      </c>
      <c r="E53" s="5">
        <f>$H$14*2*-1+$H$16*'Proto Costing'!C88*-1+$H$18*-1*12</f>
        <v>569314.41943669878</v>
      </c>
      <c r="F53" s="5">
        <f>$H$14*2*-1+$H$16*'Proto Costing'!D88*-1+$H$18*-1*12</f>
        <v>569314.41943669878</v>
      </c>
      <c r="G53" s="5">
        <f>$H$14*2*-1+$H$16*'Proto Costing'!E88*-1+$H$18*-1*12</f>
        <v>569314.41943669878</v>
      </c>
      <c r="H53" s="5">
        <f>$H$14*2*-1+$H$16*'Proto Costing'!F88*-1+$H$18*-1*12</f>
        <v>569314.41943669878</v>
      </c>
      <c r="I53" s="5">
        <f>$H$14*2*-1+$H$16*'Proto Costing'!G88*-1+$H$18*-1*12</f>
        <v>569314.41943669878</v>
      </c>
      <c r="J53" s="5">
        <f>$H$14*2*-1+$H$16*'Proto Costing'!H88*-1+$H$18*-1*12</f>
        <v>569314.41943669878</v>
      </c>
      <c r="K53" s="5">
        <f>$H$14*2*-1+$H$16*'Proto Costing'!I88*-1+$H$18*-1*12</f>
        <v>569314.41943669878</v>
      </c>
      <c r="L53" s="5">
        <f>$H$14*2*-1+$H$16*'Proto Costing'!J88*-1+$H$18*-1*12</f>
        <v>569314.41943669878</v>
      </c>
      <c r="M53" s="5">
        <f>$H$14*2*-1+$H$16*'Proto Costing'!K88*-1+$H$18*-1*12</f>
        <v>569314.41943669878</v>
      </c>
      <c r="N53" s="5">
        <f>$H$14*2*-1+$H$16*'Proto Costing'!L88*-1+$H$18*-1*12</f>
        <v>569314.41943669878</v>
      </c>
      <c r="O53" s="5">
        <f>$H$14*2*-1+$H$16*'Proto Costing'!M88*-1+$H$18*-1*12</f>
        <v>569314.41943669878</v>
      </c>
      <c r="P53" s="5">
        <f>$H$14*2*-1+$H$16*'Proto Costing'!N88*-1+$H$18*-1*12</f>
        <v>569314.41943669878</v>
      </c>
      <c r="Q53" s="5">
        <f>$H$14*2*-1+$H$16*'Proto Costing'!O88*-1+$H$18*-1*12</f>
        <v>569314.41943669878</v>
      </c>
      <c r="R53" s="5">
        <f>$H$14*2*-1+$H$16*'Proto Costing'!P88*-1+$H$18*-1*12</f>
        <v>569314.41943669878</v>
      </c>
      <c r="S53" s="5">
        <f>$H$14*2*-1+$H$16*'Proto Costing'!Q88*-1+$H$18*-1*12</f>
        <v>569314.41943669878</v>
      </c>
      <c r="T53" s="5">
        <f>$H$14*2*-1+$H$16*'Proto Costing'!R88*-1+$H$18*-1*12</f>
        <v>569314.41943669878</v>
      </c>
      <c r="V53" s="5"/>
      <c r="W53" s="5"/>
      <c r="AA53" s="9"/>
      <c r="AB53" s="9"/>
      <c r="AC53" s="9"/>
      <c r="AD53" s="9"/>
      <c r="AE53" s="9"/>
      <c r="AF53" s="9"/>
      <c r="AG53" s="9"/>
      <c r="AH53" s="9"/>
      <c r="AI53" s="9"/>
      <c r="AJ53" s="9"/>
      <c r="AK53" s="9"/>
      <c r="AL53" s="9"/>
      <c r="AM53" s="9"/>
      <c r="AN53" s="9"/>
      <c r="AO53" s="9"/>
      <c r="AP53" s="9"/>
    </row>
    <row r="54" spans="2:65" x14ac:dyDescent="0.25">
      <c r="B54" s="204"/>
      <c r="D54" t="s">
        <v>70</v>
      </c>
      <c r="E54" s="5">
        <f t="shared" ref="E54:T54" si="8">SUM(E51:E53)</f>
        <v>6641213.8104794919</v>
      </c>
      <c r="F54" s="5">
        <f t="shared" si="8"/>
        <v>6613068.7018693816</v>
      </c>
      <c r="G54" s="5">
        <f t="shared" si="8"/>
        <v>6555277.0846491586</v>
      </c>
      <c r="H54" s="5">
        <f t="shared" si="8"/>
        <v>6641213.8104794919</v>
      </c>
      <c r="I54" s="5">
        <f t="shared" si="8"/>
        <v>6583422.193259269</v>
      </c>
      <c r="J54" s="5">
        <f t="shared" si="8"/>
        <v>6440363.9614313785</v>
      </c>
      <c r="K54" s="5">
        <f t="shared" si="8"/>
        <v>6412218.8528212663</v>
      </c>
      <c r="L54" s="5">
        <f t="shared" si="8"/>
        <v>6440363.9614313785</v>
      </c>
      <c r="M54" s="5">
        <f t="shared" si="8"/>
        <v>6468509.0700414889</v>
      </c>
      <c r="N54" s="5">
        <f t="shared" si="8"/>
        <v>6498155.5786515996</v>
      </c>
      <c r="O54" s="5">
        <f t="shared" si="8"/>
        <v>6641213.8104794919</v>
      </c>
      <c r="P54" s="5">
        <f t="shared" si="8"/>
        <v>6613068.7018693816</v>
      </c>
      <c r="Q54" s="5">
        <f t="shared" si="8"/>
        <v>6555277.0846491586</v>
      </c>
      <c r="R54" s="5">
        <f t="shared" si="8"/>
        <v>6583422.193259269</v>
      </c>
      <c r="S54" s="5">
        <f t="shared" si="8"/>
        <v>6440363.9614313785</v>
      </c>
      <c r="T54" s="5">
        <f t="shared" si="8"/>
        <v>6641213.8104794919</v>
      </c>
      <c r="U54" s="5"/>
      <c r="V54" s="5"/>
      <c r="W54" s="5"/>
      <c r="AA54" s="9"/>
      <c r="AB54" s="9"/>
      <c r="AC54" s="9"/>
      <c r="AD54" s="9"/>
      <c r="AE54" s="9"/>
      <c r="AF54" s="9"/>
      <c r="AG54" s="9"/>
      <c r="AH54" s="9"/>
      <c r="AI54" s="9"/>
      <c r="AJ54" s="9"/>
      <c r="AK54" s="9"/>
      <c r="AL54" s="9"/>
      <c r="AM54" s="9"/>
      <c r="AN54" s="9"/>
      <c r="AO54" s="9"/>
      <c r="AP54" s="9"/>
    </row>
    <row r="55" spans="2:65" x14ac:dyDescent="0.25">
      <c r="D55" s="67" t="s">
        <v>71</v>
      </c>
      <c r="E55" s="68">
        <f>(E54-E49)/'Proto Costing'!$C$2</f>
        <v>-8.6787657520547651E-2</v>
      </c>
      <c r="F55" s="68">
        <f>(F54-F49)/'Proto Costing'!$C$2</f>
        <v>-0.21935516180948761</v>
      </c>
      <c r="G55" s="68">
        <f>(G54-G49)/'Proto Costing'!$C$2</f>
        <v>-0.4352918489010274</v>
      </c>
      <c r="H55" s="68">
        <f>(H54-H49)/'Proto Costing'!$C$2</f>
        <v>-0.27244771046665484</v>
      </c>
      <c r="I55" s="68">
        <f>(I54-I49)/'Proto Costing'!$C$2</f>
        <v>-0.26967982156070791</v>
      </c>
      <c r="J55" s="68">
        <f>(J54-J49)/'Proto Costing'!$C$2</f>
        <v>-0.60526387170383156</v>
      </c>
      <c r="K55" s="68">
        <f>(K54-K49)/'Proto Costing'!$C$2</f>
        <v>-0.70845846661377143</v>
      </c>
      <c r="L55" s="68">
        <f>(L54-L49)/'Proto Costing'!$C$2</f>
        <v>-0.65837503581611578</v>
      </c>
      <c r="M55" s="68">
        <f>(M54-M49)/'Proto Costing'!$C$2</f>
        <v>-0.74326157771941881</v>
      </c>
      <c r="N55" s="68">
        <f>(N54-N49)/'Proto Costing'!$C$2</f>
        <v>-0.58890301690281088</v>
      </c>
      <c r="O55" s="68">
        <f>(O54-O49)/'Proto Costing'!$C$2</f>
        <v>-0.51892568097597458</v>
      </c>
      <c r="P55" s="68">
        <f>(P54-P49)/'Proto Costing'!$C$2</f>
        <v>-0.30891345332695908</v>
      </c>
      <c r="Q55" s="68">
        <f>(Q54-Q49)/'Proto Costing'!$C$2</f>
        <v>-0.57211580474347856</v>
      </c>
      <c r="R55" s="68">
        <f>(R54-R49)/'Proto Costing'!$C$2</f>
        <v>-0.72656670232458531</v>
      </c>
      <c r="S55" s="68">
        <f>(S54-S49)/'Proto Costing'!$C$2</f>
        <v>-0.9496394226062963</v>
      </c>
      <c r="T55" s="68">
        <f>(T54-T49)/'Proto Costing'!$C$2</f>
        <v>-0.88935878316912043</v>
      </c>
      <c r="U55" s="9"/>
      <c r="V55" s="9"/>
      <c r="W55" s="9"/>
      <c r="AA55" s="9"/>
      <c r="AB55" s="9"/>
      <c r="AC55" s="9"/>
      <c r="AD55" s="9"/>
      <c r="AE55" s="9"/>
      <c r="AF55" s="9"/>
      <c r="AG55" s="9"/>
      <c r="AH55" s="9"/>
      <c r="AI55" s="9"/>
      <c r="AJ55" s="9"/>
      <c r="AK55" s="9"/>
      <c r="AL55" s="9"/>
      <c r="AM55" s="9"/>
      <c r="AN55" s="9"/>
      <c r="AO55" s="9"/>
      <c r="AP55" s="9"/>
    </row>
    <row r="56" spans="2:65" hidden="1" x14ac:dyDescent="0.25">
      <c r="D56" s="67" t="s">
        <v>72</v>
      </c>
      <c r="E56" s="68">
        <f>AGIC!C58</f>
        <v>7.2308053326487348E-2</v>
      </c>
      <c r="F56" s="68">
        <f>AGIC!D58</f>
        <v>7.2308053326487348E-2</v>
      </c>
      <c r="G56" s="68">
        <f>AGIC!E58</f>
        <v>7.2308053326487348E-2</v>
      </c>
      <c r="H56" s="68">
        <f>AGIC!F58</f>
        <v>7.2308053326487348E-2</v>
      </c>
      <c r="I56" s="68">
        <f>AGIC!G58</f>
        <v>7.2308053326487348E-2</v>
      </c>
      <c r="J56" s="68">
        <f>AGIC!H58</f>
        <v>4.4292994831414252E-2</v>
      </c>
      <c r="K56" s="68">
        <f>AGIC!I58</f>
        <v>4.4886670183257149E-2</v>
      </c>
      <c r="L56" s="68">
        <f>AGIC!J58</f>
        <v>4.4886670183257149E-2</v>
      </c>
      <c r="M56" s="68">
        <f>AGIC!K58</f>
        <v>4.4292994831414252E-2</v>
      </c>
      <c r="N56" s="68">
        <f>AGIC!L58</f>
        <v>4.4292994831414252E-2</v>
      </c>
      <c r="O56" s="68">
        <f>AGIC!M58</f>
        <v>7.2308053326487348E-2</v>
      </c>
      <c r="P56" s="68">
        <f>AGIC!N58</f>
        <v>4.4886670183257149E-2</v>
      </c>
      <c r="Q56" s="68">
        <f>AGIC!O58</f>
        <v>7.2308053326487348E-2</v>
      </c>
      <c r="R56" s="68">
        <f>AGIC!P58</f>
        <v>4.4292994831414252E-2</v>
      </c>
      <c r="S56" s="68">
        <f>AGIC!Q58</f>
        <v>7.2308053326487348E-2</v>
      </c>
      <c r="T56" s="68">
        <f>AGIC!R58</f>
        <v>7.2308053326487348E-2</v>
      </c>
      <c r="U56" s="9"/>
      <c r="V56" s="9"/>
      <c r="W56" s="9"/>
      <c r="AA56" s="9"/>
      <c r="AB56" s="9"/>
      <c r="AC56" s="9"/>
      <c r="AD56" s="9"/>
      <c r="AE56" s="9"/>
      <c r="AF56" s="9"/>
      <c r="AG56" s="9"/>
      <c r="AH56" s="9"/>
      <c r="AI56" s="9"/>
      <c r="AJ56" s="9"/>
      <c r="AK56" s="9"/>
      <c r="AL56" s="9"/>
      <c r="AM56" s="9"/>
      <c r="AN56" s="9"/>
      <c r="AO56" s="9"/>
      <c r="AP56" s="9"/>
    </row>
    <row r="57" spans="2:65" x14ac:dyDescent="0.25">
      <c r="D57" s="67" t="s">
        <v>73</v>
      </c>
      <c r="E57" s="68">
        <f>E55-E56</f>
        <v>-0.159095710847035</v>
      </c>
      <c r="F57" s="68">
        <f t="shared" ref="F57" si="9">F55-F56</f>
        <v>-0.29166321513597493</v>
      </c>
      <c r="G57" s="68">
        <f t="shared" ref="G57" si="10">G55-G56</f>
        <v>-0.50759990222751472</v>
      </c>
      <c r="H57" s="68">
        <f t="shared" ref="H57" si="11">H55-H56</f>
        <v>-0.34475576379314221</v>
      </c>
      <c r="I57" s="68">
        <f t="shared" ref="I57" si="12">I55-I56</f>
        <v>-0.34198787488719529</v>
      </c>
      <c r="J57" s="68">
        <f t="shared" ref="J57" si="13">J55-J56</f>
        <v>-0.6495568665352458</v>
      </c>
      <c r="K57" s="68">
        <f t="shared" ref="K57" si="14">K55-K56</f>
        <v>-0.75334513679702853</v>
      </c>
      <c r="L57" s="68">
        <f t="shared" ref="L57" si="15">L55-L56</f>
        <v>-0.70326170599937288</v>
      </c>
      <c r="M57" s="68">
        <f t="shared" ref="M57" si="16">M55-M56</f>
        <v>-0.78755457255083305</v>
      </c>
      <c r="N57" s="68">
        <f t="shared" ref="N57" si="17">N55-N56</f>
        <v>-0.63319601173422513</v>
      </c>
      <c r="O57" s="68">
        <f t="shared" ref="O57" si="18">O55-O56</f>
        <v>-0.59123373430246196</v>
      </c>
      <c r="P57" s="68">
        <f t="shared" ref="P57" si="19">P55-P56</f>
        <v>-0.35380012351021622</v>
      </c>
      <c r="Q57" s="68">
        <f t="shared" ref="Q57" si="20">Q55-Q56</f>
        <v>-0.64442385806996594</v>
      </c>
      <c r="R57" s="68">
        <f t="shared" ref="R57" si="21">R55-R56</f>
        <v>-0.77085969715599956</v>
      </c>
      <c r="S57" s="68">
        <f t="shared" ref="S57" si="22">S55-S56</f>
        <v>-1.0219474759327836</v>
      </c>
      <c r="T57" s="68">
        <f t="shared" ref="T57" si="23">T55-T56</f>
        <v>-0.9616668364956078</v>
      </c>
      <c r="U57" s="9"/>
      <c r="V57" s="9"/>
      <c r="W57" s="9"/>
    </row>
    <row r="58" spans="2:65" x14ac:dyDescent="0.25">
      <c r="E58" s="9"/>
      <c r="F58" s="9"/>
      <c r="G58" s="9"/>
      <c r="H58" s="9"/>
      <c r="I58" s="9"/>
      <c r="J58" s="9"/>
      <c r="K58" s="9"/>
      <c r="L58" s="9"/>
      <c r="M58" s="9"/>
      <c r="N58" s="9"/>
      <c r="O58" s="9"/>
      <c r="P58" s="9"/>
      <c r="Q58" s="9"/>
      <c r="R58" s="9"/>
      <c r="S58" s="9"/>
      <c r="T58" s="9"/>
      <c r="U58" s="9"/>
      <c r="V58" s="9"/>
      <c r="W58" s="9"/>
    </row>
    <row r="60" spans="2:65" s="59" customFormat="1" x14ac:dyDescent="0.25">
      <c r="U60" s="152"/>
      <c r="V60" s="152"/>
      <c r="W60" s="152"/>
      <c r="Y60"/>
      <c r="Z60"/>
      <c r="AA60"/>
      <c r="AB60"/>
      <c r="AC60"/>
      <c r="AD60"/>
      <c r="AE60"/>
      <c r="AF60"/>
      <c r="AG60"/>
      <c r="AH60"/>
      <c r="AI60"/>
      <c r="AJ60"/>
      <c r="AK60"/>
      <c r="AL60"/>
      <c r="AM60"/>
      <c r="AN60"/>
      <c r="AO60"/>
      <c r="AP60"/>
      <c r="AQ60"/>
      <c r="AW60" s="1"/>
    </row>
    <row r="61" spans="2:65" hidden="1" x14ac:dyDescent="0.25">
      <c r="B61" s="1" t="s">
        <v>79</v>
      </c>
      <c r="D61" t="s">
        <v>66</v>
      </c>
      <c r="E61" s="108">
        <f>'Proto Costing'!C353</f>
        <v>3155859.8728747647</v>
      </c>
      <c r="F61" s="103">
        <f>'Proto Costing'!D353</f>
        <v>3200721.1482541971</v>
      </c>
      <c r="G61" s="103">
        <f>'Proto Costing'!E353</f>
        <v>3151975.6277909023</v>
      </c>
      <c r="H61" s="103">
        <f>'Proto Costing'!F353</f>
        <v>3212327.6868991968</v>
      </c>
      <c r="I61" s="103">
        <f>'Proto Costing'!G353</f>
        <v>3156202.9946253337</v>
      </c>
      <c r="J61" s="103">
        <f>'Proto Costing'!H353</f>
        <v>3078252.7713831761</v>
      </c>
      <c r="K61" s="103">
        <f>'Proto Costing'!I353</f>
        <v>3080934.2228181763</v>
      </c>
      <c r="L61" s="103">
        <f>'Proto Costing'!J353</f>
        <v>3143312.7035964709</v>
      </c>
      <c r="M61" s="103">
        <f>'Proto Costing'!K353</f>
        <v>3129738.2993520396</v>
      </c>
      <c r="N61" s="103">
        <f>'Proto Costing'!L353</f>
        <v>3150564.6436164705</v>
      </c>
      <c r="O61" s="103">
        <f>'Proto Costing'!M353</f>
        <v>3213853.3133797646</v>
      </c>
      <c r="P61" s="103">
        <f>'Proto Costing'!N353</f>
        <v>3190372.8269347651</v>
      </c>
      <c r="Q61" s="103">
        <f>'Proto Costing'!O353</f>
        <v>3191169.8082603337</v>
      </c>
      <c r="R61" s="103">
        <f>'Proto Costing'!P353</f>
        <v>3258351.5010991967</v>
      </c>
      <c r="S61" s="103">
        <f>'Proto Costing'!Q353</f>
        <v>3144509.2489976082</v>
      </c>
      <c r="T61" s="103">
        <f>'Proto Costing'!R353</f>
        <v>3279619.1154541969</v>
      </c>
      <c r="U61" s="103"/>
      <c r="V61" s="103"/>
      <c r="W61" s="103"/>
      <c r="AA61" s="9"/>
      <c r="AB61" s="9"/>
      <c r="AC61" s="9"/>
      <c r="AD61" s="9"/>
      <c r="AE61" s="9"/>
      <c r="AF61" s="9"/>
      <c r="AG61" s="9"/>
      <c r="AH61" s="9"/>
      <c r="AI61" s="9"/>
      <c r="AJ61" s="9"/>
      <c r="AK61" s="9"/>
      <c r="AL61" s="9"/>
      <c r="AM61" s="9"/>
      <c r="AN61" s="9"/>
      <c r="AO61" s="9"/>
      <c r="AP61" s="9"/>
      <c r="AX61" s="5"/>
      <c r="AY61" s="5"/>
      <c r="AZ61" s="5"/>
      <c r="BA61" s="5"/>
      <c r="BB61" s="5"/>
      <c r="BC61" s="5"/>
      <c r="BD61" s="5"/>
      <c r="BE61" s="5"/>
      <c r="BF61" s="5"/>
      <c r="BG61" s="5"/>
      <c r="BH61" s="5"/>
      <c r="BI61" s="5"/>
      <c r="BJ61" s="5"/>
      <c r="BK61" s="5"/>
      <c r="BL61" s="5"/>
      <c r="BM61" s="5"/>
    </row>
    <row r="62" spans="2:65" hidden="1" x14ac:dyDescent="0.25">
      <c r="B62" s="1" t="s">
        <v>80</v>
      </c>
      <c r="D62" t="s">
        <v>68</v>
      </c>
      <c r="E62" s="5">
        <f>'Proto Costing'!C303*$G$14+'Proto Costing'!C332*'Final Results'!$G$15+'Proto Costing'!C329*'Final Results'!$G$17</f>
        <v>269719.59076152521</v>
      </c>
      <c r="F62" s="5">
        <f>'Proto Costing'!D303*$G$14+'Proto Costing'!D332*'Final Results'!$G$15+'Proto Costing'!D329*'Final Results'!$G$17</f>
        <v>279999.08740454022</v>
      </c>
      <c r="G62" s="5">
        <f>'Proto Costing'!E303*$G$14+'Proto Costing'!E332*'Final Results'!$G$15+'Proto Costing'!E329*'Final Results'!$G$17</f>
        <v>250823.17503016582</v>
      </c>
      <c r="H62" s="5">
        <f>'Proto Costing'!F303*$G$14+'Proto Costing'!F332*'Final Results'!$G$15+'Proto Costing'!F329*'Final Results'!$G$17</f>
        <v>279999.08740454022</v>
      </c>
      <c r="I62" s="5">
        <f>'Proto Costing'!G303*$G$14+'Proto Costing'!G332*'Final Results'!$G$15+'Proto Costing'!G329*'Final Results'!$G$17</f>
        <v>260271.38289584551</v>
      </c>
      <c r="J62" s="5">
        <f>'Proto Costing'!H303*$G$14+'Proto Costing'!H332*'Final Results'!$G$15+'Proto Costing'!H329*'Final Results'!$G$17</f>
        <v>212199.0547901117</v>
      </c>
      <c r="K62" s="5">
        <f>'Proto Costing'!I303*$G$14+'Proto Costing'!I332*'Final Results'!$G$15+'Proto Costing'!I329*'Final Results'!$G$17</f>
        <v>212199.0547901117</v>
      </c>
      <c r="L62" s="5">
        <f>'Proto Costing'!J303*$G$14+'Proto Costing'!J332*'Final Results'!$G$15+'Proto Costing'!J329*'Final Results'!$G$17</f>
        <v>241374.96716448612</v>
      </c>
      <c r="M62" s="5">
        <f>'Proto Costing'!K303*$G$14+'Proto Costing'!K332*'Final Results'!$G$15+'Proto Costing'!K329*'Final Results'!$G$17</f>
        <v>231095.47052147106</v>
      </c>
      <c r="N62" s="5">
        <f>'Proto Costing'!L303*$G$14+'Proto Costing'!L332*'Final Results'!$G$15+'Proto Costing'!L329*'Final Results'!$G$17</f>
        <v>241374.96716448612</v>
      </c>
      <c r="O62" s="5">
        <f>'Proto Costing'!M303*$G$14+'Proto Costing'!M332*'Final Results'!$G$15+'Proto Costing'!M329*'Final Results'!$G$17</f>
        <v>269719.59076152521</v>
      </c>
      <c r="P62" s="5">
        <f>'Proto Costing'!N303*$G$14+'Proto Costing'!N332*'Final Results'!$G$15+'Proto Costing'!N329*'Final Results'!$G$17</f>
        <v>269719.59076152521</v>
      </c>
      <c r="Q62" s="5">
        <f>'Proto Costing'!O303*$G$14+'Proto Costing'!O332*'Final Results'!$G$15+'Proto Costing'!O329*'Final Results'!$G$17</f>
        <v>260271.38289584551</v>
      </c>
      <c r="R62" s="5">
        <f>'Proto Costing'!P303*$G$14+'Proto Costing'!P332*'Final Results'!$G$15+'Proto Costing'!P329*'Final Results'!$G$17</f>
        <v>279999.08740454022</v>
      </c>
      <c r="S62" s="5">
        <f>'Proto Costing'!Q303*$G$14+'Proto Costing'!Q332*'Final Results'!$G$15+'Proto Costing'!Q329*'Final Results'!$G$17</f>
        <v>221647.26265579136</v>
      </c>
      <c r="T62" s="5">
        <f>'Proto Costing'!R303*$G$14+'Proto Costing'!R332*'Final Results'!$G$15+'Proto Costing'!R329*'Final Results'!$G$17</f>
        <v>279999.08740454022</v>
      </c>
      <c r="U62" s="5"/>
      <c r="V62" s="5"/>
      <c r="W62" s="5"/>
      <c r="AA62" s="9"/>
      <c r="AB62" s="9"/>
      <c r="AC62" s="9"/>
      <c r="AD62" s="9"/>
      <c r="AE62" s="9"/>
      <c r="AF62" s="9"/>
      <c r="AG62" s="9"/>
      <c r="AH62" s="9"/>
      <c r="AI62" s="9"/>
      <c r="AJ62" s="9"/>
      <c r="AK62" s="9"/>
      <c r="AL62" s="9"/>
      <c r="AM62" s="9"/>
      <c r="AN62" s="9"/>
      <c r="AO62" s="9"/>
      <c r="AP62" s="9"/>
      <c r="AX62" s="5"/>
      <c r="AY62" s="5"/>
      <c r="AZ62" s="5"/>
      <c r="BA62" s="5"/>
      <c r="BB62" s="5"/>
      <c r="BC62" s="5"/>
      <c r="BD62" s="5"/>
      <c r="BE62" s="5"/>
      <c r="BF62" s="5"/>
      <c r="BG62" s="5"/>
      <c r="BH62" s="5"/>
      <c r="BI62" s="5"/>
      <c r="BJ62" s="5"/>
      <c r="BK62" s="5"/>
      <c r="BL62" s="5"/>
      <c r="BM62" s="5"/>
    </row>
    <row r="63" spans="2:65" hidden="1" x14ac:dyDescent="0.25">
      <c r="D63" t="s">
        <v>69</v>
      </c>
      <c r="E63" s="5">
        <f t="shared" ref="E63:T63" si="24">$H$14*2*-1+$E$8*$H17*-1</f>
        <v>53903.173755176809</v>
      </c>
      <c r="F63" s="5">
        <f t="shared" si="24"/>
        <v>53903.173755176809</v>
      </c>
      <c r="G63" s="5">
        <f t="shared" si="24"/>
        <v>53903.173755176809</v>
      </c>
      <c r="H63" s="5">
        <f t="shared" si="24"/>
        <v>53903.173755176809</v>
      </c>
      <c r="I63" s="5">
        <f t="shared" si="24"/>
        <v>53903.173755176809</v>
      </c>
      <c r="J63" s="5">
        <f t="shared" si="24"/>
        <v>53903.173755176809</v>
      </c>
      <c r="K63" s="5">
        <f t="shared" si="24"/>
        <v>53903.173755176809</v>
      </c>
      <c r="L63" s="5">
        <f t="shared" si="24"/>
        <v>53903.173755176809</v>
      </c>
      <c r="M63" s="5">
        <f t="shared" si="24"/>
        <v>53903.173755176809</v>
      </c>
      <c r="N63" s="5">
        <f t="shared" si="24"/>
        <v>53903.173755176809</v>
      </c>
      <c r="O63" s="5">
        <f t="shared" si="24"/>
        <v>53903.173755176809</v>
      </c>
      <c r="P63" s="5">
        <f t="shared" si="24"/>
        <v>53903.173755176809</v>
      </c>
      <c r="Q63" s="5">
        <f t="shared" si="24"/>
        <v>53903.173755176809</v>
      </c>
      <c r="R63" s="5">
        <f t="shared" si="24"/>
        <v>53903.173755176809</v>
      </c>
      <c r="S63" s="5">
        <f t="shared" si="24"/>
        <v>53903.173755176809</v>
      </c>
      <c r="T63" s="5">
        <f t="shared" si="24"/>
        <v>53903.173755176809</v>
      </c>
      <c r="U63" s="5"/>
      <c r="V63" s="5"/>
      <c r="W63" s="5"/>
      <c r="AA63" s="9"/>
      <c r="AB63" s="9"/>
      <c r="AC63" s="9"/>
      <c r="AD63" s="9"/>
      <c r="AE63" s="9"/>
      <c r="AF63" s="9"/>
      <c r="AG63" s="9"/>
      <c r="AH63" s="9"/>
      <c r="AI63" s="9"/>
      <c r="AJ63" s="9"/>
      <c r="AK63" s="9"/>
      <c r="AL63" s="9"/>
      <c r="AM63" s="9"/>
      <c r="AN63" s="9"/>
      <c r="AO63" s="9"/>
      <c r="AP63" s="9"/>
      <c r="AX63" s="5"/>
      <c r="AY63" s="5"/>
      <c r="AZ63" s="5"/>
      <c r="BA63" s="5"/>
      <c r="BB63" s="5"/>
      <c r="BC63" s="5"/>
      <c r="BD63" s="5"/>
      <c r="BE63" s="5"/>
      <c r="BF63" s="5"/>
      <c r="BG63" s="5"/>
      <c r="BH63" s="5"/>
      <c r="BI63" s="5"/>
      <c r="BJ63" s="5"/>
      <c r="BK63" s="5"/>
      <c r="BL63" s="5"/>
      <c r="BM63" s="5"/>
    </row>
    <row r="64" spans="2:65" hidden="1" x14ac:dyDescent="0.25">
      <c r="D64" t="s">
        <v>70</v>
      </c>
      <c r="E64" s="5">
        <f t="shared" ref="E64:T64" si="25">SUM(E61:E63)</f>
        <v>3479482.6373914666</v>
      </c>
      <c r="F64" s="5">
        <f t="shared" si="25"/>
        <v>3534623.4094139142</v>
      </c>
      <c r="G64" s="5">
        <f t="shared" si="25"/>
        <v>3456701.9765762449</v>
      </c>
      <c r="H64" s="5">
        <f t="shared" si="25"/>
        <v>3546229.9480589139</v>
      </c>
      <c r="I64" s="5">
        <f t="shared" si="25"/>
        <v>3470377.551276356</v>
      </c>
      <c r="J64" s="5">
        <f t="shared" si="25"/>
        <v>3344354.9999284646</v>
      </c>
      <c r="K64" s="5">
        <f t="shared" si="25"/>
        <v>3347036.4513634648</v>
      </c>
      <c r="L64" s="5">
        <f t="shared" si="25"/>
        <v>3438590.8445161339</v>
      </c>
      <c r="M64" s="5">
        <f t="shared" si="25"/>
        <v>3414736.9436286874</v>
      </c>
      <c r="N64" s="5">
        <f t="shared" si="25"/>
        <v>3445842.7845361335</v>
      </c>
      <c r="O64" s="5">
        <f t="shared" si="25"/>
        <v>3537476.0778964665</v>
      </c>
      <c r="P64" s="5">
        <f t="shared" si="25"/>
        <v>3513995.591451467</v>
      </c>
      <c r="Q64" s="5">
        <f t="shared" si="25"/>
        <v>3505344.364911356</v>
      </c>
      <c r="R64" s="5">
        <f t="shared" si="25"/>
        <v>3592253.7622589138</v>
      </c>
      <c r="S64" s="5">
        <f t="shared" si="25"/>
        <v>3420059.6854085764</v>
      </c>
      <c r="T64" s="5">
        <f t="shared" si="25"/>
        <v>3613521.376613914</v>
      </c>
      <c r="U64" s="5"/>
      <c r="V64" s="5"/>
      <c r="W64" s="5"/>
      <c r="AA64" s="9"/>
      <c r="AB64" s="9"/>
      <c r="AC64" s="9"/>
      <c r="AD64" s="9"/>
      <c r="AE64" s="9"/>
      <c r="AF64" s="9"/>
      <c r="AG64" s="9"/>
      <c r="AH64" s="9"/>
      <c r="AI64" s="9"/>
      <c r="AJ64" s="9"/>
      <c r="AK64" s="9"/>
      <c r="AL64" s="9"/>
      <c r="AM64" s="9"/>
      <c r="AN64" s="9"/>
      <c r="AO64" s="9"/>
      <c r="AP64" s="9"/>
      <c r="AX64" s="5"/>
      <c r="AY64" s="5"/>
      <c r="AZ64" s="5"/>
      <c r="BA64" s="5"/>
      <c r="BB64" s="5"/>
      <c r="BC64" s="5"/>
      <c r="BD64" s="5"/>
      <c r="BE64" s="5"/>
      <c r="BF64" s="5"/>
      <c r="BG64" s="5"/>
      <c r="BH64" s="5"/>
      <c r="BI64" s="5"/>
      <c r="BJ64" s="5"/>
      <c r="BK64" s="5"/>
      <c r="BL64" s="5"/>
      <c r="BM64" s="5"/>
    </row>
    <row r="65" spans="2:65" hidden="1" x14ac:dyDescent="0.25">
      <c r="D65" s="67" t="s">
        <v>71</v>
      </c>
      <c r="E65" s="68">
        <f>(E64-E73)/'Proto Costing'!$C$3</f>
        <v>1.163357787863402</v>
      </c>
      <c r="F65" s="68">
        <f>(F64-F73)/'Proto Costing'!$C$3</f>
        <v>1.2088080203766702</v>
      </c>
      <c r="G65" s="68">
        <f>(G64-G73)/'Proto Costing'!$C$3</f>
        <v>0.88421707206944378</v>
      </c>
      <c r="H65" s="68">
        <f>(H64-H73)/'Proto Costing'!$C$3</f>
        <v>1.1783353525003588</v>
      </c>
      <c r="I65" s="68">
        <f>(I64-I73)/'Proto Costing'!$C$3</f>
        <v>1.0142278368348279</v>
      </c>
      <c r="J65" s="68">
        <f>(J64-J73)/'Proto Costing'!$C$3</f>
        <v>0.46985489503205424</v>
      </c>
      <c r="K65" s="68">
        <f>(K64-K73)/'Proto Costing'!$C$3</f>
        <v>0.46281481344490394</v>
      </c>
      <c r="L65" s="68">
        <f>(L64-L73)/'Proto Costing'!$C$3</f>
        <v>0.75873226240081892</v>
      </c>
      <c r="M65" s="68">
        <f>(M64-M73)/'Proto Costing'!$C$3</f>
        <v>0.63113915662047471</v>
      </c>
      <c r="N65" s="68">
        <f>(N64-N73)/'Proto Costing'!$C$3</f>
        <v>0.73969248090803374</v>
      </c>
      <c r="O65" s="68">
        <f>(O64-O73)/'Proto Costing'!$C$3</f>
        <v>1.0110975054858782</v>
      </c>
      <c r="P65" s="68">
        <f>(P64-P73)/'Proto Costing'!$C$3</f>
        <v>1.0727449170783867</v>
      </c>
      <c r="Q65" s="68">
        <f>(Q64-Q73)/'Proto Costing'!$C$3</f>
        <v>0.92242336944082481</v>
      </c>
      <c r="R65" s="68">
        <f>(R64-R73)/'Proto Costing'!$C$3</f>
        <v>1.0575010152863344</v>
      </c>
      <c r="S65" s="68">
        <f>(S64-S73)/'Proto Costing'!$C$3</f>
        <v>0.4441293155516195</v>
      </c>
      <c r="T65" s="68">
        <f>(T64-T73)/'Proto Costing'!$C$3</f>
        <v>1.0016634422954831</v>
      </c>
      <c r="U65" s="9"/>
      <c r="V65" s="9"/>
      <c r="W65" s="9"/>
      <c r="AX65" s="9"/>
      <c r="AY65" s="9"/>
      <c r="AZ65" s="9"/>
      <c r="BA65" s="9"/>
      <c r="BB65" s="9"/>
      <c r="BC65" s="9"/>
      <c r="BD65" s="9"/>
      <c r="BE65" s="9"/>
      <c r="BF65" s="9"/>
      <c r="BG65" s="9"/>
      <c r="BH65" s="9"/>
      <c r="BI65" s="9"/>
      <c r="BJ65" s="9"/>
      <c r="BK65" s="9"/>
      <c r="BL65" s="9"/>
      <c r="BM65" s="9"/>
    </row>
    <row r="66" spans="2:65" hidden="1" x14ac:dyDescent="0.25">
      <c r="D66" s="67" t="s">
        <v>72</v>
      </c>
      <c r="E66" s="68"/>
      <c r="F66" s="68"/>
      <c r="G66" s="68"/>
      <c r="H66" s="68"/>
      <c r="I66" s="68"/>
      <c r="J66" s="68"/>
      <c r="K66" s="68"/>
      <c r="L66" s="68"/>
      <c r="M66" s="68"/>
      <c r="N66" s="68"/>
      <c r="O66" s="68"/>
      <c r="P66" s="68"/>
      <c r="Q66" s="68"/>
      <c r="R66" s="68"/>
      <c r="S66" s="68"/>
      <c r="T66" s="68"/>
      <c r="U66" s="9"/>
      <c r="V66" s="9"/>
      <c r="W66" s="9"/>
      <c r="AA66" s="9"/>
      <c r="AB66" s="9"/>
      <c r="AC66" s="9"/>
      <c r="AD66" s="9"/>
      <c r="AE66" s="9"/>
      <c r="AF66" s="9"/>
      <c r="AG66" s="9"/>
      <c r="AH66" s="9"/>
      <c r="AI66" s="9"/>
      <c r="AJ66" s="9"/>
      <c r="AK66" s="9"/>
      <c r="AL66" s="9"/>
      <c r="AM66" s="9"/>
      <c r="AN66" s="9"/>
      <c r="AO66" s="9"/>
      <c r="AP66" s="9"/>
      <c r="AX66" s="9"/>
      <c r="AY66" s="9"/>
      <c r="AZ66" s="9"/>
      <c r="BA66" s="9"/>
      <c r="BB66" s="9"/>
      <c r="BC66" s="9"/>
      <c r="BD66" s="9"/>
      <c r="BE66" s="9"/>
      <c r="BF66" s="9"/>
      <c r="BG66" s="9"/>
      <c r="BH66" s="9"/>
      <c r="BI66" s="9"/>
      <c r="BJ66" s="9"/>
      <c r="BK66" s="9"/>
      <c r="BL66" s="9"/>
      <c r="BM66" s="9"/>
    </row>
    <row r="67" spans="2:65" hidden="1" x14ac:dyDescent="0.25">
      <c r="D67" s="67" t="s">
        <v>73</v>
      </c>
      <c r="E67" s="68">
        <f>E65-E66</f>
        <v>1.163357787863402</v>
      </c>
      <c r="F67" s="68">
        <f t="shared" ref="F67:T67" si="26">F65-F66</f>
        <v>1.2088080203766702</v>
      </c>
      <c r="G67" s="68">
        <f t="shared" si="26"/>
        <v>0.88421707206944378</v>
      </c>
      <c r="H67" s="68">
        <f t="shared" si="26"/>
        <v>1.1783353525003588</v>
      </c>
      <c r="I67" s="68">
        <f t="shared" si="26"/>
        <v>1.0142278368348279</v>
      </c>
      <c r="J67" s="68">
        <f t="shared" si="26"/>
        <v>0.46985489503205424</v>
      </c>
      <c r="K67" s="68">
        <f t="shared" si="26"/>
        <v>0.46281481344490394</v>
      </c>
      <c r="L67" s="68">
        <f t="shared" si="26"/>
        <v>0.75873226240081892</v>
      </c>
      <c r="M67" s="68">
        <f t="shared" si="26"/>
        <v>0.63113915662047471</v>
      </c>
      <c r="N67" s="68">
        <f t="shared" si="26"/>
        <v>0.73969248090803374</v>
      </c>
      <c r="O67" s="68">
        <f t="shared" si="26"/>
        <v>1.0110975054858782</v>
      </c>
      <c r="P67" s="68">
        <f t="shared" si="26"/>
        <v>1.0727449170783867</v>
      </c>
      <c r="Q67" s="68">
        <f t="shared" si="26"/>
        <v>0.92242336944082481</v>
      </c>
      <c r="R67" s="68">
        <f t="shared" si="26"/>
        <v>1.0575010152863344</v>
      </c>
      <c r="S67" s="68">
        <f t="shared" si="26"/>
        <v>0.4441293155516195</v>
      </c>
      <c r="T67" s="68">
        <f t="shared" si="26"/>
        <v>1.0016634422954831</v>
      </c>
      <c r="U67" s="9"/>
      <c r="V67" s="9"/>
      <c r="W67" s="9"/>
      <c r="AA67" s="9"/>
      <c r="AB67" s="9"/>
      <c r="AC67" s="9"/>
      <c r="AD67" s="9"/>
      <c r="AE67" s="9"/>
      <c r="AF67" s="9"/>
      <c r="AG67" s="9"/>
      <c r="AH67" s="9"/>
      <c r="AI67" s="9"/>
      <c r="AJ67" s="9"/>
      <c r="AK67" s="9"/>
      <c r="AL67" s="9"/>
      <c r="AM67" s="9"/>
      <c r="AN67" s="9"/>
      <c r="AO67" s="9"/>
      <c r="AP67" s="9"/>
      <c r="AX67" s="9"/>
      <c r="AY67" s="9"/>
      <c r="AZ67" s="9"/>
      <c r="BA67" s="9"/>
      <c r="BB67" s="9"/>
      <c r="BC67" s="9"/>
      <c r="BD67" s="9"/>
      <c r="BE67" s="9"/>
      <c r="BF67" s="9"/>
      <c r="BG67" s="9"/>
      <c r="BH67" s="9"/>
      <c r="BI67" s="9"/>
      <c r="BJ67" s="9"/>
      <c r="BK67" s="9"/>
      <c r="BL67" s="9"/>
      <c r="BM67" s="9"/>
    </row>
    <row r="68" spans="2:65" hidden="1" x14ac:dyDescent="0.25">
      <c r="D68" s="67"/>
      <c r="E68" s="68"/>
      <c r="F68" s="68"/>
      <c r="G68" s="68"/>
      <c r="H68" s="68"/>
      <c r="I68" s="68"/>
      <c r="J68" s="68"/>
      <c r="K68" s="68"/>
      <c r="L68" s="68"/>
      <c r="M68" s="68"/>
      <c r="N68" s="68"/>
      <c r="O68" s="68"/>
      <c r="P68" s="68"/>
      <c r="Q68" s="68"/>
      <c r="R68" s="68"/>
      <c r="S68" s="68"/>
      <c r="T68" s="68"/>
      <c r="U68" s="9"/>
      <c r="V68" s="9"/>
      <c r="W68" s="9"/>
      <c r="AA68" s="9"/>
      <c r="AB68" s="9"/>
      <c r="AC68" s="9"/>
      <c r="AD68" s="9"/>
      <c r="AE68" s="9"/>
      <c r="AF68" s="9"/>
      <c r="AG68" s="9"/>
      <c r="AH68" s="9"/>
      <c r="AI68" s="9"/>
      <c r="AJ68" s="9"/>
      <c r="AK68" s="9"/>
      <c r="AL68" s="9"/>
      <c r="AM68" s="9"/>
      <c r="AN68" s="9"/>
      <c r="AO68" s="9"/>
      <c r="AP68" s="9"/>
    </row>
    <row r="69" spans="2:65" ht="18.75" x14ac:dyDescent="0.3">
      <c r="B69" s="52" t="s">
        <v>81</v>
      </c>
      <c r="D69" s="67" t="s">
        <v>75</v>
      </c>
      <c r="E69">
        <v>1</v>
      </c>
      <c r="F69">
        <v>2</v>
      </c>
      <c r="G69">
        <v>3</v>
      </c>
      <c r="H69">
        <v>4</v>
      </c>
      <c r="I69">
        <v>5</v>
      </c>
      <c r="J69">
        <v>6</v>
      </c>
      <c r="K69">
        <v>7</v>
      </c>
      <c r="L69">
        <v>8</v>
      </c>
      <c r="M69">
        <v>9</v>
      </c>
      <c r="N69">
        <v>10</v>
      </c>
      <c r="O69">
        <v>11</v>
      </c>
      <c r="P69">
        <v>12</v>
      </c>
      <c r="Q69">
        <v>13</v>
      </c>
      <c r="R69">
        <v>14</v>
      </c>
      <c r="S69">
        <v>15</v>
      </c>
      <c r="T69">
        <v>16</v>
      </c>
      <c r="U69" s="3"/>
      <c r="V69" s="3"/>
      <c r="W69" s="3"/>
      <c r="AA69" s="9"/>
      <c r="AB69" s="9"/>
      <c r="AC69" s="9"/>
      <c r="AD69" s="9"/>
      <c r="AE69" s="9"/>
      <c r="AF69" s="9"/>
      <c r="AG69" s="9"/>
      <c r="AH69" s="9"/>
      <c r="AI69" s="9"/>
      <c r="AJ69" s="9"/>
      <c r="AK69" s="9"/>
      <c r="AL69" s="9"/>
      <c r="AM69" s="9"/>
      <c r="AN69" s="9"/>
      <c r="AO69" s="9"/>
      <c r="AP69" s="9"/>
    </row>
    <row r="70" spans="2:65" x14ac:dyDescent="0.25">
      <c r="B70" s="204" t="s">
        <v>76</v>
      </c>
      <c r="D70" t="s">
        <v>77</v>
      </c>
      <c r="E70" s="5">
        <f>'Proto Costing'!C161</f>
        <v>2793903.9929749994</v>
      </c>
      <c r="F70" s="5">
        <f>'Proto Costing'!D161</f>
        <v>2823465.2224099995</v>
      </c>
      <c r="G70" s="5">
        <f>'Proto Costing'!E161</f>
        <v>2816115.6397799999</v>
      </c>
      <c r="H70" s="5">
        <f>'Proto Costing'!F161</f>
        <v>2835071.7610549997</v>
      </c>
      <c r="I70" s="5">
        <f>'Proto Costing'!G161</f>
        <v>2808045.7606699998</v>
      </c>
      <c r="J70" s="5">
        <f>'Proto Costing'!H161</f>
        <v>2799088.7671499997</v>
      </c>
      <c r="K70" s="5">
        <f>'Proto Costing'!I161</f>
        <v>2801770.2185849999</v>
      </c>
      <c r="L70" s="5">
        <f>'Proto Costing'!J161</f>
        <v>2821251.3615299999</v>
      </c>
      <c r="M70" s="5">
        <f>'Proto Costing'!K161</f>
        <v>2822977.0032299999</v>
      </c>
      <c r="N70" s="5">
        <f>'Proto Costing'!L161</f>
        <v>2828503.3015499995</v>
      </c>
      <c r="O70" s="5">
        <f>'Proto Costing'!M161</f>
        <v>2851897.4334799997</v>
      </c>
      <c r="P70" s="5">
        <f>'Proto Costing'!N161</f>
        <v>2828416.9470349997</v>
      </c>
      <c r="Q70" s="5">
        <f>'Proto Costing'!O161</f>
        <v>2843012.5743049998</v>
      </c>
      <c r="R70" s="5">
        <f>'Proto Costing'!P161</f>
        <v>2881095.5752549996</v>
      </c>
      <c r="S70" s="5">
        <f>'Proto Costing'!Q161</f>
        <v>2851546.5988199995</v>
      </c>
      <c r="T70" s="5">
        <f>'Proto Costing'!R161</f>
        <v>2902363.1896099998</v>
      </c>
      <c r="U70" s="5"/>
      <c r="V70" s="5"/>
      <c r="W70" s="5"/>
      <c r="AA70" s="9"/>
      <c r="AB70" s="9"/>
      <c r="AC70" s="9"/>
      <c r="AD70" s="9"/>
      <c r="AE70" s="9"/>
      <c r="AF70" s="9"/>
      <c r="AG70" s="9"/>
      <c r="AH70" s="9"/>
      <c r="AI70" s="9"/>
      <c r="AJ70" s="9"/>
      <c r="AK70" s="9"/>
      <c r="AL70" s="9"/>
      <c r="AM70" s="9"/>
      <c r="AN70" s="9"/>
      <c r="AO70" s="9"/>
      <c r="AP70" s="9"/>
    </row>
    <row r="71" spans="2:65" x14ac:dyDescent="0.25">
      <c r="B71" s="204"/>
      <c r="D71" t="s">
        <v>68</v>
      </c>
      <c r="E71" s="5">
        <f>'Proto Costing'!C124*$G$13+'Proto Costing'!C4936*'Final Results'!$G$15+'Proto Costing'!C329*'Final Results'!$G$17+'Proto Costing'!C132*'Final Results'!$G$19</f>
        <v>358075.76378399349</v>
      </c>
      <c r="F71" s="5">
        <f>'Proto Costing'!D124*$G$13+'Proto Costing'!D4936*'Final Results'!$G$15+'Proto Costing'!D329*'Final Results'!$G$17+'Proto Costing'!D132*'Final Results'!$G$19</f>
        <v>374070.48863764829</v>
      </c>
      <c r="G71" s="5">
        <f>'Proto Costing'!E124*$G$13+'Proto Costing'!E4936*'Final Results'!$G$15+'Proto Costing'!E329*'Final Results'!$G$17+'Proto Costing'!E132*'Final Results'!$G$19</f>
        <v>371950.32515469613</v>
      </c>
      <c r="H71" s="5">
        <f>'Proto Costing'!F124*$G$13+'Proto Costing'!F4936*'Final Results'!$G$15+'Proto Costing'!F329*'Final Results'!$G$17+'Proto Costing'!F132*'Final Results'!$G$19</f>
        <v>380496.74767541146</v>
      </c>
      <c r="I71" s="5">
        <f>'Proto Costing'!G124*$G$13+'Proto Costing'!G4936*'Final Results'!$G$15+'Proto Costing'!G329*'Final Results'!$G$17+'Proto Costing'!G132*'Final Results'!$G$19</f>
        <v>366278.32882649475</v>
      </c>
      <c r="J71" s="5">
        <f>'Proto Costing'!H124*$G$13+'Proto Costing'!H4936*'Final Results'!$G$15+'Proto Costing'!H329*'Final Results'!$G$17+'Proto Costing'!H132*'Final Results'!$G$19</f>
        <v>364013.4032036229</v>
      </c>
      <c r="K71" s="5">
        <f>'Proto Costing'!I124*$G$13+'Proto Costing'!I4936*'Final Results'!$G$15+'Proto Costing'!I329*'Final Results'!$G$17+'Proto Costing'!I132*'Final Results'!$G$19</f>
        <v>365498.05784921057</v>
      </c>
      <c r="L71" s="5">
        <f>'Proto Costing'!J124*$G$13+'Proto Costing'!J4936*'Final Results'!$G$15+'Proto Costing'!J329*'Final Results'!$G$17+'Proto Costing'!J132*'Final Results'!$G$19</f>
        <v>375166.4609163627</v>
      </c>
      <c r="M71" s="5">
        <f>'Proto Costing'!K124*$G$13+'Proto Costing'!K4936*'Final Results'!$G$15+'Proto Costing'!K329*'Final Results'!$G$17+'Proto Costing'!K132*'Final Results'!$G$19</f>
        <v>376494.51803450985</v>
      </c>
      <c r="N71" s="5">
        <f>'Proto Costing'!L124*$G$13+'Proto Costing'!L4936*'Final Results'!$G$15+'Proto Costing'!L329*'Final Results'!$G$17+'Proto Costing'!L132*'Final Results'!$G$19</f>
        <v>379181.68427625031</v>
      </c>
      <c r="O71" s="5">
        <f>'Proto Costing'!M124*$G$13+'Proto Costing'!M4936*'Final Results'!$G$15+'Proto Costing'!M329*'Final Results'!$G$17+'Proto Costing'!M132*'Final Results'!$G$19</f>
        <v>390185.32569345972</v>
      </c>
      <c r="P71" s="5">
        <f>'Proto Costing'!N124*$G$13+'Proto Costing'!N4936*'Final Results'!$G$15+'Proto Costing'!N329*'Final Results'!$G$17+'Proto Costing'!N132*'Final Results'!$G$19</f>
        <v>377184.74965236237</v>
      </c>
      <c r="Q71" s="5">
        <f>'Proto Costing'!O124*$G$13+'Proto Costing'!O4936*'Final Results'!$G$15+'Proto Costing'!O329*'Final Results'!$G$17+'Proto Costing'!O132*'Final Results'!$G$19</f>
        <v>385638.6057373464</v>
      </c>
      <c r="R71" s="5">
        <f>'Proto Costing'!P124*$G$13+'Proto Costing'!P4936*'Final Results'!$G$15+'Proto Costing'!P329*'Final Results'!$G$17+'Proto Costing'!P132*'Final Results'!$G$19</f>
        <v>405979.01771312824</v>
      </c>
      <c r="S71" s="5">
        <f>'Proto Costing'!Q124*$G$13+'Proto Costing'!Q4936*'Final Results'!$G$15+'Proto Costing'!Q329*'Final Results'!$G$17+'Proto Costing'!Q132*'Final Results'!$G$19</f>
        <v>392685.4215680458</v>
      </c>
      <c r="T71" s="5">
        <f>'Proto Costing'!R124*$G$13+'Proto Costing'!R4936*'Final Results'!$G$15+'Proto Costing'!R329*'Final Results'!$G$17+'Proto Costing'!R132*'Final Results'!$G$19</f>
        <v>417754.3801308769</v>
      </c>
      <c r="U71" s="5"/>
      <c r="V71" s="5"/>
      <c r="W71" s="5"/>
      <c r="AA71" s="9"/>
      <c r="AB71" s="9"/>
      <c r="AC71" s="9"/>
      <c r="AD71" s="9"/>
      <c r="AE71" s="9"/>
      <c r="AF71" s="9"/>
      <c r="AG71" s="9"/>
      <c r="AH71" s="9"/>
      <c r="AI71" s="9"/>
      <c r="AJ71" s="9"/>
      <c r="AK71" s="9"/>
      <c r="AL71" s="9"/>
      <c r="AM71" s="9"/>
      <c r="AN71" s="9"/>
      <c r="AO71" s="9"/>
      <c r="AP71" s="9"/>
    </row>
    <row r="72" spans="2:65" x14ac:dyDescent="0.25">
      <c r="B72" s="204"/>
      <c r="D72" t="s">
        <v>69</v>
      </c>
      <c r="E72" s="5">
        <f t="shared" ref="E72:T72" si="27">$H$13*2*-1+$E$8*$H17*-1+2*$H$19*-1</f>
        <v>82167.010181112215</v>
      </c>
      <c r="F72" s="5">
        <f t="shared" si="27"/>
        <v>82167.010181112215</v>
      </c>
      <c r="G72" s="5">
        <f t="shared" si="27"/>
        <v>82167.010181112215</v>
      </c>
      <c r="H72" s="5">
        <f t="shared" si="27"/>
        <v>82167.010181112215</v>
      </c>
      <c r="I72" s="5">
        <f t="shared" si="27"/>
        <v>82167.010181112215</v>
      </c>
      <c r="J72" s="5">
        <f t="shared" si="27"/>
        <v>82167.010181112215</v>
      </c>
      <c r="K72" s="5">
        <f t="shared" si="27"/>
        <v>82167.010181112215</v>
      </c>
      <c r="L72" s="5">
        <f t="shared" si="27"/>
        <v>82167.010181112215</v>
      </c>
      <c r="M72" s="5">
        <f t="shared" si="27"/>
        <v>82167.010181112215</v>
      </c>
      <c r="N72" s="5">
        <f t="shared" si="27"/>
        <v>82167.010181112215</v>
      </c>
      <c r="O72" s="5">
        <f t="shared" si="27"/>
        <v>82167.010181112215</v>
      </c>
      <c r="P72" s="5">
        <f t="shared" si="27"/>
        <v>82167.010181112215</v>
      </c>
      <c r="Q72" s="5">
        <f t="shared" si="27"/>
        <v>82167.010181112215</v>
      </c>
      <c r="R72" s="5">
        <f t="shared" si="27"/>
        <v>82167.010181112215</v>
      </c>
      <c r="S72" s="5">
        <f t="shared" si="27"/>
        <v>82167.010181112215</v>
      </c>
      <c r="T72" s="5">
        <f t="shared" si="27"/>
        <v>82167.010181112215</v>
      </c>
      <c r="U72" s="5"/>
      <c r="V72" s="5"/>
      <c r="W72" s="5"/>
      <c r="AA72" s="9"/>
      <c r="AB72" s="9"/>
      <c r="AC72" s="9"/>
      <c r="AD72" s="9"/>
      <c r="AE72" s="9"/>
      <c r="AF72" s="9"/>
      <c r="AG72" s="9"/>
      <c r="AH72" s="9"/>
      <c r="AI72" s="9"/>
      <c r="AJ72" s="9"/>
      <c r="AK72" s="9"/>
      <c r="AL72" s="9"/>
      <c r="AM72" s="9"/>
      <c r="AN72" s="9"/>
      <c r="AO72" s="9"/>
      <c r="AP72" s="9"/>
    </row>
    <row r="73" spans="2:65" x14ac:dyDescent="0.25">
      <c r="B73" s="204"/>
      <c r="D73" t="s">
        <v>70</v>
      </c>
      <c r="E73" s="5">
        <f>SUM(E70:E72)</f>
        <v>3234146.7669401052</v>
      </c>
      <c r="F73" s="5">
        <f t="shared" ref="F73:T73" si="28">SUM(F70:F72)</f>
        <v>3279702.7212287597</v>
      </c>
      <c r="G73" s="5">
        <f t="shared" si="28"/>
        <v>3270232.9751158082</v>
      </c>
      <c r="H73" s="5">
        <f t="shared" si="28"/>
        <v>3297735.5189115233</v>
      </c>
      <c r="I73" s="5">
        <f t="shared" si="28"/>
        <v>3256491.0996776065</v>
      </c>
      <c r="J73" s="5">
        <f t="shared" si="28"/>
        <v>3245269.1805347349</v>
      </c>
      <c r="K73" s="5">
        <f t="shared" si="28"/>
        <v>3249435.2866153228</v>
      </c>
      <c r="L73" s="5">
        <f t="shared" si="28"/>
        <v>3278584.8326274748</v>
      </c>
      <c r="M73" s="5">
        <f t="shared" si="28"/>
        <v>3281638.531445622</v>
      </c>
      <c r="N73" s="5">
        <f t="shared" si="28"/>
        <v>3289851.9960073619</v>
      </c>
      <c r="O73" s="5">
        <f t="shared" si="28"/>
        <v>3324249.7693545716</v>
      </c>
      <c r="P73" s="5">
        <f t="shared" si="28"/>
        <v>3287768.7068684744</v>
      </c>
      <c r="Q73" s="5">
        <f t="shared" si="28"/>
        <v>3310818.1902234582</v>
      </c>
      <c r="R73" s="5">
        <f t="shared" si="28"/>
        <v>3369241.6031492399</v>
      </c>
      <c r="S73" s="5">
        <f t="shared" si="28"/>
        <v>3326399.0305691576</v>
      </c>
      <c r="T73" s="5">
        <f t="shared" si="28"/>
        <v>3402284.5799219888</v>
      </c>
      <c r="U73" s="5"/>
      <c r="V73" s="5"/>
      <c r="W73" s="5"/>
      <c r="AA73" s="9"/>
      <c r="AB73" s="9"/>
      <c r="AC73" s="9"/>
      <c r="AD73" s="9"/>
      <c r="AE73" s="9"/>
      <c r="AF73" s="9"/>
      <c r="AG73" s="9"/>
      <c r="AH73" s="9"/>
      <c r="AI73" s="9"/>
      <c r="AJ73" s="9"/>
      <c r="AK73" s="9"/>
      <c r="AL73" s="9"/>
      <c r="AM73" s="9"/>
      <c r="AN73" s="9"/>
      <c r="AO73" s="9"/>
      <c r="AP73" s="9"/>
    </row>
    <row r="74" spans="2:65" x14ac:dyDescent="0.25">
      <c r="AA74" s="9"/>
      <c r="AB74" s="9"/>
      <c r="AC74" s="9"/>
      <c r="AD74" s="9"/>
      <c r="AE74" s="9"/>
      <c r="AF74" s="9"/>
      <c r="AG74" s="9"/>
      <c r="AH74" s="9"/>
      <c r="AI74" s="9"/>
      <c r="AJ74" s="9"/>
      <c r="AK74" s="9"/>
      <c r="AL74" s="9"/>
      <c r="AM74" s="9"/>
      <c r="AN74" s="9"/>
      <c r="AO74" s="9"/>
      <c r="AP74" s="9"/>
    </row>
    <row r="75" spans="2:65" x14ac:dyDescent="0.25">
      <c r="B75" s="204" t="s">
        <v>78</v>
      </c>
      <c r="D75" t="s">
        <v>66</v>
      </c>
      <c r="E75" s="5">
        <f>'Proto Costing'!C225</f>
        <v>2931522.3448997652</v>
      </c>
      <c r="F75" s="5">
        <f>'Proto Costing'!D225</f>
        <v>2950219.2456441969</v>
      </c>
      <c r="G75" s="5">
        <f>'Proto Costing'!E225</f>
        <v>2894128.5434109028</v>
      </c>
      <c r="H75" s="5">
        <f>'Proto Costing'!F225</f>
        <v>2950219.2456441969</v>
      </c>
      <c r="I75" s="5">
        <f>'Proto Costing'!G225</f>
        <v>2912825.444155334</v>
      </c>
      <c r="J75" s="5">
        <f>'Proto Costing'!H225</f>
        <v>2819340.9404331767</v>
      </c>
      <c r="K75" s="5">
        <f>'Proto Costing'!I225</f>
        <v>2819340.9404331767</v>
      </c>
      <c r="L75" s="5">
        <f>'Proto Costing'!J225</f>
        <v>2875431.6426664712</v>
      </c>
      <c r="M75" s="5">
        <f>'Proto Costing'!K225</f>
        <v>2856734.74192204</v>
      </c>
      <c r="N75" s="5">
        <f>'Proto Costing'!L225</f>
        <v>2875431.6426664712</v>
      </c>
      <c r="O75" s="5">
        <f>'Proto Costing'!M225</f>
        <v>2931522.3448997652</v>
      </c>
      <c r="P75" s="5">
        <f>'Proto Costing'!N225</f>
        <v>2931522.3448997652</v>
      </c>
      <c r="Q75" s="5">
        <f>'Proto Costing'!O225</f>
        <v>2912825.444155334</v>
      </c>
      <c r="R75" s="5">
        <f>'Proto Costing'!P225</f>
        <v>2950219.2456441969</v>
      </c>
      <c r="S75" s="5">
        <f>'Proto Costing'!Q225</f>
        <v>2838037.8411776088</v>
      </c>
      <c r="T75" s="5">
        <f>'Proto Costing'!R225</f>
        <v>2950219.2456441969</v>
      </c>
      <c r="U75" s="5"/>
      <c r="V75" s="5"/>
      <c r="W75" s="5"/>
      <c r="AA75" s="9"/>
      <c r="AB75" s="9"/>
      <c r="AC75" s="9"/>
      <c r="AD75" s="9"/>
      <c r="AE75" s="9"/>
      <c r="AF75" s="9"/>
      <c r="AG75" s="9"/>
      <c r="AH75" s="9"/>
      <c r="AI75" s="9"/>
      <c r="AJ75" s="9"/>
      <c r="AK75" s="9"/>
      <c r="AL75" s="9"/>
      <c r="AM75" s="9"/>
      <c r="AN75" s="9"/>
      <c r="AO75" s="9"/>
      <c r="AP75" s="9"/>
    </row>
    <row r="76" spans="2:65" x14ac:dyDescent="0.25">
      <c r="B76" s="204"/>
      <c r="D76" t="s">
        <v>68</v>
      </c>
      <c r="E76" s="5">
        <f>'Proto Costing'!C174*$G$14+'Proto Costing'!C204*'Final Results'!$G$15+'Proto Costing'!C201*'Final Results'!$G16+'Proto Costing'!C177*3.5*'Final Results'!$G$18</f>
        <v>608521.03790052328</v>
      </c>
      <c r="F76" s="5">
        <f>'Proto Costing'!D174*$G$14+'Proto Costing'!D204*'Final Results'!$G$15+'Proto Costing'!D201*'Final Results'!$G16+'Proto Costing'!D177*3.5*'Final Results'!$G$18</f>
        <v>618800.53454353847</v>
      </c>
      <c r="G76" s="5">
        <f>'Proto Costing'!E174*$G$14+'Proto Costing'!E204*'Final Results'!$G$15+'Proto Costing'!E201*'Final Results'!$G16+'Proto Costing'!E177*3.5*'Final Results'!$G$18</f>
        <v>589624.62216916401</v>
      </c>
      <c r="H76" s="5">
        <f>'Proto Costing'!F174*$G$14+'Proto Costing'!F204*'Final Results'!$G$15+'Proto Costing'!F201*'Final Results'!$G16+'Proto Costing'!F177*3.5*'Final Results'!$G$18</f>
        <v>618800.53454353847</v>
      </c>
      <c r="I76" s="5">
        <f>'Proto Costing'!G174*$G$14+'Proto Costing'!G204*'Final Results'!$G$15+'Proto Costing'!G201*'Final Results'!$G16+'Proto Costing'!G177*3.5*'Final Results'!$G$18</f>
        <v>599072.83003484365</v>
      </c>
      <c r="J76" s="5">
        <f>'Proto Costing'!H174*$G$14+'Proto Costing'!H204*'Final Results'!$G$15+'Proto Costing'!H201*'Final Results'!$G16+'Proto Costing'!H177*3.5*'Final Results'!$G$18</f>
        <v>551000.50192910992</v>
      </c>
      <c r="K76" s="5">
        <f>'Proto Costing'!I174*$G$14+'Proto Costing'!I204*'Final Results'!$G$15+'Proto Costing'!I201*'Final Results'!$G16+'Proto Costing'!I177*3.5*'Final Results'!$G$18</f>
        <v>551000.50192910992</v>
      </c>
      <c r="L76" s="5">
        <f>'Proto Costing'!J174*$G$14+'Proto Costing'!J204*'Final Results'!$G$15+'Proto Costing'!J201*'Final Results'!$G16+'Proto Costing'!J177*3.5*'Final Results'!$G$18</f>
        <v>580176.41430348437</v>
      </c>
      <c r="M76" s="5">
        <f>'Proto Costing'!K174*$G$14+'Proto Costing'!K204*'Final Results'!$G$15+'Proto Costing'!K201*'Final Results'!$G16+'Proto Costing'!K177*3.5*'Final Results'!$G$18</f>
        <v>569896.91766046919</v>
      </c>
      <c r="N76" s="5">
        <f>'Proto Costing'!L174*$G$14+'Proto Costing'!L204*'Final Results'!$G$15+'Proto Costing'!L201*'Final Results'!$G16+'Proto Costing'!L177*3.5*'Final Results'!$G$18</f>
        <v>580176.41430348437</v>
      </c>
      <c r="O76" s="5">
        <f>'Proto Costing'!M174*$G$14+'Proto Costing'!M204*'Final Results'!$G$15+'Proto Costing'!M201*'Final Results'!$G16+'Proto Costing'!M177*3.5*'Final Results'!$G$18</f>
        <v>608521.03790052328</v>
      </c>
      <c r="P76" s="5">
        <f>'Proto Costing'!N174*$G$14+'Proto Costing'!N204*'Final Results'!$G$15+'Proto Costing'!N201*'Final Results'!$G16+'Proto Costing'!N177*3.5*'Final Results'!$G$18</f>
        <v>608521.03790052328</v>
      </c>
      <c r="Q76" s="5">
        <f>'Proto Costing'!O174*$G$14+'Proto Costing'!O204*'Final Results'!$G$15+'Proto Costing'!O201*'Final Results'!$G16+'Proto Costing'!O177*3.5*'Final Results'!$G$18</f>
        <v>599072.83003484365</v>
      </c>
      <c r="R76" s="5">
        <f>'Proto Costing'!P174*$G$14+'Proto Costing'!P204*'Final Results'!$G$15+'Proto Costing'!P201*'Final Results'!$G16+'Proto Costing'!P177*3.5*'Final Results'!$G$18</f>
        <v>618800.53454353847</v>
      </c>
      <c r="S76" s="5">
        <f>'Proto Costing'!Q174*$G$14+'Proto Costing'!Q204*'Final Results'!$G$15+'Proto Costing'!Q201*'Final Results'!$G16+'Proto Costing'!Q177*3.5*'Final Results'!$G$18</f>
        <v>560448.70979478955</v>
      </c>
      <c r="T76" s="5">
        <f>'Proto Costing'!R174*$G$14+'Proto Costing'!R204*'Final Results'!$G$15+'Proto Costing'!R201*'Final Results'!$G16+'Proto Costing'!R177*3.5*'Final Results'!$G$18</f>
        <v>618800.53454353847</v>
      </c>
      <c r="U76" s="5"/>
      <c r="V76" s="5"/>
      <c r="W76" s="5"/>
      <c r="AA76" s="9"/>
      <c r="AB76" s="9"/>
      <c r="AC76" s="9"/>
      <c r="AD76" s="9"/>
      <c r="AE76" s="9"/>
      <c r="AF76" s="9"/>
      <c r="AG76" s="9"/>
      <c r="AH76" s="9"/>
      <c r="AI76" s="9"/>
      <c r="AJ76" s="9"/>
      <c r="AK76" s="9"/>
      <c r="AL76" s="9"/>
      <c r="AM76" s="9"/>
      <c r="AN76" s="9"/>
      <c r="AO76" s="9"/>
      <c r="AP76" s="9"/>
    </row>
    <row r="77" spans="2:65" x14ac:dyDescent="0.25">
      <c r="B77" s="204"/>
      <c r="D77" t="s">
        <v>69</v>
      </c>
      <c r="E77" s="5">
        <f>$H$14*2*-1+$H$16*'Proto Costing'!C200*-1</f>
        <v>179273.47675879029</v>
      </c>
      <c r="F77" s="5">
        <f>$H$14*2*-1+$H$16*'Proto Costing'!D200*-1</f>
        <v>179273.47675879029</v>
      </c>
      <c r="G77" s="5">
        <f>$H$14*2*-1+$H$16*'Proto Costing'!E200*-1</f>
        <v>179273.47675879029</v>
      </c>
      <c r="H77" s="5">
        <f>$H$14*2*-1+$H$16*'Proto Costing'!F200*-1</f>
        <v>179273.47675879029</v>
      </c>
      <c r="I77" s="5">
        <f>$H$14*2*-1+$H$16*'Proto Costing'!G200*-1</f>
        <v>179273.47675879029</v>
      </c>
      <c r="J77" s="5">
        <f>$H$14*2*-1+$H$16*'Proto Costing'!H200*-1</f>
        <v>179273.47675879029</v>
      </c>
      <c r="K77" s="5">
        <f>$H$14*2*-1+$H$16*'Proto Costing'!I200*-1</f>
        <v>179273.47675879029</v>
      </c>
      <c r="L77" s="5">
        <f>$H$14*2*-1+$H$16*'Proto Costing'!J200*-1</f>
        <v>179273.47675879029</v>
      </c>
      <c r="M77" s="5">
        <f>$H$14*2*-1+$H$16*'Proto Costing'!K200*-1</f>
        <v>179273.47675879029</v>
      </c>
      <c r="N77" s="5">
        <f>$H$14*2*-1+$H$16*'Proto Costing'!L200*-1</f>
        <v>179273.47675879029</v>
      </c>
      <c r="O77" s="5">
        <f>$H$14*2*-1+$H$16*'Proto Costing'!M200*-1</f>
        <v>179273.47675879029</v>
      </c>
      <c r="P77" s="5">
        <f>$H$14*2*-1+$H$16*'Proto Costing'!N200*-1</f>
        <v>179273.47675879029</v>
      </c>
      <c r="Q77" s="5">
        <f>$H$14*2*-1+$H$16*'Proto Costing'!O200*-1</f>
        <v>179273.47675879029</v>
      </c>
      <c r="R77" s="5">
        <f>$H$14*2*-1+$H$16*'Proto Costing'!P200*-1</f>
        <v>179273.47675879029</v>
      </c>
      <c r="S77" s="5">
        <f>$H$14*2*-1+$H$16*'Proto Costing'!Q200*-1</f>
        <v>179273.47675879029</v>
      </c>
      <c r="T77" s="5">
        <f>$H$14*2*-1+$H$16*'Proto Costing'!R200*-1</f>
        <v>179273.47675879029</v>
      </c>
      <c r="U77" s="1"/>
      <c r="V77" s="5"/>
      <c r="W77" s="5"/>
      <c r="AA77" s="9"/>
      <c r="AB77" s="9"/>
      <c r="AC77" s="9"/>
      <c r="AD77" s="9"/>
      <c r="AE77" s="9"/>
      <c r="AF77" s="9"/>
      <c r="AG77" s="9"/>
      <c r="AH77" s="9"/>
      <c r="AI77" s="9"/>
      <c r="AJ77" s="9"/>
      <c r="AK77" s="9"/>
      <c r="AL77" s="9"/>
      <c r="AM77" s="9"/>
      <c r="AN77" s="9"/>
      <c r="AO77" s="9"/>
      <c r="AP77" s="9"/>
    </row>
    <row r="78" spans="2:65" x14ac:dyDescent="0.25">
      <c r="B78" s="204"/>
      <c r="D78" t="s">
        <v>70</v>
      </c>
      <c r="E78" s="5">
        <f>SUM(E75:E77)</f>
        <v>3719316.8595590787</v>
      </c>
      <c r="F78" s="5">
        <f t="shared" ref="F78:T78" si="29">SUM(F75:F77)</f>
        <v>3748293.2569465255</v>
      </c>
      <c r="G78" s="5">
        <f t="shared" si="29"/>
        <v>3663026.6423388571</v>
      </c>
      <c r="H78" s="5">
        <f t="shared" si="29"/>
        <v>3748293.2569465255</v>
      </c>
      <c r="I78" s="5">
        <f t="shared" si="29"/>
        <v>3691171.7509489679</v>
      </c>
      <c r="J78" s="5">
        <f t="shared" si="29"/>
        <v>3549614.9191210768</v>
      </c>
      <c r="K78" s="5">
        <f t="shared" si="29"/>
        <v>3549614.9191210768</v>
      </c>
      <c r="L78" s="5">
        <f t="shared" si="29"/>
        <v>3634881.5337287458</v>
      </c>
      <c r="M78" s="5">
        <f t="shared" si="29"/>
        <v>3605905.1363412994</v>
      </c>
      <c r="N78" s="5">
        <f t="shared" si="29"/>
        <v>3634881.5337287458</v>
      </c>
      <c r="O78" s="5">
        <f t="shared" si="29"/>
        <v>3719316.8595590787</v>
      </c>
      <c r="P78" s="5">
        <f t="shared" si="29"/>
        <v>3719316.8595590787</v>
      </c>
      <c r="Q78" s="5">
        <f t="shared" si="29"/>
        <v>3691171.7509489679</v>
      </c>
      <c r="R78" s="5">
        <f t="shared" si="29"/>
        <v>3748293.2569465255</v>
      </c>
      <c r="S78" s="5">
        <f t="shared" si="29"/>
        <v>3577760.0277311886</v>
      </c>
      <c r="T78" s="5">
        <f t="shared" si="29"/>
        <v>3748293.2569465255</v>
      </c>
      <c r="U78" s="5"/>
      <c r="V78" s="5"/>
      <c r="W78" s="5"/>
      <c r="AA78" s="9"/>
      <c r="AB78" s="9"/>
      <c r="AC78" s="9"/>
      <c r="AD78" s="9"/>
      <c r="AE78" s="9"/>
      <c r="AF78" s="9"/>
      <c r="AG78" s="9"/>
      <c r="AH78" s="9"/>
      <c r="AI78" s="9"/>
      <c r="AJ78" s="9"/>
      <c r="AK78" s="9"/>
      <c r="AL78" s="9"/>
      <c r="AM78" s="9"/>
      <c r="AN78" s="9"/>
      <c r="AO78" s="9"/>
      <c r="AP78" s="9"/>
    </row>
    <row r="79" spans="2:65" x14ac:dyDescent="0.25">
      <c r="D79" s="67" t="s">
        <v>71</v>
      </c>
      <c r="E79" s="68">
        <f>(E78-E73)/'Proto Costing'!$C$3</f>
        <v>2.3006273181670354</v>
      </c>
      <c r="F79" s="68">
        <f>(F78-F73)/'Proto Costing'!$C$3</f>
        <v>2.2220087427224464</v>
      </c>
      <c r="G79" s="68">
        <f>(G78-G73)/'Proto Costing'!$C$3</f>
        <v>1.862587688244117</v>
      </c>
      <c r="H79" s="68">
        <f>(H78-H73)/'Proto Costing'!$C$3</f>
        <v>2.1364990470443854</v>
      </c>
      <c r="I79" s="68">
        <f>(I78-I73)/'Proto Costing'!$C$3</f>
        <v>2.0612115136678653</v>
      </c>
      <c r="J79" s="68">
        <f>(J78-J73)/'Proto Costing'!$C$3</f>
        <v>1.4431765910792653</v>
      </c>
      <c r="K79" s="68">
        <f>(K78-K73)/'Proto Costing'!$C$3</f>
        <v>1.4234213390445738</v>
      </c>
      <c r="L79" s="68">
        <f>(L78-L73)/'Proto Costing'!$C$3</f>
        <v>1.6895227805604496</v>
      </c>
      <c r="M79" s="68">
        <f>(M78-M73)/'Proto Costing'!$C$3</f>
        <v>1.5376393164822577</v>
      </c>
      <c r="N79" s="68">
        <f>(N78-N73)/'Proto Costing'!$C$3</f>
        <v>1.6360950358078954</v>
      </c>
      <c r="O79" s="68">
        <f>(O78-O73)/'Proto Costing'!$C$3</f>
        <v>1.8733680291935317</v>
      </c>
      <c r="P79" s="68">
        <f>(P78-P73)/'Proto Costing'!$C$3</f>
        <v>2.0463575234515536</v>
      </c>
      <c r="Q79" s="68">
        <f>(Q78-Q73)/'Proto Costing'!$C$3</f>
        <v>1.803597966320712</v>
      </c>
      <c r="R79" s="68">
        <f>(R78-R73)/'Proto Costing'!$C$3</f>
        <v>1.7974244558542798</v>
      </c>
      <c r="S79" s="68">
        <f>(S78-S73)/'Proto Costing'!$C$3</f>
        <v>1.1919283269730139</v>
      </c>
      <c r="T79" s="68">
        <f>(T78-T73)/'Proto Costing'!$C$3</f>
        <v>1.6407380149679769</v>
      </c>
      <c r="U79" s="9"/>
      <c r="V79" s="9"/>
      <c r="W79" s="9"/>
      <c r="AA79" s="9"/>
      <c r="AB79" s="9"/>
      <c r="AC79" s="9"/>
      <c r="AD79" s="9"/>
      <c r="AE79" s="9"/>
      <c r="AF79" s="9"/>
      <c r="AG79" s="9"/>
      <c r="AH79" s="9"/>
      <c r="AI79" s="9"/>
      <c r="AJ79" s="9"/>
      <c r="AK79" s="9"/>
      <c r="AL79" s="9"/>
      <c r="AM79" s="9"/>
      <c r="AN79" s="9"/>
      <c r="AO79" s="9"/>
      <c r="AP79" s="9"/>
    </row>
    <row r="80" spans="2:65" hidden="1" x14ac:dyDescent="0.25">
      <c r="D80" s="67" t="s">
        <v>72</v>
      </c>
      <c r="E80" s="68"/>
      <c r="F80" s="68"/>
      <c r="G80" s="68"/>
      <c r="H80" s="68"/>
      <c r="I80" s="68"/>
      <c r="J80" s="68"/>
      <c r="K80" s="68"/>
      <c r="L80" s="68"/>
      <c r="M80" s="68"/>
      <c r="N80" s="68"/>
      <c r="O80" s="68"/>
      <c r="P80" s="68"/>
      <c r="Q80" s="68"/>
      <c r="R80" s="68"/>
      <c r="S80" s="68"/>
      <c r="T80" s="68"/>
      <c r="U80" s="9"/>
      <c r="V80" s="9"/>
      <c r="W80" s="9"/>
      <c r="AA80" s="9"/>
      <c r="AB80" s="9"/>
      <c r="AC80" s="9"/>
      <c r="AD80" s="9"/>
      <c r="AE80" s="9"/>
      <c r="AF80" s="9"/>
      <c r="AG80" s="9"/>
      <c r="AH80" s="9"/>
      <c r="AI80" s="9"/>
      <c r="AJ80" s="9"/>
      <c r="AK80" s="9"/>
      <c r="AL80" s="9"/>
      <c r="AM80" s="9"/>
      <c r="AN80" s="9"/>
      <c r="AO80" s="9"/>
      <c r="AP80" s="9"/>
    </row>
    <row r="81" spans="4:23" x14ac:dyDescent="0.25">
      <c r="D81" s="67" t="s">
        <v>73</v>
      </c>
      <c r="E81" s="68">
        <f>E79-E80</f>
        <v>2.3006273181670354</v>
      </c>
      <c r="F81" s="68">
        <f t="shared" ref="F81:T81" si="30">F79-F80</f>
        <v>2.2220087427224464</v>
      </c>
      <c r="G81" s="68">
        <f t="shared" si="30"/>
        <v>1.862587688244117</v>
      </c>
      <c r="H81" s="68">
        <f t="shared" si="30"/>
        <v>2.1364990470443854</v>
      </c>
      <c r="I81" s="68">
        <f t="shared" si="30"/>
        <v>2.0612115136678653</v>
      </c>
      <c r="J81" s="68">
        <f t="shared" si="30"/>
        <v>1.4431765910792653</v>
      </c>
      <c r="K81" s="68">
        <f t="shared" si="30"/>
        <v>1.4234213390445738</v>
      </c>
      <c r="L81" s="68">
        <f t="shared" si="30"/>
        <v>1.6895227805604496</v>
      </c>
      <c r="M81" s="68">
        <f t="shared" si="30"/>
        <v>1.5376393164822577</v>
      </c>
      <c r="N81" s="68">
        <f t="shared" si="30"/>
        <v>1.6360950358078954</v>
      </c>
      <c r="O81" s="68">
        <f t="shared" si="30"/>
        <v>1.8733680291935317</v>
      </c>
      <c r="P81" s="68">
        <f t="shared" si="30"/>
        <v>2.0463575234515536</v>
      </c>
      <c r="Q81" s="68">
        <f t="shared" si="30"/>
        <v>1.803597966320712</v>
      </c>
      <c r="R81" s="68">
        <f t="shared" si="30"/>
        <v>1.7974244558542798</v>
      </c>
      <c r="S81" s="68">
        <f t="shared" si="30"/>
        <v>1.1919283269730139</v>
      </c>
      <c r="T81" s="68">
        <f t="shared" si="30"/>
        <v>1.6407380149679769</v>
      </c>
      <c r="U81" s="9"/>
      <c r="V81" s="9"/>
      <c r="W81" s="9"/>
    </row>
    <row r="82" spans="4:23" x14ac:dyDescent="0.25">
      <c r="E82" s="9"/>
      <c r="F82" s="9"/>
      <c r="G82" s="9"/>
      <c r="H82" s="9"/>
      <c r="I82" s="9"/>
      <c r="J82" s="9"/>
      <c r="K82" s="9"/>
      <c r="L82" s="9"/>
      <c r="M82" s="9"/>
      <c r="N82" s="9"/>
      <c r="O82" s="9"/>
      <c r="P82" s="9"/>
      <c r="Q82" s="9"/>
      <c r="R82" s="9"/>
      <c r="S82" s="9"/>
      <c r="T82" s="9"/>
      <c r="U82" s="9"/>
      <c r="V82" s="9"/>
      <c r="W82" s="9"/>
    </row>
  </sheetData>
  <mergeCells count="4">
    <mergeCell ref="B46:B49"/>
    <mergeCell ref="B51:B54"/>
    <mergeCell ref="B70:B73"/>
    <mergeCell ref="B75:B78"/>
  </mergeCells>
  <phoneticPr fontId="14" type="noConversion"/>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2B6B9-AE28-479A-932F-3ACCEF16F26B}">
  <dimension ref="A1:AM355"/>
  <sheetViews>
    <sheetView zoomScale="85" zoomScaleNormal="85" workbookViewId="0">
      <selection activeCell="B1" sqref="B1"/>
    </sheetView>
    <sheetView topLeftCell="A156" workbookViewId="1"/>
  </sheetViews>
  <sheetFormatPr defaultRowHeight="15" x14ac:dyDescent="0.25"/>
  <cols>
    <col min="1" max="1" width="16.28515625" customWidth="1"/>
    <col min="2" max="2" width="31.5703125" customWidth="1"/>
    <col min="3" max="18" width="15" customWidth="1"/>
    <col min="19" max="19" width="13.7109375" customWidth="1"/>
    <col min="20" max="20" width="188.28515625" bestFit="1" customWidth="1"/>
    <col min="21" max="21" width="13.7109375" customWidth="1"/>
    <col min="22" max="22" width="13.7109375" hidden="1" customWidth="1"/>
    <col min="23" max="37" width="0" hidden="1" customWidth="1"/>
  </cols>
  <sheetData>
    <row r="1" spans="1:39" ht="15.75" x14ac:dyDescent="0.25">
      <c r="B1" s="148"/>
      <c r="C1" s="148" t="s">
        <v>82</v>
      </c>
      <c r="D1" s="148"/>
      <c r="U1" s="63"/>
      <c r="V1" s="63"/>
      <c r="W1" s="63"/>
      <c r="X1" s="63"/>
      <c r="Y1" s="63"/>
      <c r="Z1" s="63"/>
      <c r="AA1" s="63"/>
      <c r="AB1" s="63"/>
      <c r="AC1" s="63"/>
      <c r="AD1" s="63"/>
      <c r="AE1" s="63"/>
      <c r="AF1" s="63"/>
      <c r="AG1" s="63"/>
      <c r="AH1" s="63"/>
      <c r="AI1" s="63"/>
      <c r="AJ1" s="63"/>
      <c r="AK1" s="63"/>
      <c r="AL1" s="63"/>
      <c r="AM1" s="63"/>
    </row>
    <row r="2" spans="1:39" ht="15.75" x14ac:dyDescent="0.25">
      <c r="B2" s="186" t="s">
        <v>74</v>
      </c>
      <c r="C2" s="202">
        <v>498589</v>
      </c>
      <c r="D2" s="187" t="s">
        <v>83</v>
      </c>
      <c r="U2" s="63"/>
      <c r="V2" s="63"/>
      <c r="W2" s="63"/>
      <c r="X2" s="63"/>
      <c r="Y2" s="63"/>
      <c r="Z2" s="63"/>
      <c r="AA2" s="63"/>
      <c r="AB2" s="63"/>
      <c r="AC2" s="63"/>
      <c r="AD2" s="63"/>
      <c r="AE2" s="63"/>
      <c r="AF2" s="63"/>
      <c r="AG2" s="63"/>
      <c r="AH2" s="63"/>
      <c r="AI2" s="63"/>
      <c r="AJ2" s="63"/>
      <c r="AK2" s="63"/>
      <c r="AL2" s="63"/>
      <c r="AM2" s="63"/>
    </row>
    <row r="3" spans="1:39" ht="15.75" x14ac:dyDescent="0.25">
      <c r="B3" s="188" t="s">
        <v>81</v>
      </c>
      <c r="C3" s="203">
        <v>210886</v>
      </c>
      <c r="D3" s="189" t="s">
        <v>83</v>
      </c>
      <c r="F3" s="3"/>
      <c r="G3" s="5"/>
      <c r="K3" s="12"/>
    </row>
    <row r="5" spans="1:39" ht="21" x14ac:dyDescent="0.35">
      <c r="A5" s="171"/>
      <c r="B5" s="37" t="s">
        <v>84</v>
      </c>
      <c r="C5" s="172"/>
      <c r="D5" s="172"/>
      <c r="E5" s="172"/>
      <c r="F5" s="172"/>
      <c r="G5" s="172"/>
      <c r="H5" s="172"/>
      <c r="I5" s="172"/>
      <c r="J5" s="172"/>
      <c r="K5" s="172"/>
      <c r="L5" s="172"/>
      <c r="M5" s="172"/>
      <c r="N5" s="172"/>
      <c r="O5" s="172"/>
      <c r="P5" s="172"/>
      <c r="Q5" s="172"/>
      <c r="R5" s="173"/>
      <c r="S5" s="36"/>
      <c r="T5" s="36"/>
    </row>
    <row r="6" spans="1:39" x14ac:dyDescent="0.25">
      <c r="A6" s="39"/>
      <c r="B6" s="36"/>
      <c r="C6" s="36" t="s">
        <v>49</v>
      </c>
      <c r="D6" s="36" t="s">
        <v>50</v>
      </c>
      <c r="E6" s="36" t="s">
        <v>51</v>
      </c>
      <c r="F6" s="36" t="s">
        <v>52</v>
      </c>
      <c r="G6" s="36" t="s">
        <v>53</v>
      </c>
      <c r="H6" s="36" t="s">
        <v>54</v>
      </c>
      <c r="I6" s="36" t="s">
        <v>55</v>
      </c>
      <c r="J6" s="36" t="s">
        <v>56</v>
      </c>
      <c r="K6" s="36" t="s">
        <v>57</v>
      </c>
      <c r="L6" s="36" t="s">
        <v>58</v>
      </c>
      <c r="M6" s="36" t="s">
        <v>59</v>
      </c>
      <c r="N6" s="36" t="s">
        <v>60</v>
      </c>
      <c r="O6" s="36" t="s">
        <v>61</v>
      </c>
      <c r="P6" s="36" t="s">
        <v>62</v>
      </c>
      <c r="Q6" s="36" t="s">
        <v>63</v>
      </c>
      <c r="R6" s="38" t="s">
        <v>64</v>
      </c>
      <c r="S6" s="36"/>
      <c r="T6" s="36"/>
    </row>
    <row r="7" spans="1:39" x14ac:dyDescent="0.25">
      <c r="A7" s="47" t="s">
        <v>85</v>
      </c>
      <c r="B7" s="36" t="s">
        <v>86</v>
      </c>
      <c r="C7" s="36">
        <f t="shared" ref="C7:R7" si="0">2*C279*3.412</f>
        <v>4800</v>
      </c>
      <c r="D7" s="36">
        <f t="shared" si="0"/>
        <v>4560</v>
      </c>
      <c r="E7" s="36">
        <f t="shared" si="0"/>
        <v>4079.9999999999995</v>
      </c>
      <c r="F7" s="36">
        <f t="shared" si="0"/>
        <v>4800</v>
      </c>
      <c r="G7" s="36">
        <f t="shared" si="0"/>
        <v>4320</v>
      </c>
      <c r="H7" s="36">
        <f t="shared" si="0"/>
        <v>3120</v>
      </c>
      <c r="I7" s="36">
        <f t="shared" si="0"/>
        <v>2880</v>
      </c>
      <c r="J7" s="36">
        <f t="shared" si="0"/>
        <v>3120</v>
      </c>
      <c r="K7" s="36">
        <f t="shared" si="0"/>
        <v>3360</v>
      </c>
      <c r="L7" s="36">
        <f t="shared" si="0"/>
        <v>3600</v>
      </c>
      <c r="M7" s="36">
        <f t="shared" si="0"/>
        <v>4800</v>
      </c>
      <c r="N7" s="36">
        <f t="shared" si="0"/>
        <v>4560</v>
      </c>
      <c r="O7" s="36">
        <f t="shared" si="0"/>
        <v>4079.9999999999995</v>
      </c>
      <c r="P7" s="36">
        <f t="shared" si="0"/>
        <v>4320</v>
      </c>
      <c r="Q7" s="36">
        <f t="shared" si="0"/>
        <v>3120</v>
      </c>
      <c r="R7" s="38">
        <f t="shared" si="0"/>
        <v>4800</v>
      </c>
      <c r="S7" s="36" t="s">
        <v>87</v>
      </c>
      <c r="T7" s="36" t="s">
        <v>88</v>
      </c>
    </row>
    <row r="8" spans="1:39" x14ac:dyDescent="0.25">
      <c r="A8" s="39"/>
      <c r="B8" s="36" t="s">
        <v>89</v>
      </c>
      <c r="C8" s="36">
        <v>1</v>
      </c>
      <c r="D8" s="36">
        <v>1</v>
      </c>
      <c r="E8" s="36">
        <v>1</v>
      </c>
      <c r="F8" s="36">
        <v>1</v>
      </c>
      <c r="G8" s="36">
        <v>1</v>
      </c>
      <c r="H8" s="36">
        <v>1</v>
      </c>
      <c r="I8" s="36">
        <v>1</v>
      </c>
      <c r="J8" s="36">
        <v>1</v>
      </c>
      <c r="K8" s="36">
        <v>1</v>
      </c>
      <c r="L8" s="36">
        <v>1</v>
      </c>
      <c r="M8" s="36">
        <v>1</v>
      </c>
      <c r="N8" s="36">
        <v>1</v>
      </c>
      <c r="O8" s="36">
        <v>1</v>
      </c>
      <c r="P8" s="36">
        <v>1</v>
      </c>
      <c r="Q8" s="36">
        <v>1</v>
      </c>
      <c r="R8" s="38">
        <v>1</v>
      </c>
      <c r="S8" s="36"/>
      <c r="T8" s="36"/>
    </row>
    <row r="9" spans="1:39" x14ac:dyDescent="0.25">
      <c r="A9" s="39"/>
      <c r="B9" s="36" t="s">
        <v>90</v>
      </c>
      <c r="C9" s="40">
        <f>1657+12.769*C7</f>
        <v>62948.2</v>
      </c>
      <c r="D9" s="40">
        <f t="shared" ref="D9:R9" si="1">1657+12.769*D7</f>
        <v>59883.64</v>
      </c>
      <c r="E9" s="40">
        <f t="shared" si="1"/>
        <v>53754.52</v>
      </c>
      <c r="F9" s="40">
        <f t="shared" si="1"/>
        <v>62948.2</v>
      </c>
      <c r="G9" s="40">
        <f t="shared" si="1"/>
        <v>56819.08</v>
      </c>
      <c r="H9" s="40">
        <f t="shared" si="1"/>
        <v>41496.28</v>
      </c>
      <c r="I9" s="40">
        <f t="shared" si="1"/>
        <v>38431.72</v>
      </c>
      <c r="J9" s="40">
        <f t="shared" si="1"/>
        <v>41496.28</v>
      </c>
      <c r="K9" s="40">
        <f t="shared" si="1"/>
        <v>44560.840000000004</v>
      </c>
      <c r="L9" s="40">
        <f t="shared" si="1"/>
        <v>47625.4</v>
      </c>
      <c r="M9" s="40">
        <f t="shared" si="1"/>
        <v>62948.2</v>
      </c>
      <c r="N9" s="40">
        <f t="shared" si="1"/>
        <v>59883.64</v>
      </c>
      <c r="O9" s="40">
        <f t="shared" si="1"/>
        <v>53754.52</v>
      </c>
      <c r="P9" s="40">
        <f t="shared" si="1"/>
        <v>56819.08</v>
      </c>
      <c r="Q9" s="40">
        <f t="shared" si="1"/>
        <v>41496.28</v>
      </c>
      <c r="R9" s="174">
        <f t="shared" si="1"/>
        <v>62948.2</v>
      </c>
      <c r="S9" s="40"/>
      <c r="T9" s="40" t="s">
        <v>91</v>
      </c>
    </row>
    <row r="10" spans="1:39" x14ac:dyDescent="0.25">
      <c r="A10" s="39"/>
      <c r="B10" s="36" t="s">
        <v>92</v>
      </c>
      <c r="C10" s="41">
        <f>1505.7+4.9783*C7</f>
        <v>25401.54</v>
      </c>
      <c r="D10" s="41">
        <f t="shared" ref="D10:R10" si="2">1505.7+4.9783*D7</f>
        <v>24206.748</v>
      </c>
      <c r="E10" s="41">
        <f t="shared" si="2"/>
        <v>21817.163999999997</v>
      </c>
      <c r="F10" s="41">
        <f t="shared" si="2"/>
        <v>25401.54</v>
      </c>
      <c r="G10" s="41">
        <f t="shared" si="2"/>
        <v>23011.956000000002</v>
      </c>
      <c r="H10" s="41">
        <f t="shared" si="2"/>
        <v>17037.995999999999</v>
      </c>
      <c r="I10" s="41">
        <f t="shared" si="2"/>
        <v>15843.204</v>
      </c>
      <c r="J10" s="41">
        <f t="shared" si="2"/>
        <v>17037.995999999999</v>
      </c>
      <c r="K10" s="41">
        <f t="shared" si="2"/>
        <v>18232.788</v>
      </c>
      <c r="L10" s="41">
        <f t="shared" si="2"/>
        <v>19427.580000000002</v>
      </c>
      <c r="M10" s="41">
        <f t="shared" si="2"/>
        <v>25401.54</v>
      </c>
      <c r="N10" s="41">
        <f t="shared" si="2"/>
        <v>24206.748</v>
      </c>
      <c r="O10" s="41">
        <f t="shared" si="2"/>
        <v>21817.163999999997</v>
      </c>
      <c r="P10" s="41">
        <f t="shared" si="2"/>
        <v>23011.956000000002</v>
      </c>
      <c r="Q10" s="41">
        <f t="shared" si="2"/>
        <v>17037.995999999999</v>
      </c>
      <c r="R10" s="44">
        <f t="shared" si="2"/>
        <v>25401.54</v>
      </c>
      <c r="S10" s="41"/>
      <c r="T10" s="40" t="s">
        <v>91</v>
      </c>
    </row>
    <row r="11" spans="1:39" x14ac:dyDescent="0.25">
      <c r="A11" s="39"/>
      <c r="B11" s="36" t="s">
        <v>93</v>
      </c>
      <c r="C11" s="42">
        <v>0.15</v>
      </c>
      <c r="D11" s="42">
        <v>0.15</v>
      </c>
      <c r="E11" s="42">
        <v>0.15</v>
      </c>
      <c r="F11" s="42">
        <v>0.15</v>
      </c>
      <c r="G11" s="42">
        <v>0.15</v>
      </c>
      <c r="H11" s="42">
        <v>0.15</v>
      </c>
      <c r="I11" s="42">
        <v>0.15</v>
      </c>
      <c r="J11" s="42">
        <v>0.15</v>
      </c>
      <c r="K11" s="42">
        <v>0.15</v>
      </c>
      <c r="L11" s="42">
        <v>0.15</v>
      </c>
      <c r="M11" s="42">
        <v>0.15</v>
      </c>
      <c r="N11" s="42">
        <v>0.15</v>
      </c>
      <c r="O11" s="42">
        <v>0.15</v>
      </c>
      <c r="P11" s="42">
        <v>0.15</v>
      </c>
      <c r="Q11" s="42">
        <v>0.15</v>
      </c>
      <c r="R11" s="43">
        <v>0.15</v>
      </c>
      <c r="S11" s="42"/>
      <c r="T11" s="42"/>
    </row>
    <row r="12" spans="1:39" x14ac:dyDescent="0.25">
      <c r="A12" s="39"/>
      <c r="B12" s="36" t="s">
        <v>94</v>
      </c>
      <c r="C12" s="41">
        <f>(C9+C10)*(1+C11)</f>
        <v>101602.20099999999</v>
      </c>
      <c r="D12" s="41">
        <f t="shared" ref="D12:R12" si="3">(D9+D10)*(1+D11)</f>
        <v>96703.946200000006</v>
      </c>
      <c r="E12" s="41">
        <f t="shared" si="3"/>
        <v>86907.436599999986</v>
      </c>
      <c r="F12" s="41">
        <f t="shared" si="3"/>
        <v>101602.20099999999</v>
      </c>
      <c r="G12" s="41">
        <f t="shared" si="3"/>
        <v>91805.691399999996</v>
      </c>
      <c r="H12" s="41">
        <f t="shared" si="3"/>
        <v>67314.417399999991</v>
      </c>
      <c r="I12" s="41">
        <f t="shared" si="3"/>
        <v>62416.162599999996</v>
      </c>
      <c r="J12" s="41">
        <f t="shared" si="3"/>
        <v>67314.417399999991</v>
      </c>
      <c r="K12" s="41">
        <f t="shared" si="3"/>
        <v>72212.672200000001</v>
      </c>
      <c r="L12" s="41">
        <f t="shared" si="3"/>
        <v>77110.927000000011</v>
      </c>
      <c r="M12" s="41">
        <f t="shared" si="3"/>
        <v>101602.20099999999</v>
      </c>
      <c r="N12" s="41">
        <f t="shared" si="3"/>
        <v>96703.946200000006</v>
      </c>
      <c r="O12" s="41">
        <f t="shared" si="3"/>
        <v>86907.436599999986</v>
      </c>
      <c r="P12" s="41">
        <f t="shared" si="3"/>
        <v>91805.691399999996</v>
      </c>
      <c r="Q12" s="41">
        <f t="shared" si="3"/>
        <v>67314.417399999991</v>
      </c>
      <c r="R12" s="44">
        <f t="shared" si="3"/>
        <v>101602.20099999999</v>
      </c>
      <c r="S12" s="41"/>
      <c r="T12" s="41" t="s">
        <v>95</v>
      </c>
    </row>
    <row r="13" spans="1:39" x14ac:dyDescent="0.25">
      <c r="A13" s="39"/>
      <c r="B13" s="36"/>
      <c r="C13" s="36"/>
      <c r="D13" s="36"/>
      <c r="E13" s="36"/>
      <c r="F13" s="36"/>
      <c r="G13" s="36"/>
      <c r="H13" s="36"/>
      <c r="I13" s="36"/>
      <c r="J13" s="36"/>
      <c r="K13" s="36"/>
      <c r="L13" s="36"/>
      <c r="M13" s="36"/>
      <c r="N13" s="36"/>
      <c r="O13" s="36"/>
      <c r="P13" s="36"/>
      <c r="Q13" s="36"/>
      <c r="R13" s="38"/>
      <c r="S13" s="36"/>
      <c r="T13" s="36"/>
    </row>
    <row r="14" spans="1:39" x14ac:dyDescent="0.25">
      <c r="A14" s="47" t="s">
        <v>96</v>
      </c>
      <c r="B14" s="36" t="s">
        <v>86</v>
      </c>
      <c r="C14" s="36"/>
      <c r="D14" s="36"/>
      <c r="E14" s="36"/>
      <c r="F14" s="36"/>
      <c r="G14" s="36"/>
      <c r="H14" s="36"/>
      <c r="I14" s="36"/>
      <c r="J14" s="36"/>
      <c r="K14" s="36"/>
      <c r="L14" s="36"/>
      <c r="M14" s="36"/>
      <c r="N14" s="36"/>
      <c r="O14" s="36"/>
      <c r="P14" s="36"/>
      <c r="Q14" s="36"/>
      <c r="R14" s="38"/>
      <c r="S14" s="36"/>
      <c r="T14" s="36" t="s">
        <v>97</v>
      </c>
    </row>
    <row r="15" spans="1:39" x14ac:dyDescent="0.25">
      <c r="A15" s="39"/>
      <c r="B15" s="36" t="s">
        <v>98</v>
      </c>
      <c r="C15" s="36">
        <f>Sizing!C$6</f>
        <v>354536</v>
      </c>
      <c r="D15" s="36">
        <f>Sizing!D$6</f>
        <v>367002</v>
      </c>
      <c r="E15" s="36">
        <f>Sizing!E$6</f>
        <v>384753</v>
      </c>
      <c r="F15" s="36">
        <f>Sizing!F$6</f>
        <v>380072</v>
      </c>
      <c r="G15" s="36">
        <f>Sizing!G$6</f>
        <v>367742</v>
      </c>
      <c r="H15" s="36">
        <f>Sizing!H$6</f>
        <v>385061</v>
      </c>
      <c r="I15" s="36">
        <f>Sizing!I$6</f>
        <v>393487</v>
      </c>
      <c r="J15" s="36">
        <f>Sizing!J$6</f>
        <v>392366</v>
      </c>
      <c r="K15" s="36">
        <f>Sizing!K$6</f>
        <v>409809</v>
      </c>
      <c r="L15" s="36">
        <f>Sizing!L$6</f>
        <v>394760</v>
      </c>
      <c r="M15" s="36">
        <f>Sizing!M$6</f>
        <v>413973</v>
      </c>
      <c r="N15" s="36">
        <f>Sizing!N$6</f>
        <v>379320</v>
      </c>
      <c r="O15" s="36">
        <f>Sizing!O$6</f>
        <v>403572</v>
      </c>
      <c r="P15" s="36">
        <f>Sizing!P$6</f>
        <v>430583</v>
      </c>
      <c r="Q15" s="36">
        <f>Sizing!Q$6</f>
        <v>432427</v>
      </c>
      <c r="R15" s="38">
        <f>Sizing!R$6</f>
        <v>464923</v>
      </c>
      <c r="S15" s="36" t="s">
        <v>99</v>
      </c>
      <c r="T15" s="36" t="s">
        <v>100</v>
      </c>
    </row>
    <row r="16" spans="1:39" x14ac:dyDescent="0.25">
      <c r="A16" s="39"/>
      <c r="B16" s="36" t="s">
        <v>101</v>
      </c>
      <c r="C16" s="71"/>
      <c r="D16" s="71"/>
      <c r="E16" s="71"/>
      <c r="F16" s="71"/>
      <c r="G16" s="71"/>
      <c r="H16" s="71"/>
      <c r="I16" s="71"/>
      <c r="J16" s="71"/>
      <c r="K16" s="71"/>
      <c r="L16" s="71"/>
      <c r="M16" s="71"/>
      <c r="N16" s="71"/>
      <c r="O16" s="71"/>
      <c r="P16" s="71"/>
      <c r="Q16" s="71"/>
      <c r="R16" s="175"/>
      <c r="S16" s="71"/>
      <c r="T16" s="71"/>
    </row>
    <row r="17" spans="1:20" x14ac:dyDescent="0.25">
      <c r="A17" s="39"/>
      <c r="B17" s="36" t="s">
        <v>90</v>
      </c>
      <c r="C17" s="45">
        <f>8489.2+2.1333*C15</f>
        <v>764820.84880000004</v>
      </c>
      <c r="D17" s="45">
        <f t="shared" ref="D17:R17" si="4">8489.2+2.1333*D15</f>
        <v>791414.56660000002</v>
      </c>
      <c r="E17" s="45">
        <f t="shared" si="4"/>
        <v>829282.77490000008</v>
      </c>
      <c r="F17" s="45">
        <f t="shared" si="4"/>
        <v>819296.79760000005</v>
      </c>
      <c r="G17" s="45">
        <f t="shared" si="4"/>
        <v>792993.20860000001</v>
      </c>
      <c r="H17" s="45">
        <f t="shared" si="4"/>
        <v>829939.83130000008</v>
      </c>
      <c r="I17" s="45">
        <f t="shared" si="4"/>
        <v>847915.01710000006</v>
      </c>
      <c r="J17" s="45">
        <f t="shared" si="4"/>
        <v>845523.58779999998</v>
      </c>
      <c r="K17" s="45">
        <f t="shared" si="4"/>
        <v>882734.73970000003</v>
      </c>
      <c r="L17" s="45">
        <f t="shared" si="4"/>
        <v>850630.70799999998</v>
      </c>
      <c r="M17" s="45">
        <f t="shared" si="4"/>
        <v>891617.80090000003</v>
      </c>
      <c r="N17" s="45">
        <f t="shared" si="4"/>
        <v>817692.55599999998</v>
      </c>
      <c r="O17" s="45">
        <f t="shared" si="4"/>
        <v>869429.34759999998</v>
      </c>
      <c r="P17" s="45">
        <f t="shared" si="4"/>
        <v>927051.91390000004</v>
      </c>
      <c r="Q17" s="45">
        <f t="shared" si="4"/>
        <v>930985.71909999999</v>
      </c>
      <c r="R17" s="176">
        <f t="shared" si="4"/>
        <v>1000309.4359</v>
      </c>
      <c r="S17" s="45"/>
      <c r="T17" s="45" t="s">
        <v>102</v>
      </c>
    </row>
    <row r="18" spans="1:20" x14ac:dyDescent="0.25">
      <c r="A18" s="39"/>
      <c r="B18" s="36" t="s">
        <v>92</v>
      </c>
      <c r="C18" s="36">
        <v>0</v>
      </c>
      <c r="D18" s="36">
        <v>0</v>
      </c>
      <c r="E18" s="36">
        <v>0</v>
      </c>
      <c r="F18" s="36">
        <v>0</v>
      </c>
      <c r="G18" s="36">
        <v>0</v>
      </c>
      <c r="H18" s="36">
        <v>0</v>
      </c>
      <c r="I18" s="36">
        <v>0</v>
      </c>
      <c r="J18" s="36">
        <v>0</v>
      </c>
      <c r="K18" s="36">
        <v>0</v>
      </c>
      <c r="L18" s="36">
        <v>0</v>
      </c>
      <c r="M18" s="36">
        <v>0</v>
      </c>
      <c r="N18" s="36">
        <v>0</v>
      </c>
      <c r="O18" s="36">
        <v>0</v>
      </c>
      <c r="P18" s="36">
        <v>0</v>
      </c>
      <c r="Q18" s="36">
        <v>0</v>
      </c>
      <c r="R18" s="38">
        <v>0</v>
      </c>
      <c r="S18" s="36"/>
      <c r="T18" s="36"/>
    </row>
    <row r="19" spans="1:20" x14ac:dyDescent="0.25">
      <c r="A19" s="39"/>
      <c r="B19" s="36" t="s">
        <v>93</v>
      </c>
      <c r="C19" s="42">
        <v>0.15</v>
      </c>
      <c r="D19" s="42">
        <v>0.15</v>
      </c>
      <c r="E19" s="42">
        <v>0.15</v>
      </c>
      <c r="F19" s="42">
        <v>0.15</v>
      </c>
      <c r="G19" s="42">
        <v>0.15</v>
      </c>
      <c r="H19" s="42">
        <v>0.15</v>
      </c>
      <c r="I19" s="42">
        <v>0.15</v>
      </c>
      <c r="J19" s="42">
        <v>0.15</v>
      </c>
      <c r="K19" s="42">
        <v>0.15</v>
      </c>
      <c r="L19" s="42">
        <v>0.15</v>
      </c>
      <c r="M19" s="42">
        <v>0.15</v>
      </c>
      <c r="N19" s="42">
        <v>0.15</v>
      </c>
      <c r="O19" s="42">
        <v>0.15</v>
      </c>
      <c r="P19" s="42">
        <v>0.15</v>
      </c>
      <c r="Q19" s="42">
        <v>0.15</v>
      </c>
      <c r="R19" s="43">
        <v>0.15</v>
      </c>
      <c r="S19" s="42"/>
      <c r="T19" s="42"/>
    </row>
    <row r="20" spans="1:20" x14ac:dyDescent="0.25">
      <c r="A20" s="39"/>
      <c r="B20" s="36" t="s">
        <v>94</v>
      </c>
      <c r="C20" s="41">
        <f>(C17+C18)*(1+C19)</f>
        <v>879543.97612000001</v>
      </c>
      <c r="D20" s="41">
        <f t="shared" ref="D20:R20" si="5">(D17+D18)*(1+D19)</f>
        <v>910126.75159</v>
      </c>
      <c r="E20" s="41">
        <f t="shared" si="5"/>
        <v>953675.19113499997</v>
      </c>
      <c r="F20" s="41">
        <f t="shared" si="5"/>
        <v>942191.31724</v>
      </c>
      <c r="G20" s="41">
        <f t="shared" si="5"/>
        <v>911942.18988999992</v>
      </c>
      <c r="H20" s="41">
        <f t="shared" si="5"/>
        <v>954430.80599500006</v>
      </c>
      <c r="I20" s="41">
        <f t="shared" si="5"/>
        <v>975102.26966500003</v>
      </c>
      <c r="J20" s="41">
        <f t="shared" si="5"/>
        <v>972352.12596999994</v>
      </c>
      <c r="K20" s="41">
        <f t="shared" si="5"/>
        <v>1015144.9506549999</v>
      </c>
      <c r="L20" s="41">
        <f t="shared" si="5"/>
        <v>978225.31419999991</v>
      </c>
      <c r="M20" s="41">
        <f t="shared" si="5"/>
        <v>1025360.4710349999</v>
      </c>
      <c r="N20" s="41">
        <f t="shared" si="5"/>
        <v>940346.43939999992</v>
      </c>
      <c r="O20" s="41">
        <f t="shared" si="5"/>
        <v>999843.74973999988</v>
      </c>
      <c r="P20" s="41">
        <f t="shared" si="5"/>
        <v>1066109.700985</v>
      </c>
      <c r="Q20" s="41">
        <f t="shared" si="5"/>
        <v>1070633.576965</v>
      </c>
      <c r="R20" s="44">
        <f t="shared" si="5"/>
        <v>1150355.8512849999</v>
      </c>
      <c r="S20" s="41"/>
      <c r="T20" s="41"/>
    </row>
    <row r="21" spans="1:20" x14ac:dyDescent="0.25">
      <c r="A21" s="39"/>
      <c r="B21" s="36"/>
      <c r="C21" s="41"/>
      <c r="D21" s="41"/>
      <c r="E21" s="41"/>
      <c r="F21" s="41"/>
      <c r="G21" s="41"/>
      <c r="H21" s="41"/>
      <c r="I21" s="41"/>
      <c r="J21" s="41"/>
      <c r="K21" s="41"/>
      <c r="L21" s="41"/>
      <c r="M21" s="41"/>
      <c r="N21" s="41"/>
      <c r="O21" s="41"/>
      <c r="P21" s="41"/>
      <c r="Q21" s="41"/>
      <c r="R21" s="44"/>
      <c r="S21" s="41"/>
      <c r="T21" s="41"/>
    </row>
    <row r="22" spans="1:20" x14ac:dyDescent="0.25">
      <c r="A22" s="47" t="s">
        <v>103</v>
      </c>
      <c r="B22" s="36" t="s">
        <v>86</v>
      </c>
      <c r="C22" s="36"/>
      <c r="D22" s="36"/>
      <c r="E22" s="36"/>
      <c r="F22" s="36"/>
      <c r="G22" s="36"/>
      <c r="H22" s="36"/>
      <c r="I22" s="36"/>
      <c r="J22" s="36"/>
      <c r="K22" s="36"/>
      <c r="L22" s="36"/>
      <c r="M22" s="36"/>
      <c r="N22" s="36"/>
      <c r="O22" s="36"/>
      <c r="P22" s="36"/>
      <c r="Q22" s="36"/>
      <c r="R22" s="38"/>
      <c r="S22" s="36"/>
      <c r="T22" s="36"/>
    </row>
    <row r="23" spans="1:20" x14ac:dyDescent="0.25">
      <c r="A23" s="39"/>
      <c r="B23" s="36" t="s">
        <v>104</v>
      </c>
      <c r="C23" s="36">
        <f>850*12</f>
        <v>10200</v>
      </c>
      <c r="D23" s="36">
        <f t="shared" ref="D23:R23" si="6">850*12</f>
        <v>10200</v>
      </c>
      <c r="E23" s="36">
        <f t="shared" si="6"/>
        <v>10200</v>
      </c>
      <c r="F23" s="36">
        <f t="shared" si="6"/>
        <v>10200</v>
      </c>
      <c r="G23" s="36">
        <f t="shared" si="6"/>
        <v>10200</v>
      </c>
      <c r="H23" s="36">
        <f t="shared" si="6"/>
        <v>10200</v>
      </c>
      <c r="I23" s="36">
        <f t="shared" si="6"/>
        <v>10200</v>
      </c>
      <c r="J23" s="36">
        <f t="shared" si="6"/>
        <v>10200</v>
      </c>
      <c r="K23" s="36">
        <f t="shared" si="6"/>
        <v>10200</v>
      </c>
      <c r="L23" s="36">
        <f t="shared" si="6"/>
        <v>10200</v>
      </c>
      <c r="M23" s="36">
        <f t="shared" si="6"/>
        <v>10200</v>
      </c>
      <c r="N23" s="36">
        <f t="shared" si="6"/>
        <v>10200</v>
      </c>
      <c r="O23" s="36">
        <f t="shared" si="6"/>
        <v>10200</v>
      </c>
      <c r="P23" s="36">
        <f t="shared" si="6"/>
        <v>10200</v>
      </c>
      <c r="Q23" s="36">
        <f t="shared" si="6"/>
        <v>10200</v>
      </c>
      <c r="R23" s="38">
        <f t="shared" si="6"/>
        <v>10200</v>
      </c>
      <c r="S23" s="36" t="s">
        <v>105</v>
      </c>
      <c r="T23" s="70" t="s">
        <v>106</v>
      </c>
    </row>
    <row r="24" spans="1:20" x14ac:dyDescent="0.25">
      <c r="A24" s="39"/>
      <c r="B24" s="36" t="s">
        <v>101</v>
      </c>
      <c r="C24" s="71">
        <f>'Air-side Costs'!$E87</f>
        <v>270.93</v>
      </c>
      <c r="D24" s="71">
        <f>'Air-side Costs'!$E87</f>
        <v>270.93</v>
      </c>
      <c r="E24" s="71">
        <f>'Air-side Costs'!$E87</f>
        <v>270.93</v>
      </c>
      <c r="F24" s="71">
        <f>'Air-side Costs'!$E87</f>
        <v>270.93</v>
      </c>
      <c r="G24" s="71">
        <f>'Air-side Costs'!$E87</f>
        <v>270.93</v>
      </c>
      <c r="H24" s="71">
        <f>'Air-side Costs'!$E87</f>
        <v>270.93</v>
      </c>
      <c r="I24" s="71">
        <f>'Air-side Costs'!$E87</f>
        <v>270.93</v>
      </c>
      <c r="J24" s="71">
        <f>'Air-side Costs'!$E87</f>
        <v>270.93</v>
      </c>
      <c r="K24" s="71">
        <f>'Air-side Costs'!$E87</f>
        <v>270.93</v>
      </c>
      <c r="L24" s="71">
        <f>'Air-side Costs'!$E87</f>
        <v>270.93</v>
      </c>
      <c r="M24" s="71">
        <f>'Air-side Costs'!$E87</f>
        <v>270.93</v>
      </c>
      <c r="N24" s="71">
        <f>'Air-side Costs'!$E87</f>
        <v>270.93</v>
      </c>
      <c r="O24" s="71">
        <f>'Air-side Costs'!$E87</f>
        <v>270.93</v>
      </c>
      <c r="P24" s="71">
        <f>'Air-side Costs'!$E87</f>
        <v>270.93</v>
      </c>
      <c r="Q24" s="71">
        <f>'Air-side Costs'!$E87</f>
        <v>270.93</v>
      </c>
      <c r="R24" s="175">
        <f>'Air-side Costs'!$E87</f>
        <v>270.93</v>
      </c>
      <c r="S24" s="71"/>
      <c r="T24" s="36" t="s">
        <v>107</v>
      </c>
    </row>
    <row r="25" spans="1:20" x14ac:dyDescent="0.25">
      <c r="A25" s="39"/>
      <c r="B25" s="36" t="s">
        <v>90</v>
      </c>
      <c r="C25" s="45">
        <f>C23*C24</f>
        <v>2763486</v>
      </c>
      <c r="D25" s="45">
        <f t="shared" ref="D25:R25" si="7">D23*D24</f>
        <v>2763486</v>
      </c>
      <c r="E25" s="45">
        <f t="shared" si="7"/>
        <v>2763486</v>
      </c>
      <c r="F25" s="45">
        <f t="shared" si="7"/>
        <v>2763486</v>
      </c>
      <c r="G25" s="45">
        <f t="shared" si="7"/>
        <v>2763486</v>
      </c>
      <c r="H25" s="45">
        <f t="shared" si="7"/>
        <v>2763486</v>
      </c>
      <c r="I25" s="45">
        <f t="shared" si="7"/>
        <v>2763486</v>
      </c>
      <c r="J25" s="45">
        <f t="shared" si="7"/>
        <v>2763486</v>
      </c>
      <c r="K25" s="45">
        <f t="shared" si="7"/>
        <v>2763486</v>
      </c>
      <c r="L25" s="45">
        <f t="shared" si="7"/>
        <v>2763486</v>
      </c>
      <c r="M25" s="45">
        <f t="shared" si="7"/>
        <v>2763486</v>
      </c>
      <c r="N25" s="45">
        <f t="shared" si="7"/>
        <v>2763486</v>
      </c>
      <c r="O25" s="45">
        <f t="shared" si="7"/>
        <v>2763486</v>
      </c>
      <c r="P25" s="45">
        <f t="shared" si="7"/>
        <v>2763486</v>
      </c>
      <c r="Q25" s="45">
        <f t="shared" si="7"/>
        <v>2763486</v>
      </c>
      <c r="R25" s="176">
        <f t="shared" si="7"/>
        <v>2763486</v>
      </c>
      <c r="S25" s="36"/>
      <c r="T25" s="36" t="s">
        <v>108</v>
      </c>
    </row>
    <row r="26" spans="1:20" x14ac:dyDescent="0.25">
      <c r="A26" s="39"/>
      <c r="B26" s="36" t="s">
        <v>92</v>
      </c>
      <c r="C26" s="36">
        <v>0</v>
      </c>
      <c r="D26" s="36">
        <v>0</v>
      </c>
      <c r="E26" s="36">
        <v>0</v>
      </c>
      <c r="F26" s="36">
        <v>0</v>
      </c>
      <c r="G26" s="36">
        <v>0</v>
      </c>
      <c r="H26" s="36">
        <v>0</v>
      </c>
      <c r="I26" s="36">
        <v>0</v>
      </c>
      <c r="J26" s="36">
        <v>0</v>
      </c>
      <c r="K26" s="36">
        <v>0</v>
      </c>
      <c r="L26" s="36">
        <v>0</v>
      </c>
      <c r="M26" s="36">
        <v>0</v>
      </c>
      <c r="N26" s="36">
        <v>0</v>
      </c>
      <c r="O26" s="36">
        <v>0</v>
      </c>
      <c r="P26" s="36">
        <v>0</v>
      </c>
      <c r="Q26" s="36">
        <v>0</v>
      </c>
      <c r="R26" s="38">
        <v>0</v>
      </c>
      <c r="S26" s="36"/>
      <c r="T26" s="36"/>
    </row>
    <row r="27" spans="1:20" x14ac:dyDescent="0.25">
      <c r="A27" s="39"/>
      <c r="B27" s="36" t="s">
        <v>93</v>
      </c>
      <c r="C27" s="42">
        <v>0.15</v>
      </c>
      <c r="D27" s="42">
        <v>0.15</v>
      </c>
      <c r="E27" s="42">
        <v>0.15</v>
      </c>
      <c r="F27" s="42">
        <v>0.15</v>
      </c>
      <c r="G27" s="42">
        <v>0.15</v>
      </c>
      <c r="H27" s="42">
        <v>0.15</v>
      </c>
      <c r="I27" s="42">
        <v>0.15</v>
      </c>
      <c r="J27" s="42">
        <v>0.15</v>
      </c>
      <c r="K27" s="42">
        <v>0.15</v>
      </c>
      <c r="L27" s="42">
        <v>0.15</v>
      </c>
      <c r="M27" s="42">
        <v>0.15</v>
      </c>
      <c r="N27" s="42">
        <v>0.15</v>
      </c>
      <c r="O27" s="42">
        <v>0.15</v>
      </c>
      <c r="P27" s="42">
        <v>0.15</v>
      </c>
      <c r="Q27" s="42">
        <v>0.15</v>
      </c>
      <c r="R27" s="43">
        <v>0.15</v>
      </c>
      <c r="S27" s="42"/>
      <c r="T27" s="42"/>
    </row>
    <row r="28" spans="1:20" x14ac:dyDescent="0.25">
      <c r="A28" s="39"/>
      <c r="B28" s="36" t="s">
        <v>94</v>
      </c>
      <c r="C28" s="41">
        <f>(C25+C26)*(1+C27)</f>
        <v>3178008.9</v>
      </c>
      <c r="D28" s="41">
        <f t="shared" ref="D28:R28" si="8">(D25+D26)*(1+D27)</f>
        <v>3178008.9</v>
      </c>
      <c r="E28" s="41">
        <f t="shared" si="8"/>
        <v>3178008.9</v>
      </c>
      <c r="F28" s="41">
        <f t="shared" si="8"/>
        <v>3178008.9</v>
      </c>
      <c r="G28" s="41">
        <f t="shared" si="8"/>
        <v>3178008.9</v>
      </c>
      <c r="H28" s="41">
        <f t="shared" si="8"/>
        <v>3178008.9</v>
      </c>
      <c r="I28" s="41">
        <f t="shared" si="8"/>
        <v>3178008.9</v>
      </c>
      <c r="J28" s="41">
        <f t="shared" si="8"/>
        <v>3178008.9</v>
      </c>
      <c r="K28" s="41">
        <f t="shared" si="8"/>
        <v>3178008.9</v>
      </c>
      <c r="L28" s="41">
        <f t="shared" si="8"/>
        <v>3178008.9</v>
      </c>
      <c r="M28" s="41">
        <f t="shared" si="8"/>
        <v>3178008.9</v>
      </c>
      <c r="N28" s="41">
        <f t="shared" si="8"/>
        <v>3178008.9</v>
      </c>
      <c r="O28" s="41">
        <f t="shared" si="8"/>
        <v>3178008.9</v>
      </c>
      <c r="P28" s="41">
        <f t="shared" si="8"/>
        <v>3178008.9</v>
      </c>
      <c r="Q28" s="41">
        <f t="shared" si="8"/>
        <v>3178008.9</v>
      </c>
      <c r="R28" s="44">
        <f t="shared" si="8"/>
        <v>3178008.9</v>
      </c>
      <c r="S28" s="41"/>
      <c r="T28" s="41" t="s">
        <v>109</v>
      </c>
    </row>
    <row r="29" spans="1:20" x14ac:dyDescent="0.25">
      <c r="A29" s="39"/>
      <c r="B29" s="36"/>
      <c r="C29" s="36"/>
      <c r="D29" s="36"/>
      <c r="E29" s="36"/>
      <c r="F29" s="36"/>
      <c r="G29" s="36"/>
      <c r="H29" s="36"/>
      <c r="I29" s="36"/>
      <c r="J29" s="36"/>
      <c r="K29" s="36"/>
      <c r="L29" s="36"/>
      <c r="M29" s="36"/>
      <c r="N29" s="36"/>
      <c r="O29" s="36"/>
      <c r="P29" s="36"/>
      <c r="Q29" s="36"/>
      <c r="R29" s="38"/>
      <c r="S29" s="36"/>
      <c r="T29" s="36"/>
    </row>
    <row r="30" spans="1:20" x14ac:dyDescent="0.25">
      <c r="A30" s="47" t="s">
        <v>110</v>
      </c>
      <c r="B30" s="36" t="s">
        <v>111</v>
      </c>
      <c r="C30" s="36">
        <v>11600</v>
      </c>
      <c r="D30" s="36">
        <v>11600</v>
      </c>
      <c r="E30" s="36">
        <v>11600</v>
      </c>
      <c r="F30" s="36">
        <v>11600</v>
      </c>
      <c r="G30" s="36">
        <v>11600</v>
      </c>
      <c r="H30" s="36">
        <v>11600</v>
      </c>
      <c r="I30" s="36">
        <v>11600</v>
      </c>
      <c r="J30" s="36">
        <v>11600</v>
      </c>
      <c r="K30" s="36">
        <v>11600</v>
      </c>
      <c r="L30" s="36">
        <v>11600</v>
      </c>
      <c r="M30" s="36">
        <v>11600</v>
      </c>
      <c r="N30" s="36">
        <v>11600</v>
      </c>
      <c r="O30" s="36">
        <v>11600</v>
      </c>
      <c r="P30" s="36">
        <v>11600</v>
      </c>
      <c r="Q30" s="36">
        <v>11600</v>
      </c>
      <c r="R30" s="38">
        <v>11600</v>
      </c>
      <c r="S30" s="36" t="s">
        <v>105</v>
      </c>
      <c r="T30" s="36" t="s">
        <v>112</v>
      </c>
    </row>
    <row r="31" spans="1:20" x14ac:dyDescent="0.25">
      <c r="A31" s="39"/>
      <c r="B31" s="36" t="s">
        <v>89</v>
      </c>
      <c r="C31" s="36">
        <v>3</v>
      </c>
      <c r="D31" s="36">
        <v>3</v>
      </c>
      <c r="E31" s="36">
        <v>3</v>
      </c>
      <c r="F31" s="36">
        <v>3</v>
      </c>
      <c r="G31" s="36">
        <v>3</v>
      </c>
      <c r="H31" s="36">
        <v>3</v>
      </c>
      <c r="I31" s="36">
        <v>3</v>
      </c>
      <c r="J31" s="36">
        <v>3</v>
      </c>
      <c r="K31" s="36">
        <v>3</v>
      </c>
      <c r="L31" s="36">
        <v>3</v>
      </c>
      <c r="M31" s="36">
        <v>3</v>
      </c>
      <c r="N31" s="36">
        <v>3</v>
      </c>
      <c r="O31" s="36">
        <v>3</v>
      </c>
      <c r="P31" s="36">
        <v>3</v>
      </c>
      <c r="Q31" s="36">
        <v>3</v>
      </c>
      <c r="R31" s="38">
        <v>3</v>
      </c>
      <c r="S31" s="36"/>
      <c r="T31" s="36"/>
    </row>
    <row r="32" spans="1:20" x14ac:dyDescent="0.25">
      <c r="A32" s="39"/>
      <c r="B32" s="36" t="s">
        <v>101</v>
      </c>
      <c r="C32" s="45">
        <f>C30*C31</f>
        <v>34800</v>
      </c>
      <c r="D32" s="45">
        <f t="shared" ref="D32:R32" si="9">D30*D31</f>
        <v>34800</v>
      </c>
      <c r="E32" s="45">
        <f t="shared" si="9"/>
        <v>34800</v>
      </c>
      <c r="F32" s="45">
        <f t="shared" si="9"/>
        <v>34800</v>
      </c>
      <c r="G32" s="45">
        <f t="shared" si="9"/>
        <v>34800</v>
      </c>
      <c r="H32" s="45">
        <f t="shared" si="9"/>
        <v>34800</v>
      </c>
      <c r="I32" s="45">
        <f t="shared" si="9"/>
        <v>34800</v>
      </c>
      <c r="J32" s="45">
        <f t="shared" si="9"/>
        <v>34800</v>
      </c>
      <c r="K32" s="45">
        <f t="shared" si="9"/>
        <v>34800</v>
      </c>
      <c r="L32" s="45">
        <f t="shared" si="9"/>
        <v>34800</v>
      </c>
      <c r="M32" s="45">
        <f t="shared" si="9"/>
        <v>34800</v>
      </c>
      <c r="N32" s="45">
        <f t="shared" si="9"/>
        <v>34800</v>
      </c>
      <c r="O32" s="45">
        <f t="shared" si="9"/>
        <v>34800</v>
      </c>
      <c r="P32" s="45">
        <f t="shared" si="9"/>
        <v>34800</v>
      </c>
      <c r="Q32" s="45">
        <f t="shared" si="9"/>
        <v>34800</v>
      </c>
      <c r="R32" s="176">
        <f t="shared" si="9"/>
        <v>34800</v>
      </c>
      <c r="S32" s="36"/>
      <c r="T32" s="36"/>
    </row>
    <row r="33" spans="1:20" x14ac:dyDescent="0.25">
      <c r="A33" s="39"/>
      <c r="B33" s="36" t="s">
        <v>90</v>
      </c>
      <c r="C33" s="36">
        <v>0</v>
      </c>
      <c r="D33" s="36">
        <v>0</v>
      </c>
      <c r="E33" s="36">
        <v>0</v>
      </c>
      <c r="F33" s="36">
        <v>0</v>
      </c>
      <c r="G33" s="36">
        <v>0</v>
      </c>
      <c r="H33" s="36">
        <v>0</v>
      </c>
      <c r="I33" s="36">
        <v>0</v>
      </c>
      <c r="J33" s="36">
        <v>0</v>
      </c>
      <c r="K33" s="36">
        <v>0</v>
      </c>
      <c r="L33" s="36">
        <v>0</v>
      </c>
      <c r="M33" s="36">
        <v>0</v>
      </c>
      <c r="N33" s="36">
        <v>0</v>
      </c>
      <c r="O33" s="36">
        <v>0</v>
      </c>
      <c r="P33" s="36">
        <v>0</v>
      </c>
      <c r="Q33" s="36">
        <v>0</v>
      </c>
      <c r="R33" s="38">
        <v>0</v>
      </c>
      <c r="S33" s="36"/>
      <c r="T33" s="36"/>
    </row>
    <row r="34" spans="1:20" x14ac:dyDescent="0.25">
      <c r="A34" s="39"/>
      <c r="B34" s="36" t="s">
        <v>93</v>
      </c>
      <c r="C34" s="42">
        <v>0.15</v>
      </c>
      <c r="D34" s="42">
        <v>0.15</v>
      </c>
      <c r="E34" s="42">
        <v>0.15</v>
      </c>
      <c r="F34" s="42">
        <v>0.15</v>
      </c>
      <c r="G34" s="42">
        <v>0.15</v>
      </c>
      <c r="H34" s="42">
        <v>0.15</v>
      </c>
      <c r="I34" s="42">
        <v>0.15</v>
      </c>
      <c r="J34" s="42">
        <v>0.15</v>
      </c>
      <c r="K34" s="42">
        <v>0.15</v>
      </c>
      <c r="L34" s="42">
        <v>0.15</v>
      </c>
      <c r="M34" s="42">
        <v>0.15</v>
      </c>
      <c r="N34" s="42">
        <v>0.15</v>
      </c>
      <c r="O34" s="42">
        <v>0.15</v>
      </c>
      <c r="P34" s="42">
        <v>0.15</v>
      </c>
      <c r="Q34" s="42">
        <v>0.15</v>
      </c>
      <c r="R34" s="43">
        <v>0.15</v>
      </c>
      <c r="S34" s="42"/>
      <c r="T34" s="42"/>
    </row>
    <row r="35" spans="1:20" x14ac:dyDescent="0.25">
      <c r="A35" s="39"/>
      <c r="B35" s="36" t="s">
        <v>94</v>
      </c>
      <c r="C35" s="41">
        <f>(C32+C33)*(1+C34)</f>
        <v>40020</v>
      </c>
      <c r="D35" s="41">
        <f t="shared" ref="D35:R35" si="10">(D32+D33)*(1+D34)</f>
        <v>40020</v>
      </c>
      <c r="E35" s="41">
        <f t="shared" si="10"/>
        <v>40020</v>
      </c>
      <c r="F35" s="41">
        <f t="shared" si="10"/>
        <v>40020</v>
      </c>
      <c r="G35" s="41">
        <f t="shared" si="10"/>
        <v>40020</v>
      </c>
      <c r="H35" s="41">
        <f t="shared" si="10"/>
        <v>40020</v>
      </c>
      <c r="I35" s="41">
        <f t="shared" si="10"/>
        <v>40020</v>
      </c>
      <c r="J35" s="41">
        <f t="shared" si="10"/>
        <v>40020</v>
      </c>
      <c r="K35" s="41">
        <f t="shared" si="10"/>
        <v>40020</v>
      </c>
      <c r="L35" s="41">
        <f t="shared" si="10"/>
        <v>40020</v>
      </c>
      <c r="M35" s="41">
        <f t="shared" si="10"/>
        <v>40020</v>
      </c>
      <c r="N35" s="41">
        <f t="shared" si="10"/>
        <v>40020</v>
      </c>
      <c r="O35" s="41">
        <f t="shared" si="10"/>
        <v>40020</v>
      </c>
      <c r="P35" s="41">
        <f t="shared" si="10"/>
        <v>40020</v>
      </c>
      <c r="Q35" s="41">
        <f t="shared" si="10"/>
        <v>40020</v>
      </c>
      <c r="R35" s="44">
        <f t="shared" si="10"/>
        <v>40020</v>
      </c>
      <c r="S35" s="41"/>
      <c r="T35" s="41" t="s">
        <v>113</v>
      </c>
    </row>
    <row r="36" spans="1:20" x14ac:dyDescent="0.25">
      <c r="A36" s="39"/>
      <c r="B36" s="36"/>
      <c r="C36" s="36"/>
      <c r="D36" s="36"/>
      <c r="E36" s="36"/>
      <c r="F36" s="36"/>
      <c r="G36" s="36"/>
      <c r="H36" s="36"/>
      <c r="I36" s="36"/>
      <c r="J36" s="36"/>
      <c r="K36" s="36"/>
      <c r="L36" s="36"/>
      <c r="M36" s="36"/>
      <c r="N36" s="36"/>
      <c r="O36" s="36"/>
      <c r="P36" s="36"/>
      <c r="Q36" s="36"/>
      <c r="R36" s="38"/>
      <c r="S36" s="36"/>
      <c r="T36" s="36"/>
    </row>
    <row r="37" spans="1:20" x14ac:dyDescent="0.25">
      <c r="A37" s="39"/>
      <c r="B37" s="36"/>
      <c r="C37" s="36"/>
      <c r="D37" s="36"/>
      <c r="E37" s="36"/>
      <c r="F37" s="36"/>
      <c r="G37" s="36"/>
      <c r="H37" s="36"/>
      <c r="I37" s="36"/>
      <c r="J37" s="36"/>
      <c r="K37" s="36"/>
      <c r="L37" s="36"/>
      <c r="M37" s="36"/>
      <c r="N37" s="36"/>
      <c r="O37" s="36"/>
      <c r="P37" s="36"/>
      <c r="Q37" s="36"/>
      <c r="R37" s="38"/>
      <c r="S37" s="36"/>
      <c r="T37" s="36"/>
    </row>
    <row r="38" spans="1:20" x14ac:dyDescent="0.25">
      <c r="A38" s="47" t="s">
        <v>114</v>
      </c>
      <c r="B38" s="36" t="s">
        <v>94</v>
      </c>
      <c r="C38" s="41">
        <f>120*'Air-side Costs'!$M$100</f>
        <v>389435.99999999994</v>
      </c>
      <c r="D38" s="41">
        <f>120*'Air-side Costs'!$M$100</f>
        <v>389435.99999999994</v>
      </c>
      <c r="E38" s="41">
        <f>120*'Air-side Costs'!$M$100</f>
        <v>389435.99999999994</v>
      </c>
      <c r="F38" s="41">
        <f>120*'Air-side Costs'!$M$100</f>
        <v>389435.99999999994</v>
      </c>
      <c r="G38" s="41">
        <f>120*'Air-side Costs'!$M$100</f>
        <v>389435.99999999994</v>
      </c>
      <c r="H38" s="41">
        <f>120*'Air-side Costs'!$M$100</f>
        <v>389435.99999999994</v>
      </c>
      <c r="I38" s="41">
        <f>120*'Air-side Costs'!$M$100</f>
        <v>389435.99999999994</v>
      </c>
      <c r="J38" s="41">
        <f>120*'Air-side Costs'!$M$100</f>
        <v>389435.99999999994</v>
      </c>
      <c r="K38" s="41">
        <f>120*'Air-side Costs'!$M$100</f>
        <v>389435.99999999994</v>
      </c>
      <c r="L38" s="41">
        <f>120*'Air-side Costs'!$M$100</f>
        <v>389435.99999999994</v>
      </c>
      <c r="M38" s="41">
        <f>120*'Air-side Costs'!$M$100</f>
        <v>389435.99999999994</v>
      </c>
      <c r="N38" s="41">
        <f>120*'Air-side Costs'!$M$100</f>
        <v>389435.99999999994</v>
      </c>
      <c r="O38" s="41">
        <f>120*'Air-side Costs'!$M$100</f>
        <v>389435.99999999994</v>
      </c>
      <c r="P38" s="41">
        <f>120*'Air-side Costs'!$M$100</f>
        <v>389435.99999999994</v>
      </c>
      <c r="Q38" s="41">
        <f>120*'Air-side Costs'!$M$100</f>
        <v>389435.99999999994</v>
      </c>
      <c r="R38" s="44">
        <f>120*'Air-side Costs'!$M$100</f>
        <v>389435.99999999994</v>
      </c>
      <c r="S38" s="41"/>
      <c r="T38" s="41" t="s">
        <v>115</v>
      </c>
    </row>
    <row r="39" spans="1:20" x14ac:dyDescent="0.25">
      <c r="A39" s="39"/>
      <c r="B39" s="36" t="s">
        <v>116</v>
      </c>
      <c r="C39" s="36"/>
      <c r="D39" s="36"/>
      <c r="E39" s="36"/>
      <c r="F39" s="36"/>
      <c r="G39" s="36"/>
      <c r="H39" s="36"/>
      <c r="I39" s="36"/>
      <c r="J39" s="36"/>
      <c r="K39" s="36"/>
      <c r="L39" s="36"/>
      <c r="M39" s="36"/>
      <c r="N39" s="36"/>
      <c r="O39" s="36"/>
      <c r="P39" s="36"/>
      <c r="Q39" s="36"/>
      <c r="R39" s="38"/>
      <c r="S39" s="36"/>
      <c r="T39" s="36"/>
    </row>
    <row r="40" spans="1:20" x14ac:dyDescent="0.25">
      <c r="A40" s="39"/>
      <c r="B40" s="36"/>
      <c r="C40" s="36"/>
      <c r="D40" s="36"/>
      <c r="E40" s="36"/>
      <c r="F40" s="36"/>
      <c r="G40" s="36"/>
      <c r="H40" s="36"/>
      <c r="I40" s="36"/>
      <c r="J40" s="36"/>
      <c r="K40" s="36"/>
      <c r="L40" s="36"/>
      <c r="M40" s="36"/>
      <c r="N40" s="36"/>
      <c r="O40" s="36"/>
      <c r="P40" s="36"/>
      <c r="Q40" s="36"/>
      <c r="R40" s="38"/>
      <c r="S40" s="36"/>
      <c r="T40" s="36"/>
    </row>
    <row r="41" spans="1:20" x14ac:dyDescent="0.25">
      <c r="A41" s="47" t="s">
        <v>117</v>
      </c>
      <c r="B41" s="36" t="s">
        <v>118</v>
      </c>
      <c r="C41" s="194">
        <f>ROUNDUP(C7*'Plant-side Costs'!$J$78/2,0)*2</f>
        <v>8</v>
      </c>
      <c r="D41" s="194">
        <f>ROUNDUP(D7*'Plant-side Costs'!$J$78/2,0)*2</f>
        <v>8</v>
      </c>
      <c r="E41" s="194">
        <f>ROUNDUP(E7*'Plant-side Costs'!$J$78/2,0)*2</f>
        <v>8</v>
      </c>
      <c r="F41" s="194">
        <f>ROUNDUP(F7*'Plant-side Costs'!$J$78/2,0)*2</f>
        <v>8</v>
      </c>
      <c r="G41" s="194">
        <f>ROUNDUP(G7*'Plant-side Costs'!$J$78/2,0)*2</f>
        <v>8</v>
      </c>
      <c r="H41" s="194">
        <f>ROUNDUP(H7*'Plant-side Costs'!$J$78/2,0)*2</f>
        <v>6</v>
      </c>
      <c r="I41" s="194">
        <f>ROUNDUP(I7*'Plant-side Costs'!$J$78/2,0)*2</f>
        <v>6</v>
      </c>
      <c r="J41" s="194">
        <f>ROUNDUP(J7*'Plant-side Costs'!$J$78/2,0)*2</f>
        <v>6</v>
      </c>
      <c r="K41" s="194">
        <f>ROUNDUP(K7*'Plant-side Costs'!$J$78/2,0)*2</f>
        <v>6</v>
      </c>
      <c r="L41" s="194">
        <f>ROUNDUP(L7*'Plant-side Costs'!$J$78/2,0)*2</f>
        <v>6</v>
      </c>
      <c r="M41" s="194">
        <f>ROUNDUP(M7*'Plant-side Costs'!$J$78/2,0)*2</f>
        <v>8</v>
      </c>
      <c r="N41" s="194">
        <f>ROUNDUP(N7*'Plant-side Costs'!$J$78/2,0)*2</f>
        <v>8</v>
      </c>
      <c r="O41" s="194">
        <f>ROUNDUP(O7*'Plant-side Costs'!$J$78/2,0)*2</f>
        <v>8</v>
      </c>
      <c r="P41" s="194">
        <f>ROUNDUP(P7*'Plant-side Costs'!$J$78/2,0)*2</f>
        <v>8</v>
      </c>
      <c r="Q41" s="194">
        <f>ROUNDUP(Q7*'Plant-side Costs'!$J$78/2,0)*2</f>
        <v>6</v>
      </c>
      <c r="R41" s="195">
        <f>ROUNDUP(R7*'Plant-side Costs'!$J$78/2,0)*2</f>
        <v>8</v>
      </c>
      <c r="S41" s="194" t="s">
        <v>119</v>
      </c>
      <c r="T41" s="194" t="s">
        <v>120</v>
      </c>
    </row>
    <row r="42" spans="1:20" x14ac:dyDescent="0.25">
      <c r="A42" s="39"/>
      <c r="B42" s="36" t="s">
        <v>94</v>
      </c>
      <c r="C42" s="45">
        <f>9113.3+750.7*C41</f>
        <v>15118.9</v>
      </c>
      <c r="D42" s="45">
        <f t="shared" ref="D42:R42" si="11">9113.3+750.7*D41</f>
        <v>15118.9</v>
      </c>
      <c r="E42" s="45">
        <f t="shared" si="11"/>
        <v>15118.9</v>
      </c>
      <c r="F42" s="45">
        <f t="shared" si="11"/>
        <v>15118.9</v>
      </c>
      <c r="G42" s="45">
        <f t="shared" si="11"/>
        <v>15118.9</v>
      </c>
      <c r="H42" s="45">
        <f t="shared" si="11"/>
        <v>13617.5</v>
      </c>
      <c r="I42" s="45">
        <f t="shared" si="11"/>
        <v>13617.5</v>
      </c>
      <c r="J42" s="45">
        <f t="shared" si="11"/>
        <v>13617.5</v>
      </c>
      <c r="K42" s="45">
        <f t="shared" si="11"/>
        <v>13617.5</v>
      </c>
      <c r="L42" s="45">
        <f t="shared" si="11"/>
        <v>13617.5</v>
      </c>
      <c r="M42" s="45">
        <f t="shared" si="11"/>
        <v>15118.9</v>
      </c>
      <c r="N42" s="45">
        <f t="shared" si="11"/>
        <v>15118.9</v>
      </c>
      <c r="O42" s="45">
        <f t="shared" si="11"/>
        <v>15118.9</v>
      </c>
      <c r="P42" s="45">
        <f t="shared" si="11"/>
        <v>15118.9</v>
      </c>
      <c r="Q42" s="45">
        <f t="shared" si="11"/>
        <v>13617.5</v>
      </c>
      <c r="R42" s="176">
        <f t="shared" si="11"/>
        <v>15118.9</v>
      </c>
      <c r="S42" s="45"/>
      <c r="T42" s="45"/>
    </row>
    <row r="43" spans="1:20" x14ac:dyDescent="0.25">
      <c r="A43" s="39"/>
      <c r="B43" s="36"/>
      <c r="C43" s="36"/>
      <c r="D43" s="36"/>
      <c r="E43" s="36"/>
      <c r="F43" s="36"/>
      <c r="G43" s="36"/>
      <c r="H43" s="36"/>
      <c r="I43" s="36"/>
      <c r="J43" s="36"/>
      <c r="K43" s="36"/>
      <c r="L43" s="36"/>
      <c r="M43" s="36"/>
      <c r="N43" s="36"/>
      <c r="O43" s="36"/>
      <c r="P43" s="36"/>
      <c r="Q43" s="36"/>
      <c r="R43" s="38"/>
      <c r="S43" s="36"/>
      <c r="T43" s="36"/>
    </row>
    <row r="44" spans="1:20" x14ac:dyDescent="0.25">
      <c r="A44" s="47" t="s">
        <v>121</v>
      </c>
      <c r="B44" s="36" t="s">
        <v>122</v>
      </c>
      <c r="C44" s="46">
        <f>SUMIF($B7:$B42,$B$12,C7:C42)</f>
        <v>4603729.9771200009</v>
      </c>
      <c r="D44" s="46">
        <f t="shared" ref="D44:R44" si="12">SUMIF($B7:$B42,$B$12,D7:D42)</f>
        <v>4629414.4977900004</v>
      </c>
      <c r="E44" s="46">
        <f t="shared" si="12"/>
        <v>4663166.4277349999</v>
      </c>
      <c r="F44" s="46">
        <f t="shared" si="12"/>
        <v>4666377.3182399999</v>
      </c>
      <c r="G44" s="46">
        <f t="shared" si="12"/>
        <v>4626331.6812900007</v>
      </c>
      <c r="H44" s="46">
        <f t="shared" si="12"/>
        <v>4642827.6233949997</v>
      </c>
      <c r="I44" s="46">
        <f t="shared" si="12"/>
        <v>4658600.8322649999</v>
      </c>
      <c r="J44" s="46">
        <f t="shared" si="12"/>
        <v>4660748.9433699995</v>
      </c>
      <c r="K44" s="46">
        <f t="shared" si="12"/>
        <v>4708440.0228549996</v>
      </c>
      <c r="L44" s="46">
        <f t="shared" si="12"/>
        <v>4676418.6411999995</v>
      </c>
      <c r="M44" s="46">
        <f t="shared" si="12"/>
        <v>4749546.4720350001</v>
      </c>
      <c r="N44" s="46">
        <f t="shared" si="12"/>
        <v>4659634.1856000004</v>
      </c>
      <c r="O44" s="46">
        <f t="shared" si="12"/>
        <v>4709334.9863400003</v>
      </c>
      <c r="P44" s="46">
        <f t="shared" si="12"/>
        <v>4780499.1923850002</v>
      </c>
      <c r="Q44" s="46">
        <f t="shared" si="12"/>
        <v>4759030.3943649996</v>
      </c>
      <c r="R44" s="177">
        <f t="shared" si="12"/>
        <v>4874541.8522849996</v>
      </c>
      <c r="S44" s="41"/>
      <c r="T44" s="41"/>
    </row>
    <row r="45" spans="1:20" x14ac:dyDescent="0.25">
      <c r="A45" s="39"/>
      <c r="B45" s="36"/>
      <c r="C45" s="36"/>
      <c r="D45" s="36"/>
      <c r="E45" s="36"/>
      <c r="F45" s="36"/>
      <c r="G45" s="36"/>
      <c r="H45" s="36"/>
      <c r="I45" s="36"/>
      <c r="J45" s="36"/>
      <c r="K45" s="36"/>
      <c r="L45" s="36"/>
      <c r="M45" s="36"/>
      <c r="N45" s="36"/>
      <c r="O45" s="36"/>
      <c r="P45" s="36"/>
      <c r="Q45" s="36"/>
      <c r="R45" s="38"/>
      <c r="S45" s="36"/>
      <c r="T45" s="36"/>
    </row>
    <row r="46" spans="1:20" x14ac:dyDescent="0.25">
      <c r="A46" s="39"/>
      <c r="B46" s="36" t="s">
        <v>123</v>
      </c>
      <c r="C46" s="45">
        <f t="shared" ref="C46:R46" si="13">2.25*$C$2</f>
        <v>1121825.25</v>
      </c>
      <c r="D46" s="45">
        <f t="shared" si="13"/>
        <v>1121825.25</v>
      </c>
      <c r="E46" s="45">
        <f t="shared" si="13"/>
        <v>1121825.25</v>
      </c>
      <c r="F46" s="45">
        <f t="shared" si="13"/>
        <v>1121825.25</v>
      </c>
      <c r="G46" s="45">
        <f t="shared" si="13"/>
        <v>1121825.25</v>
      </c>
      <c r="H46" s="45">
        <f t="shared" si="13"/>
        <v>1121825.25</v>
      </c>
      <c r="I46" s="45">
        <f t="shared" si="13"/>
        <v>1121825.25</v>
      </c>
      <c r="J46" s="45">
        <f t="shared" si="13"/>
        <v>1121825.25</v>
      </c>
      <c r="K46" s="45">
        <f t="shared" si="13"/>
        <v>1121825.25</v>
      </c>
      <c r="L46" s="45">
        <f t="shared" si="13"/>
        <v>1121825.25</v>
      </c>
      <c r="M46" s="45">
        <f t="shared" si="13"/>
        <v>1121825.25</v>
      </c>
      <c r="N46" s="45">
        <f t="shared" si="13"/>
        <v>1121825.25</v>
      </c>
      <c r="O46" s="45">
        <f t="shared" si="13"/>
        <v>1121825.25</v>
      </c>
      <c r="P46" s="45">
        <f t="shared" si="13"/>
        <v>1121825.25</v>
      </c>
      <c r="Q46" s="45">
        <f t="shared" si="13"/>
        <v>1121825.25</v>
      </c>
      <c r="R46" s="176">
        <f t="shared" si="13"/>
        <v>1121825.25</v>
      </c>
      <c r="S46" s="45"/>
      <c r="T46" s="45" t="s">
        <v>124</v>
      </c>
    </row>
    <row r="47" spans="1:20" x14ac:dyDescent="0.25">
      <c r="A47" s="39"/>
      <c r="B47" s="36" t="s">
        <v>125</v>
      </c>
      <c r="C47" s="45">
        <f>100*160</f>
        <v>16000</v>
      </c>
      <c r="D47" s="45">
        <f t="shared" ref="D47:R47" si="14">100*160</f>
        <v>16000</v>
      </c>
      <c r="E47" s="45">
        <f t="shared" si="14"/>
        <v>16000</v>
      </c>
      <c r="F47" s="45">
        <f t="shared" si="14"/>
        <v>16000</v>
      </c>
      <c r="G47" s="45">
        <f t="shared" si="14"/>
        <v>16000</v>
      </c>
      <c r="H47" s="45">
        <f t="shared" si="14"/>
        <v>16000</v>
      </c>
      <c r="I47" s="45">
        <f t="shared" si="14"/>
        <v>16000</v>
      </c>
      <c r="J47" s="45">
        <f t="shared" si="14"/>
        <v>16000</v>
      </c>
      <c r="K47" s="45">
        <f t="shared" si="14"/>
        <v>16000</v>
      </c>
      <c r="L47" s="45">
        <f t="shared" si="14"/>
        <v>16000</v>
      </c>
      <c r="M47" s="45">
        <f t="shared" si="14"/>
        <v>16000</v>
      </c>
      <c r="N47" s="45">
        <f t="shared" si="14"/>
        <v>16000</v>
      </c>
      <c r="O47" s="45">
        <f t="shared" si="14"/>
        <v>16000</v>
      </c>
      <c r="P47" s="45">
        <f t="shared" si="14"/>
        <v>16000</v>
      </c>
      <c r="Q47" s="45">
        <f t="shared" si="14"/>
        <v>16000</v>
      </c>
      <c r="R47" s="176">
        <f t="shared" si="14"/>
        <v>16000</v>
      </c>
      <c r="S47" s="45"/>
      <c r="T47" s="45" t="s">
        <v>126</v>
      </c>
    </row>
    <row r="48" spans="1:20" x14ac:dyDescent="0.25">
      <c r="A48" s="39"/>
      <c r="B48" s="36" t="s">
        <v>94</v>
      </c>
      <c r="C48" s="45">
        <f>C46+C47</f>
        <v>1137825.25</v>
      </c>
      <c r="D48" s="45">
        <f t="shared" ref="D48:R48" si="15">D46+D47</f>
        <v>1137825.25</v>
      </c>
      <c r="E48" s="45">
        <f t="shared" si="15"/>
        <v>1137825.25</v>
      </c>
      <c r="F48" s="45">
        <f t="shared" si="15"/>
        <v>1137825.25</v>
      </c>
      <c r="G48" s="45">
        <f t="shared" si="15"/>
        <v>1137825.25</v>
      </c>
      <c r="H48" s="45">
        <f t="shared" si="15"/>
        <v>1137825.25</v>
      </c>
      <c r="I48" s="45">
        <f t="shared" si="15"/>
        <v>1137825.25</v>
      </c>
      <c r="J48" s="45">
        <f t="shared" si="15"/>
        <v>1137825.25</v>
      </c>
      <c r="K48" s="45">
        <f t="shared" si="15"/>
        <v>1137825.25</v>
      </c>
      <c r="L48" s="45">
        <f t="shared" si="15"/>
        <v>1137825.25</v>
      </c>
      <c r="M48" s="45">
        <f t="shared" si="15"/>
        <v>1137825.25</v>
      </c>
      <c r="N48" s="45">
        <f t="shared" si="15"/>
        <v>1137825.25</v>
      </c>
      <c r="O48" s="45">
        <f t="shared" si="15"/>
        <v>1137825.25</v>
      </c>
      <c r="P48" s="45">
        <f t="shared" si="15"/>
        <v>1137825.25</v>
      </c>
      <c r="Q48" s="45">
        <f t="shared" si="15"/>
        <v>1137825.25</v>
      </c>
      <c r="R48" s="176">
        <f t="shared" si="15"/>
        <v>1137825.25</v>
      </c>
      <c r="S48" s="45"/>
      <c r="T48" s="45"/>
    </row>
    <row r="49" spans="1:20" x14ac:dyDescent="0.25">
      <c r="A49" s="39"/>
      <c r="B49" s="36"/>
      <c r="C49" s="36"/>
      <c r="D49" s="36"/>
      <c r="E49" s="36"/>
      <c r="F49" s="36"/>
      <c r="G49" s="36"/>
      <c r="H49" s="36"/>
      <c r="I49" s="36"/>
      <c r="J49" s="36"/>
      <c r="K49" s="36"/>
      <c r="L49" s="36"/>
      <c r="M49" s="36"/>
      <c r="N49" s="36"/>
      <c r="O49" s="36"/>
      <c r="P49" s="36"/>
      <c r="Q49" s="36"/>
      <c r="R49" s="38"/>
      <c r="S49" s="36"/>
      <c r="T49" s="36"/>
    </row>
    <row r="50" spans="1:20" x14ac:dyDescent="0.25">
      <c r="A50" s="47" t="s">
        <v>127</v>
      </c>
      <c r="B50" s="36" t="s">
        <v>128</v>
      </c>
      <c r="C50" s="46">
        <f>SUMIF($B7:$B48,$B$12,C7:C48)</f>
        <v>5741555.2271200009</v>
      </c>
      <c r="D50" s="46">
        <f t="shared" ref="D50:R50" si="16">SUMIF($B7:$B48,$B$12,D7:D48)</f>
        <v>5767239.7477900004</v>
      </c>
      <c r="E50" s="46">
        <f t="shared" si="16"/>
        <v>5800991.6777349999</v>
      </c>
      <c r="F50" s="46">
        <f t="shared" si="16"/>
        <v>5804202.5682399999</v>
      </c>
      <c r="G50" s="46">
        <f t="shared" si="16"/>
        <v>5764156.9312900007</v>
      </c>
      <c r="H50" s="46">
        <f t="shared" si="16"/>
        <v>5780652.8733949997</v>
      </c>
      <c r="I50" s="46">
        <f t="shared" si="16"/>
        <v>5796426.0822649999</v>
      </c>
      <c r="J50" s="46">
        <f t="shared" si="16"/>
        <v>5798574.1933699995</v>
      </c>
      <c r="K50" s="46">
        <f t="shared" si="16"/>
        <v>5846265.2728549996</v>
      </c>
      <c r="L50" s="46">
        <f t="shared" si="16"/>
        <v>5814243.8911999995</v>
      </c>
      <c r="M50" s="46">
        <f t="shared" si="16"/>
        <v>5887371.7220350001</v>
      </c>
      <c r="N50" s="46">
        <f t="shared" si="16"/>
        <v>5797459.4356000004</v>
      </c>
      <c r="O50" s="46">
        <f t="shared" si="16"/>
        <v>5847160.2363400003</v>
      </c>
      <c r="P50" s="46">
        <f t="shared" si="16"/>
        <v>5918324.4423850002</v>
      </c>
      <c r="Q50" s="46">
        <f t="shared" si="16"/>
        <v>5896855.6443649996</v>
      </c>
      <c r="R50" s="177">
        <f t="shared" si="16"/>
        <v>6012367.1022849996</v>
      </c>
      <c r="S50" s="41"/>
      <c r="T50" s="41"/>
    </row>
    <row r="51" spans="1:20" x14ac:dyDescent="0.25">
      <c r="A51" s="178"/>
      <c r="B51" s="179"/>
      <c r="C51" s="180"/>
      <c r="D51" s="180"/>
      <c r="E51" s="180"/>
      <c r="F51" s="180"/>
      <c r="G51" s="180"/>
      <c r="H51" s="180"/>
      <c r="I51" s="180"/>
      <c r="J51" s="180"/>
      <c r="K51" s="180"/>
      <c r="L51" s="180"/>
      <c r="M51" s="180"/>
      <c r="N51" s="180"/>
      <c r="O51" s="180"/>
      <c r="P51" s="180"/>
      <c r="Q51" s="180"/>
      <c r="R51" s="181"/>
      <c r="S51" s="41"/>
      <c r="T51" s="41"/>
    </row>
    <row r="52" spans="1:20" x14ac:dyDescent="0.25">
      <c r="A52" s="53"/>
      <c r="C52" s="5"/>
      <c r="D52" s="5"/>
      <c r="E52" s="5"/>
      <c r="F52" s="5"/>
      <c r="G52" s="5"/>
      <c r="H52" s="5"/>
      <c r="I52" s="5"/>
      <c r="J52" s="5"/>
      <c r="K52" s="5"/>
      <c r="L52" s="5"/>
      <c r="M52" s="5"/>
      <c r="N52" s="5"/>
      <c r="O52" s="5"/>
      <c r="P52" s="5"/>
      <c r="Q52" s="5"/>
      <c r="R52" s="5"/>
      <c r="S52" s="5"/>
      <c r="T52" s="5"/>
    </row>
    <row r="53" spans="1:20" x14ac:dyDescent="0.25">
      <c r="A53" s="53"/>
      <c r="C53" s="5"/>
      <c r="D53" s="5"/>
      <c r="E53" s="5"/>
      <c r="F53" s="5"/>
      <c r="G53" s="5"/>
      <c r="H53" s="5"/>
      <c r="I53" s="5"/>
      <c r="J53" s="5"/>
      <c r="K53" s="5"/>
      <c r="L53" s="5"/>
      <c r="M53" s="5"/>
      <c r="N53" s="5"/>
      <c r="O53" s="5"/>
      <c r="P53" s="5"/>
      <c r="Q53" s="5"/>
      <c r="R53" s="5"/>
      <c r="S53" s="5"/>
      <c r="T53" s="5"/>
    </row>
    <row r="54" spans="1:20" ht="21" x14ac:dyDescent="0.35">
      <c r="A54" s="13"/>
      <c r="B54" s="14" t="s">
        <v>129</v>
      </c>
      <c r="C54" s="15"/>
      <c r="D54" s="15"/>
      <c r="E54" s="15"/>
      <c r="F54" s="15"/>
      <c r="G54" s="15"/>
      <c r="H54" s="15"/>
      <c r="I54" s="15"/>
      <c r="J54" s="15"/>
      <c r="K54" s="15"/>
      <c r="L54" s="15"/>
      <c r="M54" s="15"/>
      <c r="N54" s="15"/>
      <c r="O54" s="15"/>
      <c r="P54" s="15"/>
      <c r="Q54" s="15"/>
      <c r="R54" s="16"/>
      <c r="S54" s="18"/>
      <c r="T54" s="18"/>
    </row>
    <row r="55" spans="1:20" x14ac:dyDescent="0.25">
      <c r="A55" s="17"/>
      <c r="B55" s="18"/>
      <c r="C55" s="18" t="s">
        <v>49</v>
      </c>
      <c r="D55" s="18" t="s">
        <v>50</v>
      </c>
      <c r="E55" s="18" t="s">
        <v>51</v>
      </c>
      <c r="F55" s="18" t="s">
        <v>52</v>
      </c>
      <c r="G55" s="18" t="s">
        <v>53</v>
      </c>
      <c r="H55" s="18" t="s">
        <v>54</v>
      </c>
      <c r="I55" s="18" t="s">
        <v>55</v>
      </c>
      <c r="J55" s="18" t="s">
        <v>56</v>
      </c>
      <c r="K55" s="18" t="s">
        <v>57</v>
      </c>
      <c r="L55" s="18" t="s">
        <v>58</v>
      </c>
      <c r="M55" s="18" t="s">
        <v>59</v>
      </c>
      <c r="N55" s="18" t="s">
        <v>60</v>
      </c>
      <c r="O55" s="18" t="s">
        <v>61</v>
      </c>
      <c r="P55" s="18" t="s">
        <v>62</v>
      </c>
      <c r="Q55" s="18" t="s">
        <v>63</v>
      </c>
      <c r="R55" s="19" t="s">
        <v>64</v>
      </c>
      <c r="S55" s="18"/>
      <c r="T55" s="18"/>
    </row>
    <row r="56" spans="1:20" x14ac:dyDescent="0.25">
      <c r="A56" s="35" t="s">
        <v>30</v>
      </c>
      <c r="B56" s="18" t="s">
        <v>86</v>
      </c>
      <c r="C56" s="18">
        <f t="shared" ref="C56:R56" si="17">C234</f>
        <v>200</v>
      </c>
      <c r="D56" s="18">
        <f t="shared" si="17"/>
        <v>190</v>
      </c>
      <c r="E56" s="18">
        <f t="shared" si="17"/>
        <v>170</v>
      </c>
      <c r="F56" s="18">
        <f t="shared" si="17"/>
        <v>200</v>
      </c>
      <c r="G56" s="18">
        <f t="shared" si="17"/>
        <v>180</v>
      </c>
      <c r="H56" s="18">
        <f t="shared" si="17"/>
        <v>130</v>
      </c>
      <c r="I56" s="18">
        <f t="shared" si="17"/>
        <v>120</v>
      </c>
      <c r="J56" s="18">
        <f t="shared" si="17"/>
        <v>130</v>
      </c>
      <c r="K56" s="18">
        <f t="shared" si="17"/>
        <v>140</v>
      </c>
      <c r="L56" s="18">
        <f t="shared" si="17"/>
        <v>150</v>
      </c>
      <c r="M56" s="18">
        <f t="shared" si="17"/>
        <v>200</v>
      </c>
      <c r="N56" s="18">
        <f t="shared" si="17"/>
        <v>190</v>
      </c>
      <c r="O56" s="18">
        <f t="shared" si="17"/>
        <v>170</v>
      </c>
      <c r="P56" s="18">
        <f t="shared" si="17"/>
        <v>180</v>
      </c>
      <c r="Q56" s="18">
        <f t="shared" si="17"/>
        <v>130</v>
      </c>
      <c r="R56" s="19">
        <f t="shared" si="17"/>
        <v>200</v>
      </c>
      <c r="S56" s="18" t="s">
        <v>130</v>
      </c>
      <c r="T56" s="18" t="s">
        <v>131</v>
      </c>
    </row>
    <row r="57" spans="1:20" x14ac:dyDescent="0.25">
      <c r="A57" s="17"/>
      <c r="B57" s="18" t="s">
        <v>89</v>
      </c>
      <c r="C57" s="18">
        <v>1</v>
      </c>
      <c r="D57" s="18">
        <v>1</v>
      </c>
      <c r="E57" s="18">
        <v>1</v>
      </c>
      <c r="F57" s="18">
        <v>1</v>
      </c>
      <c r="G57" s="18">
        <v>1</v>
      </c>
      <c r="H57" s="18">
        <v>1</v>
      </c>
      <c r="I57" s="18">
        <v>1</v>
      </c>
      <c r="J57" s="18">
        <v>1</v>
      </c>
      <c r="K57" s="18">
        <v>1</v>
      </c>
      <c r="L57" s="18">
        <v>1</v>
      </c>
      <c r="M57" s="18">
        <v>1</v>
      </c>
      <c r="N57" s="18">
        <v>1</v>
      </c>
      <c r="O57" s="18">
        <v>1</v>
      </c>
      <c r="P57" s="18">
        <v>1</v>
      </c>
      <c r="Q57" s="18">
        <v>1</v>
      </c>
      <c r="R57" s="19">
        <v>1</v>
      </c>
      <c r="S57" s="18"/>
      <c r="T57" s="18"/>
    </row>
    <row r="58" spans="1:20" x14ac:dyDescent="0.25">
      <c r="A58" s="17"/>
      <c r="B58" s="18" t="s">
        <v>101</v>
      </c>
      <c r="C58" s="20">
        <v>1280</v>
      </c>
      <c r="D58" s="20">
        <v>1280</v>
      </c>
      <c r="E58" s="20">
        <v>1280</v>
      </c>
      <c r="F58" s="20">
        <v>1280</v>
      </c>
      <c r="G58" s="20">
        <v>1280</v>
      </c>
      <c r="H58" s="20">
        <v>1280</v>
      </c>
      <c r="I58" s="20">
        <v>1280</v>
      </c>
      <c r="J58" s="20">
        <v>1280</v>
      </c>
      <c r="K58" s="20">
        <v>1280</v>
      </c>
      <c r="L58" s="20">
        <v>1280</v>
      </c>
      <c r="M58" s="20">
        <v>1280</v>
      </c>
      <c r="N58" s="20">
        <v>1280</v>
      </c>
      <c r="O58" s="20">
        <v>1280</v>
      </c>
      <c r="P58" s="20">
        <v>1280</v>
      </c>
      <c r="Q58" s="20">
        <v>1280</v>
      </c>
      <c r="R58" s="21">
        <v>1280</v>
      </c>
      <c r="S58" s="20" t="s">
        <v>132</v>
      </c>
      <c r="T58" s="20" t="s">
        <v>133</v>
      </c>
    </row>
    <row r="59" spans="1:20" x14ac:dyDescent="0.25">
      <c r="A59" s="17"/>
      <c r="B59" s="18" t="s">
        <v>90</v>
      </c>
      <c r="C59" s="20">
        <f>PRODUCT(C56:C58)</f>
        <v>256000</v>
      </c>
      <c r="D59" s="20">
        <f t="shared" ref="D59:R59" si="18">PRODUCT(D56:D58)</f>
        <v>243200</v>
      </c>
      <c r="E59" s="20">
        <f t="shared" si="18"/>
        <v>217600</v>
      </c>
      <c r="F59" s="20">
        <f t="shared" si="18"/>
        <v>256000</v>
      </c>
      <c r="G59" s="20">
        <f t="shared" si="18"/>
        <v>230400</v>
      </c>
      <c r="H59" s="20">
        <f t="shared" si="18"/>
        <v>166400</v>
      </c>
      <c r="I59" s="20">
        <f t="shared" si="18"/>
        <v>153600</v>
      </c>
      <c r="J59" s="20">
        <f t="shared" si="18"/>
        <v>166400</v>
      </c>
      <c r="K59" s="20">
        <f t="shared" si="18"/>
        <v>179200</v>
      </c>
      <c r="L59" s="20">
        <f t="shared" si="18"/>
        <v>192000</v>
      </c>
      <c r="M59" s="20">
        <f t="shared" si="18"/>
        <v>256000</v>
      </c>
      <c r="N59" s="20">
        <f t="shared" si="18"/>
        <v>243200</v>
      </c>
      <c r="O59" s="20">
        <f t="shared" si="18"/>
        <v>217600</v>
      </c>
      <c r="P59" s="20">
        <f t="shared" si="18"/>
        <v>230400</v>
      </c>
      <c r="Q59" s="20">
        <f t="shared" si="18"/>
        <v>166400</v>
      </c>
      <c r="R59" s="21">
        <f t="shared" si="18"/>
        <v>256000</v>
      </c>
      <c r="S59" s="18"/>
      <c r="T59" s="18" t="s">
        <v>134</v>
      </c>
    </row>
    <row r="60" spans="1:20" x14ac:dyDescent="0.25">
      <c r="A60" s="17"/>
      <c r="B60" s="18" t="s">
        <v>92</v>
      </c>
      <c r="C60" s="22">
        <v>10560</v>
      </c>
      <c r="D60" s="22">
        <v>10560</v>
      </c>
      <c r="E60" s="22">
        <v>10560</v>
      </c>
      <c r="F60" s="22">
        <v>10560</v>
      </c>
      <c r="G60" s="22">
        <v>10560</v>
      </c>
      <c r="H60" s="22">
        <v>10560</v>
      </c>
      <c r="I60" s="22">
        <v>10560</v>
      </c>
      <c r="J60" s="22">
        <v>10560</v>
      </c>
      <c r="K60" s="22">
        <v>10560</v>
      </c>
      <c r="L60" s="22">
        <v>10560</v>
      </c>
      <c r="M60" s="22">
        <v>10560</v>
      </c>
      <c r="N60" s="22">
        <v>10560</v>
      </c>
      <c r="O60" s="22">
        <v>10560</v>
      </c>
      <c r="P60" s="22">
        <v>10560</v>
      </c>
      <c r="Q60" s="22">
        <v>10560</v>
      </c>
      <c r="R60" s="23">
        <v>10560</v>
      </c>
      <c r="S60" s="22"/>
      <c r="T60" s="22" t="s">
        <v>135</v>
      </c>
    </row>
    <row r="61" spans="1:20" x14ac:dyDescent="0.25">
      <c r="A61" s="17"/>
      <c r="B61" s="18" t="s">
        <v>93</v>
      </c>
      <c r="C61" s="24">
        <v>0.15</v>
      </c>
      <c r="D61" s="24">
        <v>0.15</v>
      </c>
      <c r="E61" s="24">
        <v>0.15</v>
      </c>
      <c r="F61" s="24">
        <v>0.15</v>
      </c>
      <c r="G61" s="24">
        <v>0.15</v>
      </c>
      <c r="H61" s="24">
        <v>0.15</v>
      </c>
      <c r="I61" s="24">
        <v>0.15</v>
      </c>
      <c r="J61" s="24">
        <v>0.15</v>
      </c>
      <c r="K61" s="24">
        <v>0.15</v>
      </c>
      <c r="L61" s="24">
        <v>0.15</v>
      </c>
      <c r="M61" s="24">
        <v>0.15</v>
      </c>
      <c r="N61" s="24">
        <v>0.15</v>
      </c>
      <c r="O61" s="24">
        <v>0.15</v>
      </c>
      <c r="P61" s="24">
        <v>0.15</v>
      </c>
      <c r="Q61" s="24">
        <v>0.15</v>
      </c>
      <c r="R61" s="25">
        <v>0.15</v>
      </c>
      <c r="S61" s="24"/>
      <c r="T61" s="24"/>
    </row>
    <row r="62" spans="1:20" x14ac:dyDescent="0.25">
      <c r="A62" s="17"/>
      <c r="B62" s="18" t="s">
        <v>94</v>
      </c>
      <c r="C62" s="22">
        <f>(C59+C60)*(1+C61)</f>
        <v>306544</v>
      </c>
      <c r="D62" s="22">
        <f t="shared" ref="D62:R62" si="19">(D59+D60)*(1+D61)</f>
        <v>291824</v>
      </c>
      <c r="E62" s="22">
        <f t="shared" si="19"/>
        <v>262384</v>
      </c>
      <c r="F62" s="22">
        <f t="shared" si="19"/>
        <v>306544</v>
      </c>
      <c r="G62" s="22">
        <f t="shared" si="19"/>
        <v>277104</v>
      </c>
      <c r="H62" s="22">
        <f t="shared" si="19"/>
        <v>203503.99999999997</v>
      </c>
      <c r="I62" s="22">
        <f t="shared" si="19"/>
        <v>188783.99999999997</v>
      </c>
      <c r="J62" s="22">
        <f t="shared" si="19"/>
        <v>203503.99999999997</v>
      </c>
      <c r="K62" s="22">
        <f t="shared" si="19"/>
        <v>218223.99999999997</v>
      </c>
      <c r="L62" s="22">
        <f t="shared" si="19"/>
        <v>232943.99999999997</v>
      </c>
      <c r="M62" s="22">
        <f t="shared" si="19"/>
        <v>306544</v>
      </c>
      <c r="N62" s="22">
        <f t="shared" si="19"/>
        <v>291824</v>
      </c>
      <c r="O62" s="22">
        <f t="shared" si="19"/>
        <v>262384</v>
      </c>
      <c r="P62" s="22">
        <f t="shared" si="19"/>
        <v>277104</v>
      </c>
      <c r="Q62" s="22">
        <f t="shared" si="19"/>
        <v>203503.99999999997</v>
      </c>
      <c r="R62" s="23">
        <f t="shared" si="19"/>
        <v>306544</v>
      </c>
      <c r="S62" s="22"/>
      <c r="T62" s="22"/>
    </row>
    <row r="63" spans="1:20" x14ac:dyDescent="0.25">
      <c r="A63" s="17"/>
      <c r="B63" s="18"/>
      <c r="C63" s="18"/>
      <c r="D63" s="18"/>
      <c r="E63" s="18"/>
      <c r="F63" s="18"/>
      <c r="G63" s="18"/>
      <c r="H63" s="18"/>
      <c r="I63" s="18"/>
      <c r="J63" s="18"/>
      <c r="K63" s="18"/>
      <c r="L63" s="18"/>
      <c r="M63" s="18"/>
      <c r="N63" s="18"/>
      <c r="O63" s="18"/>
      <c r="P63" s="18"/>
      <c r="Q63" s="18"/>
      <c r="R63" s="19"/>
      <c r="S63" s="18"/>
      <c r="T63" s="18"/>
    </row>
    <row r="64" spans="1:20" x14ac:dyDescent="0.25">
      <c r="A64" s="35" t="s">
        <v>34</v>
      </c>
      <c r="B64" s="18" t="s">
        <v>86</v>
      </c>
      <c r="C64" s="18"/>
      <c r="D64" s="18"/>
      <c r="E64" s="18"/>
      <c r="F64" s="18"/>
      <c r="G64" s="18"/>
      <c r="H64" s="18"/>
      <c r="I64" s="18"/>
      <c r="J64" s="18"/>
      <c r="K64" s="18"/>
      <c r="L64" s="18"/>
      <c r="M64" s="18"/>
      <c r="N64" s="18"/>
      <c r="O64" s="18"/>
      <c r="P64" s="18"/>
      <c r="Q64" s="18"/>
      <c r="R64" s="19"/>
      <c r="S64" s="18"/>
      <c r="T64" s="18" t="s">
        <v>136</v>
      </c>
    </row>
    <row r="65" spans="1:20" x14ac:dyDescent="0.25">
      <c r="A65" s="35" t="s">
        <v>137</v>
      </c>
      <c r="B65" s="18" t="s">
        <v>98</v>
      </c>
      <c r="C65" s="18">
        <v>74788</v>
      </c>
      <c r="D65" s="18">
        <v>74788</v>
      </c>
      <c r="E65" s="18">
        <v>74788</v>
      </c>
      <c r="F65" s="18">
        <v>74788</v>
      </c>
      <c r="G65" s="18">
        <v>74788</v>
      </c>
      <c r="H65" s="18">
        <v>74788</v>
      </c>
      <c r="I65" s="18">
        <v>74788</v>
      </c>
      <c r="J65" s="18">
        <v>74788</v>
      </c>
      <c r="K65" s="18">
        <v>74788</v>
      </c>
      <c r="L65" s="18">
        <v>74788</v>
      </c>
      <c r="M65" s="18">
        <v>74788</v>
      </c>
      <c r="N65" s="18">
        <v>74788</v>
      </c>
      <c r="O65" s="18">
        <v>74788</v>
      </c>
      <c r="P65" s="18">
        <v>74788</v>
      </c>
      <c r="Q65" s="18">
        <v>74788</v>
      </c>
      <c r="R65" s="19">
        <v>74788</v>
      </c>
      <c r="S65" s="18" t="s">
        <v>99</v>
      </c>
      <c r="T65" s="18" t="s">
        <v>138</v>
      </c>
    </row>
    <row r="66" spans="1:20" x14ac:dyDescent="0.25">
      <c r="A66" s="17"/>
      <c r="B66" s="18" t="s">
        <v>101</v>
      </c>
      <c r="C66" s="73">
        <v>10</v>
      </c>
      <c r="D66" s="73">
        <v>10</v>
      </c>
      <c r="E66" s="73">
        <v>10</v>
      </c>
      <c r="F66" s="73">
        <v>10</v>
      </c>
      <c r="G66" s="73">
        <v>10</v>
      </c>
      <c r="H66" s="73">
        <v>10</v>
      </c>
      <c r="I66" s="73">
        <v>10</v>
      </c>
      <c r="J66" s="73">
        <v>10</v>
      </c>
      <c r="K66" s="73">
        <v>10</v>
      </c>
      <c r="L66" s="73">
        <v>10</v>
      </c>
      <c r="M66" s="73">
        <v>10</v>
      </c>
      <c r="N66" s="73">
        <v>10</v>
      </c>
      <c r="O66" s="73">
        <v>10</v>
      </c>
      <c r="P66" s="73">
        <v>10</v>
      </c>
      <c r="Q66" s="73">
        <v>10</v>
      </c>
      <c r="R66" s="182">
        <v>10</v>
      </c>
      <c r="S66" s="22" t="s">
        <v>139</v>
      </c>
      <c r="T66" s="20" t="s">
        <v>140</v>
      </c>
    </row>
    <row r="67" spans="1:20" x14ac:dyDescent="0.25">
      <c r="A67" s="17"/>
      <c r="B67" s="18" t="s">
        <v>90</v>
      </c>
      <c r="C67" s="20">
        <f>C65*C66</f>
        <v>747880</v>
      </c>
      <c r="D67" s="20">
        <f t="shared" ref="D67:R67" si="20">D65*D66</f>
        <v>747880</v>
      </c>
      <c r="E67" s="20">
        <f t="shared" si="20"/>
        <v>747880</v>
      </c>
      <c r="F67" s="20">
        <f t="shared" si="20"/>
        <v>747880</v>
      </c>
      <c r="G67" s="20">
        <f t="shared" si="20"/>
        <v>747880</v>
      </c>
      <c r="H67" s="20">
        <f t="shared" si="20"/>
        <v>747880</v>
      </c>
      <c r="I67" s="20">
        <f t="shared" si="20"/>
        <v>747880</v>
      </c>
      <c r="J67" s="20">
        <f t="shared" si="20"/>
        <v>747880</v>
      </c>
      <c r="K67" s="20">
        <f t="shared" si="20"/>
        <v>747880</v>
      </c>
      <c r="L67" s="20">
        <f t="shared" si="20"/>
        <v>747880</v>
      </c>
      <c r="M67" s="20">
        <f t="shared" si="20"/>
        <v>747880</v>
      </c>
      <c r="N67" s="20">
        <f t="shared" si="20"/>
        <v>747880</v>
      </c>
      <c r="O67" s="20">
        <f t="shared" si="20"/>
        <v>747880</v>
      </c>
      <c r="P67" s="20">
        <f t="shared" si="20"/>
        <v>747880</v>
      </c>
      <c r="Q67" s="20">
        <f t="shared" si="20"/>
        <v>747880</v>
      </c>
      <c r="R67" s="21">
        <f t="shared" si="20"/>
        <v>747880</v>
      </c>
      <c r="S67" s="18"/>
      <c r="T67" s="18"/>
    </row>
    <row r="68" spans="1:20" x14ac:dyDescent="0.25">
      <c r="A68" s="17"/>
      <c r="B68" s="18" t="s">
        <v>92</v>
      </c>
      <c r="C68" s="18">
        <v>0</v>
      </c>
      <c r="D68" s="18">
        <v>0</v>
      </c>
      <c r="E68" s="18">
        <v>0</v>
      </c>
      <c r="F68" s="18">
        <v>0</v>
      </c>
      <c r="G68" s="18">
        <v>0</v>
      </c>
      <c r="H68" s="18">
        <v>0</v>
      </c>
      <c r="I68" s="18">
        <v>0</v>
      </c>
      <c r="J68" s="18">
        <v>0</v>
      </c>
      <c r="K68" s="18">
        <v>0</v>
      </c>
      <c r="L68" s="18">
        <v>0</v>
      </c>
      <c r="M68" s="18">
        <v>0</v>
      </c>
      <c r="N68" s="18">
        <v>0</v>
      </c>
      <c r="O68" s="18">
        <v>0</v>
      </c>
      <c r="P68" s="18">
        <v>0</v>
      </c>
      <c r="Q68" s="18">
        <v>0</v>
      </c>
      <c r="R68" s="19">
        <v>0</v>
      </c>
      <c r="S68" s="18"/>
      <c r="T68" s="18"/>
    </row>
    <row r="69" spans="1:20" x14ac:dyDescent="0.25">
      <c r="A69" s="17"/>
      <c r="B69" s="18" t="s">
        <v>93</v>
      </c>
      <c r="C69" s="24">
        <v>0.15</v>
      </c>
      <c r="D69" s="24">
        <v>0.15</v>
      </c>
      <c r="E69" s="24">
        <v>0.15</v>
      </c>
      <c r="F69" s="24">
        <v>0.15</v>
      </c>
      <c r="G69" s="24">
        <v>0.15</v>
      </c>
      <c r="H69" s="24">
        <v>0.15</v>
      </c>
      <c r="I69" s="24">
        <v>0.15</v>
      </c>
      <c r="J69" s="24">
        <v>0.15</v>
      </c>
      <c r="K69" s="24">
        <v>0.15</v>
      </c>
      <c r="L69" s="24">
        <v>0.15</v>
      </c>
      <c r="M69" s="24">
        <v>0.15</v>
      </c>
      <c r="N69" s="24">
        <v>0.15</v>
      </c>
      <c r="O69" s="24">
        <v>0.15</v>
      </c>
      <c r="P69" s="24">
        <v>0.15</v>
      </c>
      <c r="Q69" s="24">
        <v>0.15</v>
      </c>
      <c r="R69" s="25">
        <v>0.15</v>
      </c>
      <c r="S69" s="24"/>
      <c r="T69" s="24"/>
    </row>
    <row r="70" spans="1:20" x14ac:dyDescent="0.25">
      <c r="A70" s="17"/>
      <c r="B70" s="18" t="s">
        <v>94</v>
      </c>
      <c r="C70" s="22">
        <f>(C67+C68)*(1+C69)</f>
        <v>860061.99999999988</v>
      </c>
      <c r="D70" s="22">
        <f t="shared" ref="D70:R70" si="21">(D67+D68)*(1+D69)</f>
        <v>860061.99999999988</v>
      </c>
      <c r="E70" s="22">
        <f t="shared" si="21"/>
        <v>860061.99999999988</v>
      </c>
      <c r="F70" s="22">
        <f t="shared" si="21"/>
        <v>860061.99999999988</v>
      </c>
      <c r="G70" s="22">
        <f t="shared" si="21"/>
        <v>860061.99999999988</v>
      </c>
      <c r="H70" s="22">
        <f t="shared" si="21"/>
        <v>860061.99999999988</v>
      </c>
      <c r="I70" s="22">
        <f t="shared" si="21"/>
        <v>860061.99999999988</v>
      </c>
      <c r="J70" s="22">
        <f t="shared" si="21"/>
        <v>860061.99999999988</v>
      </c>
      <c r="K70" s="22">
        <f t="shared" si="21"/>
        <v>860061.99999999988</v>
      </c>
      <c r="L70" s="22">
        <f t="shared" si="21"/>
        <v>860061.99999999988</v>
      </c>
      <c r="M70" s="22">
        <f t="shared" si="21"/>
        <v>860061.99999999988</v>
      </c>
      <c r="N70" s="22">
        <f t="shared" si="21"/>
        <v>860061.99999999988</v>
      </c>
      <c r="O70" s="22">
        <f t="shared" si="21"/>
        <v>860061.99999999988</v>
      </c>
      <c r="P70" s="22">
        <f t="shared" si="21"/>
        <v>860061.99999999988</v>
      </c>
      <c r="Q70" s="22">
        <f t="shared" si="21"/>
        <v>860061.99999999988</v>
      </c>
      <c r="R70" s="23">
        <f t="shared" si="21"/>
        <v>860061.99999999988</v>
      </c>
      <c r="S70" s="22"/>
      <c r="T70" s="22"/>
    </row>
    <row r="71" spans="1:20" x14ac:dyDescent="0.25">
      <c r="A71" s="17"/>
      <c r="B71" s="18"/>
      <c r="C71" s="22"/>
      <c r="D71" s="22"/>
      <c r="E71" s="22"/>
      <c r="F71" s="22"/>
      <c r="G71" s="22"/>
      <c r="H71" s="22"/>
      <c r="I71" s="22"/>
      <c r="J71" s="22"/>
      <c r="K71" s="22"/>
      <c r="L71" s="22"/>
      <c r="M71" s="22"/>
      <c r="N71" s="22"/>
      <c r="O71" s="22"/>
      <c r="P71" s="22"/>
      <c r="Q71" s="22"/>
      <c r="R71" s="23"/>
      <c r="S71" s="22"/>
      <c r="T71" s="18"/>
    </row>
    <row r="72" spans="1:20" x14ac:dyDescent="0.25">
      <c r="A72" s="35" t="s">
        <v>141</v>
      </c>
      <c r="B72" s="18" t="s">
        <v>86</v>
      </c>
      <c r="C72" s="18"/>
      <c r="D72" s="18"/>
      <c r="E72" s="18"/>
      <c r="F72" s="18"/>
      <c r="G72" s="18"/>
      <c r="H72" s="18"/>
      <c r="I72" s="18"/>
      <c r="J72" s="18"/>
      <c r="K72" s="18"/>
      <c r="L72" s="18"/>
      <c r="M72" s="18"/>
      <c r="N72" s="18"/>
      <c r="O72" s="18"/>
      <c r="P72" s="18"/>
      <c r="Q72" s="18"/>
      <c r="R72" s="19"/>
      <c r="S72" s="18"/>
      <c r="T72" s="18"/>
    </row>
    <row r="73" spans="1:20" x14ac:dyDescent="0.25">
      <c r="A73" s="17"/>
      <c r="B73" s="18" t="s">
        <v>104</v>
      </c>
      <c r="C73" s="18">
        <v>8600</v>
      </c>
      <c r="D73" s="18">
        <v>8600</v>
      </c>
      <c r="E73" s="18">
        <v>8600</v>
      </c>
      <c r="F73" s="18">
        <v>8600</v>
      </c>
      <c r="G73" s="18">
        <v>8600</v>
      </c>
      <c r="H73" s="18">
        <v>8600</v>
      </c>
      <c r="I73" s="18">
        <v>8600</v>
      </c>
      <c r="J73" s="18">
        <v>8600</v>
      </c>
      <c r="K73" s="18">
        <v>8600</v>
      </c>
      <c r="L73" s="18">
        <v>8600</v>
      </c>
      <c r="M73" s="18">
        <v>8600</v>
      </c>
      <c r="N73" s="18">
        <v>8600</v>
      </c>
      <c r="O73" s="18">
        <v>8600</v>
      </c>
      <c r="P73" s="18">
        <v>8600</v>
      </c>
      <c r="Q73" s="18">
        <v>8600</v>
      </c>
      <c r="R73" s="19">
        <v>8600</v>
      </c>
      <c r="S73" s="18" t="s">
        <v>142</v>
      </c>
      <c r="T73" s="18" t="s">
        <v>143</v>
      </c>
    </row>
    <row r="74" spans="1:20" x14ac:dyDescent="0.25">
      <c r="A74" s="17"/>
      <c r="B74" s="18" t="s">
        <v>101</v>
      </c>
      <c r="C74" s="18">
        <f>'Air-side Costs'!$E88</f>
        <v>56.65</v>
      </c>
      <c r="D74" s="18">
        <f>'Air-side Costs'!$E88</f>
        <v>56.65</v>
      </c>
      <c r="E74" s="18">
        <f>'Air-side Costs'!$E88</f>
        <v>56.65</v>
      </c>
      <c r="F74" s="18">
        <f>'Air-side Costs'!$E88</f>
        <v>56.65</v>
      </c>
      <c r="G74" s="18">
        <f>'Air-side Costs'!$E88</f>
        <v>56.65</v>
      </c>
      <c r="H74" s="18">
        <f>'Air-side Costs'!$E88</f>
        <v>56.65</v>
      </c>
      <c r="I74" s="18">
        <f>'Air-side Costs'!$E88</f>
        <v>56.65</v>
      </c>
      <c r="J74" s="18">
        <f>'Air-side Costs'!$E88</f>
        <v>56.65</v>
      </c>
      <c r="K74" s="18">
        <f>'Air-side Costs'!$E88</f>
        <v>56.65</v>
      </c>
      <c r="L74" s="18">
        <f>'Air-side Costs'!$E88</f>
        <v>56.65</v>
      </c>
      <c r="M74" s="18">
        <f>'Air-side Costs'!$E88</f>
        <v>56.65</v>
      </c>
      <c r="N74" s="18">
        <f>'Air-side Costs'!$E88</f>
        <v>56.65</v>
      </c>
      <c r="O74" s="18">
        <f>'Air-side Costs'!$E88</f>
        <v>56.65</v>
      </c>
      <c r="P74" s="18">
        <f>'Air-side Costs'!$E88</f>
        <v>56.65</v>
      </c>
      <c r="Q74" s="18">
        <f>'Air-side Costs'!$E88</f>
        <v>56.65</v>
      </c>
      <c r="R74" s="19">
        <f>'Air-side Costs'!$E88</f>
        <v>56.65</v>
      </c>
      <c r="S74" s="18" t="s">
        <v>144</v>
      </c>
      <c r="T74" s="18" t="s">
        <v>145</v>
      </c>
    </row>
    <row r="75" spans="1:20" x14ac:dyDescent="0.25">
      <c r="A75" s="17"/>
      <c r="B75" s="18" t="s">
        <v>90</v>
      </c>
      <c r="C75" s="20">
        <f>C73*C74</f>
        <v>487190</v>
      </c>
      <c r="D75" s="20">
        <f t="shared" ref="D75:R75" si="22">D73*D74</f>
        <v>487190</v>
      </c>
      <c r="E75" s="20">
        <f t="shared" si="22"/>
        <v>487190</v>
      </c>
      <c r="F75" s="20">
        <f t="shared" si="22"/>
        <v>487190</v>
      </c>
      <c r="G75" s="20">
        <f t="shared" si="22"/>
        <v>487190</v>
      </c>
      <c r="H75" s="20">
        <f t="shared" si="22"/>
        <v>487190</v>
      </c>
      <c r="I75" s="20">
        <f t="shared" si="22"/>
        <v>487190</v>
      </c>
      <c r="J75" s="20">
        <f t="shared" si="22"/>
        <v>487190</v>
      </c>
      <c r="K75" s="20">
        <f t="shared" si="22"/>
        <v>487190</v>
      </c>
      <c r="L75" s="20">
        <f t="shared" si="22"/>
        <v>487190</v>
      </c>
      <c r="M75" s="20">
        <f t="shared" si="22"/>
        <v>487190</v>
      </c>
      <c r="N75" s="20">
        <f t="shared" si="22"/>
        <v>487190</v>
      </c>
      <c r="O75" s="20">
        <f t="shared" si="22"/>
        <v>487190</v>
      </c>
      <c r="P75" s="20">
        <f t="shared" si="22"/>
        <v>487190</v>
      </c>
      <c r="Q75" s="20">
        <f t="shared" si="22"/>
        <v>487190</v>
      </c>
      <c r="R75" s="21">
        <f t="shared" si="22"/>
        <v>487190</v>
      </c>
      <c r="S75" s="18"/>
      <c r="T75" s="18"/>
    </row>
    <row r="76" spans="1:20" x14ac:dyDescent="0.25">
      <c r="A76" s="17"/>
      <c r="B76" s="18" t="s">
        <v>92</v>
      </c>
      <c r="C76" s="18">
        <v>0</v>
      </c>
      <c r="D76" s="18">
        <v>0</v>
      </c>
      <c r="E76" s="18">
        <v>0</v>
      </c>
      <c r="F76" s="18">
        <v>0</v>
      </c>
      <c r="G76" s="18">
        <v>0</v>
      </c>
      <c r="H76" s="18">
        <v>0</v>
      </c>
      <c r="I76" s="18">
        <v>0</v>
      </c>
      <c r="J76" s="18">
        <v>0</v>
      </c>
      <c r="K76" s="18">
        <v>0</v>
      </c>
      <c r="L76" s="18">
        <v>0</v>
      </c>
      <c r="M76" s="18">
        <v>0</v>
      </c>
      <c r="N76" s="18">
        <v>0</v>
      </c>
      <c r="O76" s="18">
        <v>0</v>
      </c>
      <c r="P76" s="18">
        <v>0</v>
      </c>
      <c r="Q76" s="18">
        <v>0</v>
      </c>
      <c r="R76" s="19">
        <v>0</v>
      </c>
      <c r="S76" s="18"/>
      <c r="T76" s="18"/>
    </row>
    <row r="77" spans="1:20" x14ac:dyDescent="0.25">
      <c r="A77" s="17"/>
      <c r="B77" s="18" t="s">
        <v>93</v>
      </c>
      <c r="C77" s="24">
        <v>0.15</v>
      </c>
      <c r="D77" s="24">
        <v>0.15</v>
      </c>
      <c r="E77" s="24">
        <v>0.15</v>
      </c>
      <c r="F77" s="24">
        <v>0.15</v>
      </c>
      <c r="G77" s="24">
        <v>0.15</v>
      </c>
      <c r="H77" s="24">
        <v>0.15</v>
      </c>
      <c r="I77" s="24">
        <v>0.15</v>
      </c>
      <c r="J77" s="24">
        <v>0.15</v>
      </c>
      <c r="K77" s="24">
        <v>0.15</v>
      </c>
      <c r="L77" s="24">
        <v>0.15</v>
      </c>
      <c r="M77" s="24">
        <v>0.15</v>
      </c>
      <c r="N77" s="24">
        <v>0.15</v>
      </c>
      <c r="O77" s="24">
        <v>0.15</v>
      </c>
      <c r="P77" s="24">
        <v>0.15</v>
      </c>
      <c r="Q77" s="24">
        <v>0.15</v>
      </c>
      <c r="R77" s="25">
        <v>0.15</v>
      </c>
      <c r="S77" s="24"/>
      <c r="T77" s="24"/>
    </row>
    <row r="78" spans="1:20" x14ac:dyDescent="0.25">
      <c r="A78" s="17"/>
      <c r="B78" s="18" t="s">
        <v>94</v>
      </c>
      <c r="C78" s="22">
        <f>(C75+C76)*(1+C77)</f>
        <v>560268.5</v>
      </c>
      <c r="D78" s="22">
        <f t="shared" ref="D78:R78" si="23">(D75+D76)*(1+D77)</f>
        <v>560268.5</v>
      </c>
      <c r="E78" s="22">
        <f t="shared" si="23"/>
        <v>560268.5</v>
      </c>
      <c r="F78" s="22">
        <f t="shared" si="23"/>
        <v>560268.5</v>
      </c>
      <c r="G78" s="22">
        <f t="shared" si="23"/>
        <v>560268.5</v>
      </c>
      <c r="H78" s="22">
        <f t="shared" si="23"/>
        <v>560268.5</v>
      </c>
      <c r="I78" s="22">
        <f t="shared" si="23"/>
        <v>560268.5</v>
      </c>
      <c r="J78" s="22">
        <f t="shared" si="23"/>
        <v>560268.5</v>
      </c>
      <c r="K78" s="22">
        <f t="shared" si="23"/>
        <v>560268.5</v>
      </c>
      <c r="L78" s="22">
        <f t="shared" si="23"/>
        <v>560268.5</v>
      </c>
      <c r="M78" s="22">
        <f t="shared" si="23"/>
        <v>560268.5</v>
      </c>
      <c r="N78" s="22">
        <f t="shared" si="23"/>
        <v>560268.5</v>
      </c>
      <c r="O78" s="22">
        <f t="shared" si="23"/>
        <v>560268.5</v>
      </c>
      <c r="P78" s="22">
        <f t="shared" si="23"/>
        <v>560268.5</v>
      </c>
      <c r="Q78" s="22">
        <f t="shared" si="23"/>
        <v>560268.5</v>
      </c>
      <c r="R78" s="23">
        <f t="shared" si="23"/>
        <v>560268.5</v>
      </c>
      <c r="S78" s="22"/>
      <c r="T78" s="22"/>
    </row>
    <row r="79" spans="1:20" x14ac:dyDescent="0.25">
      <c r="A79" s="17"/>
      <c r="B79" s="18"/>
      <c r="C79" s="18"/>
      <c r="D79" s="18"/>
      <c r="E79" s="18"/>
      <c r="F79" s="18"/>
      <c r="G79" s="18"/>
      <c r="H79" s="18"/>
      <c r="I79" s="18"/>
      <c r="J79" s="18"/>
      <c r="K79" s="18"/>
      <c r="L79" s="18"/>
      <c r="M79" s="18"/>
      <c r="N79" s="18"/>
      <c r="O79" s="18"/>
      <c r="P79" s="18"/>
      <c r="Q79" s="18"/>
      <c r="R79" s="19"/>
      <c r="S79" s="18"/>
      <c r="T79" s="18"/>
    </row>
    <row r="80" spans="1:20" x14ac:dyDescent="0.25">
      <c r="A80" s="35" t="s">
        <v>110</v>
      </c>
      <c r="B80" s="18" t="s">
        <v>86</v>
      </c>
      <c r="C80" s="18"/>
      <c r="D80" s="18"/>
      <c r="E80" s="18"/>
      <c r="F80" s="18"/>
      <c r="G80" s="18"/>
      <c r="H80" s="18"/>
      <c r="I80" s="18"/>
      <c r="J80" s="18"/>
      <c r="K80" s="18"/>
      <c r="L80" s="18"/>
      <c r="M80" s="18"/>
      <c r="N80" s="18"/>
      <c r="O80" s="18"/>
      <c r="P80" s="18"/>
      <c r="Q80" s="18"/>
      <c r="R80" s="19"/>
      <c r="S80" s="18"/>
      <c r="T80" s="18"/>
    </row>
    <row r="81" spans="1:20" x14ac:dyDescent="0.25">
      <c r="A81" s="17"/>
      <c r="B81" s="18" t="s">
        <v>104</v>
      </c>
      <c r="C81" s="18">
        <v>11600</v>
      </c>
      <c r="D81" s="18">
        <v>11600</v>
      </c>
      <c r="E81" s="18">
        <v>11600</v>
      </c>
      <c r="F81" s="18">
        <v>11600</v>
      </c>
      <c r="G81" s="18">
        <v>11600</v>
      </c>
      <c r="H81" s="18">
        <v>11600</v>
      </c>
      <c r="I81" s="18">
        <v>11600</v>
      </c>
      <c r="J81" s="18">
        <v>11600</v>
      </c>
      <c r="K81" s="18">
        <v>11600</v>
      </c>
      <c r="L81" s="18">
        <v>11600</v>
      </c>
      <c r="M81" s="18">
        <v>11600</v>
      </c>
      <c r="N81" s="18">
        <v>11600</v>
      </c>
      <c r="O81" s="18">
        <v>11600</v>
      </c>
      <c r="P81" s="18">
        <v>11600</v>
      </c>
      <c r="Q81" s="18">
        <v>11600</v>
      </c>
      <c r="R81" s="19">
        <v>11600</v>
      </c>
      <c r="S81" s="18" t="s">
        <v>146</v>
      </c>
      <c r="T81" s="18" t="s">
        <v>147</v>
      </c>
    </row>
    <row r="82" spans="1:20" x14ac:dyDescent="0.25">
      <c r="A82" s="17"/>
      <c r="B82" s="18" t="s">
        <v>101</v>
      </c>
      <c r="C82" s="20">
        <f>'Air-side Costs'!$E88</f>
        <v>56.65</v>
      </c>
      <c r="D82" s="20">
        <f>'Air-side Costs'!$E88</f>
        <v>56.65</v>
      </c>
      <c r="E82" s="20">
        <f>'Air-side Costs'!$E88</f>
        <v>56.65</v>
      </c>
      <c r="F82" s="20">
        <f>'Air-side Costs'!$E88</f>
        <v>56.65</v>
      </c>
      <c r="G82" s="20">
        <f>'Air-side Costs'!$E88</f>
        <v>56.65</v>
      </c>
      <c r="H82" s="20">
        <f>'Air-side Costs'!$E88</f>
        <v>56.65</v>
      </c>
      <c r="I82" s="20">
        <f>'Air-side Costs'!$E88</f>
        <v>56.65</v>
      </c>
      <c r="J82" s="20">
        <f>'Air-side Costs'!$E88</f>
        <v>56.65</v>
      </c>
      <c r="K82" s="20">
        <f>'Air-side Costs'!$E88</f>
        <v>56.65</v>
      </c>
      <c r="L82" s="20">
        <f>'Air-side Costs'!$E88</f>
        <v>56.65</v>
      </c>
      <c r="M82" s="20">
        <f>'Air-side Costs'!$E88</f>
        <v>56.65</v>
      </c>
      <c r="N82" s="20">
        <f>'Air-side Costs'!$E88</f>
        <v>56.65</v>
      </c>
      <c r="O82" s="20">
        <f>'Air-side Costs'!$E88</f>
        <v>56.65</v>
      </c>
      <c r="P82" s="20">
        <f>'Air-side Costs'!$E88</f>
        <v>56.65</v>
      </c>
      <c r="Q82" s="20">
        <f>'Air-side Costs'!$E88</f>
        <v>56.65</v>
      </c>
      <c r="R82" s="21">
        <f>'Air-side Costs'!$E88</f>
        <v>56.65</v>
      </c>
      <c r="S82" s="18" t="s">
        <v>144</v>
      </c>
      <c r="T82" s="18" t="s">
        <v>148</v>
      </c>
    </row>
    <row r="83" spans="1:20" x14ac:dyDescent="0.25">
      <c r="A83" s="17"/>
      <c r="B83" s="18" t="s">
        <v>90</v>
      </c>
      <c r="C83" s="20">
        <f>C81*C82</f>
        <v>657140</v>
      </c>
      <c r="D83" s="20">
        <f t="shared" ref="D83:R83" si="24">D81*D82</f>
        <v>657140</v>
      </c>
      <c r="E83" s="20">
        <f t="shared" si="24"/>
        <v>657140</v>
      </c>
      <c r="F83" s="20">
        <f t="shared" si="24"/>
        <v>657140</v>
      </c>
      <c r="G83" s="20">
        <f t="shared" si="24"/>
        <v>657140</v>
      </c>
      <c r="H83" s="20">
        <f t="shared" si="24"/>
        <v>657140</v>
      </c>
      <c r="I83" s="20">
        <f t="shared" si="24"/>
        <v>657140</v>
      </c>
      <c r="J83" s="20">
        <f t="shared" si="24"/>
        <v>657140</v>
      </c>
      <c r="K83" s="20">
        <f t="shared" si="24"/>
        <v>657140</v>
      </c>
      <c r="L83" s="20">
        <f t="shared" si="24"/>
        <v>657140</v>
      </c>
      <c r="M83" s="20">
        <f t="shared" si="24"/>
        <v>657140</v>
      </c>
      <c r="N83" s="20">
        <f t="shared" si="24"/>
        <v>657140</v>
      </c>
      <c r="O83" s="20">
        <f t="shared" si="24"/>
        <v>657140</v>
      </c>
      <c r="P83" s="20">
        <f t="shared" si="24"/>
        <v>657140</v>
      </c>
      <c r="Q83" s="20">
        <f t="shared" si="24"/>
        <v>657140</v>
      </c>
      <c r="R83" s="21">
        <f t="shared" si="24"/>
        <v>657140</v>
      </c>
      <c r="S83" s="18"/>
      <c r="T83" s="18"/>
    </row>
    <row r="84" spans="1:20" x14ac:dyDescent="0.25">
      <c r="A84" s="17"/>
      <c r="B84" s="18" t="s">
        <v>92</v>
      </c>
      <c r="C84" s="20">
        <v>0</v>
      </c>
      <c r="D84" s="20">
        <v>0</v>
      </c>
      <c r="E84" s="20">
        <v>0</v>
      </c>
      <c r="F84" s="20">
        <v>0</v>
      </c>
      <c r="G84" s="20">
        <v>0</v>
      </c>
      <c r="H84" s="20">
        <v>0</v>
      </c>
      <c r="I84" s="20">
        <v>0</v>
      </c>
      <c r="J84" s="20">
        <v>0</v>
      </c>
      <c r="K84" s="20">
        <v>0</v>
      </c>
      <c r="L84" s="20">
        <v>0</v>
      </c>
      <c r="M84" s="20">
        <v>0</v>
      </c>
      <c r="N84" s="20">
        <v>0</v>
      </c>
      <c r="O84" s="20">
        <v>0</v>
      </c>
      <c r="P84" s="20">
        <v>0</v>
      </c>
      <c r="Q84" s="20">
        <v>0</v>
      </c>
      <c r="R84" s="21">
        <v>0</v>
      </c>
      <c r="S84" s="18"/>
      <c r="T84" s="18"/>
    </row>
    <row r="85" spans="1:20" x14ac:dyDescent="0.25">
      <c r="A85" s="17"/>
      <c r="B85" s="18" t="s">
        <v>93</v>
      </c>
      <c r="C85" s="24">
        <v>0.15</v>
      </c>
      <c r="D85" s="24">
        <v>0.15</v>
      </c>
      <c r="E85" s="24">
        <v>0.15</v>
      </c>
      <c r="F85" s="24">
        <v>0.15</v>
      </c>
      <c r="G85" s="24">
        <v>0.15</v>
      </c>
      <c r="H85" s="24">
        <v>0.15</v>
      </c>
      <c r="I85" s="24">
        <v>0.15</v>
      </c>
      <c r="J85" s="24">
        <v>0.15</v>
      </c>
      <c r="K85" s="24">
        <v>0.15</v>
      </c>
      <c r="L85" s="24">
        <v>0.15</v>
      </c>
      <c r="M85" s="24">
        <v>0.15</v>
      </c>
      <c r="N85" s="24">
        <v>0.15</v>
      </c>
      <c r="O85" s="24">
        <v>0.15</v>
      </c>
      <c r="P85" s="24">
        <v>0.15</v>
      </c>
      <c r="Q85" s="24">
        <v>0.15</v>
      </c>
      <c r="R85" s="25">
        <v>0.15</v>
      </c>
      <c r="S85" s="24"/>
      <c r="T85" s="24"/>
    </row>
    <row r="86" spans="1:20" x14ac:dyDescent="0.25">
      <c r="A86" s="17"/>
      <c r="B86" s="18" t="s">
        <v>94</v>
      </c>
      <c r="C86" s="22">
        <f>(C83+C84)*(1+C85)</f>
        <v>755710.99999999988</v>
      </c>
      <c r="D86" s="22">
        <f t="shared" ref="D86:R86" si="25">(D83+D84)*(1+D85)</f>
        <v>755710.99999999988</v>
      </c>
      <c r="E86" s="22">
        <f t="shared" si="25"/>
        <v>755710.99999999988</v>
      </c>
      <c r="F86" s="22">
        <f t="shared" si="25"/>
        <v>755710.99999999988</v>
      </c>
      <c r="G86" s="22">
        <f t="shared" si="25"/>
        <v>755710.99999999988</v>
      </c>
      <c r="H86" s="22">
        <f t="shared" si="25"/>
        <v>755710.99999999988</v>
      </c>
      <c r="I86" s="22">
        <f t="shared" si="25"/>
        <v>755710.99999999988</v>
      </c>
      <c r="J86" s="22">
        <f t="shared" si="25"/>
        <v>755710.99999999988</v>
      </c>
      <c r="K86" s="22">
        <f t="shared" si="25"/>
        <v>755710.99999999988</v>
      </c>
      <c r="L86" s="22">
        <f t="shared" si="25"/>
        <v>755710.99999999988</v>
      </c>
      <c r="M86" s="22">
        <f t="shared" si="25"/>
        <v>755710.99999999988</v>
      </c>
      <c r="N86" s="22">
        <f t="shared" si="25"/>
        <v>755710.99999999988</v>
      </c>
      <c r="O86" s="22">
        <f t="shared" si="25"/>
        <v>755710.99999999988</v>
      </c>
      <c r="P86" s="22">
        <f t="shared" si="25"/>
        <v>755710.99999999988</v>
      </c>
      <c r="Q86" s="22">
        <f t="shared" si="25"/>
        <v>755710.99999999988</v>
      </c>
      <c r="R86" s="23">
        <f t="shared" si="25"/>
        <v>755710.99999999988</v>
      </c>
      <c r="S86" s="22"/>
      <c r="T86" s="22"/>
    </row>
    <row r="87" spans="1:20" x14ac:dyDescent="0.25">
      <c r="A87" s="17"/>
      <c r="B87" s="18"/>
      <c r="C87" s="18"/>
      <c r="D87" s="18"/>
      <c r="E87" s="18"/>
      <c r="F87" s="18"/>
      <c r="G87" s="18"/>
      <c r="H87" s="18"/>
      <c r="I87" s="18"/>
      <c r="J87" s="18"/>
      <c r="K87" s="18"/>
      <c r="L87" s="18"/>
      <c r="M87" s="18"/>
      <c r="N87" s="18"/>
      <c r="O87" s="18"/>
      <c r="P87" s="18"/>
      <c r="Q87" s="18"/>
      <c r="R87" s="19"/>
      <c r="S87" s="18"/>
      <c r="T87" s="18"/>
    </row>
    <row r="88" spans="1:20" x14ac:dyDescent="0.25">
      <c r="A88" s="35" t="s">
        <v>149</v>
      </c>
      <c r="B88" s="18" t="s">
        <v>150</v>
      </c>
      <c r="C88" s="18">
        <v>120</v>
      </c>
      <c r="D88" s="18">
        <v>120</v>
      </c>
      <c r="E88" s="18">
        <v>120</v>
      </c>
      <c r="F88" s="18">
        <v>120</v>
      </c>
      <c r="G88" s="18">
        <v>120</v>
      </c>
      <c r="H88" s="18">
        <v>120</v>
      </c>
      <c r="I88" s="18">
        <v>120</v>
      </c>
      <c r="J88" s="18">
        <v>120</v>
      </c>
      <c r="K88" s="18">
        <v>120</v>
      </c>
      <c r="L88" s="18">
        <v>120</v>
      </c>
      <c r="M88" s="18">
        <v>120</v>
      </c>
      <c r="N88" s="18">
        <v>120</v>
      </c>
      <c r="O88" s="18">
        <v>120</v>
      </c>
      <c r="P88" s="18">
        <v>120</v>
      </c>
      <c r="Q88" s="18">
        <v>120</v>
      </c>
      <c r="R88" s="19">
        <v>120</v>
      </c>
      <c r="S88" s="18" t="s">
        <v>151</v>
      </c>
      <c r="T88" s="22"/>
    </row>
    <row r="89" spans="1:20" x14ac:dyDescent="0.25">
      <c r="A89" s="17"/>
      <c r="B89" s="18" t="s">
        <v>94</v>
      </c>
      <c r="C89" s="22">
        <f>C88*'Air-side Costs'!$M$101</f>
        <v>1202988</v>
      </c>
      <c r="D89" s="22">
        <f>D88*'Air-side Costs'!$M$101</f>
        <v>1202988</v>
      </c>
      <c r="E89" s="22">
        <f>E88*'Air-side Costs'!$M$101</f>
        <v>1202988</v>
      </c>
      <c r="F89" s="22">
        <f>F88*'Air-side Costs'!$M$101</f>
        <v>1202988</v>
      </c>
      <c r="G89" s="22">
        <f>G88*'Air-side Costs'!$M$101</f>
        <v>1202988</v>
      </c>
      <c r="H89" s="22">
        <f>H88*'Air-side Costs'!$M$101</f>
        <v>1202988</v>
      </c>
      <c r="I89" s="22">
        <f>I88*'Air-side Costs'!$M$101</f>
        <v>1202988</v>
      </c>
      <c r="J89" s="22">
        <f>J88*'Air-side Costs'!$M$101</f>
        <v>1202988</v>
      </c>
      <c r="K89" s="22">
        <f>K88*'Air-side Costs'!$M$101</f>
        <v>1202988</v>
      </c>
      <c r="L89" s="22">
        <f>L88*'Air-side Costs'!$M$101</f>
        <v>1202988</v>
      </c>
      <c r="M89" s="22">
        <f>M88*'Air-side Costs'!$M$101</f>
        <v>1202988</v>
      </c>
      <c r="N89" s="22">
        <f>N88*'Air-side Costs'!$M$101</f>
        <v>1202988</v>
      </c>
      <c r="O89" s="22">
        <f>O88*'Air-side Costs'!$M$101</f>
        <v>1202988</v>
      </c>
      <c r="P89" s="22">
        <f>P88*'Air-side Costs'!$M$101</f>
        <v>1202988</v>
      </c>
      <c r="Q89" s="22">
        <f>Q88*'Air-side Costs'!$M$101</f>
        <v>1202988</v>
      </c>
      <c r="R89" s="23">
        <f>R88*'Air-side Costs'!$M$101</f>
        <v>1202988</v>
      </c>
      <c r="S89" s="22"/>
      <c r="T89" s="18"/>
    </row>
    <row r="90" spans="1:20" x14ac:dyDescent="0.25">
      <c r="A90" s="17"/>
      <c r="B90" s="18"/>
      <c r="C90" s="18"/>
      <c r="D90" s="18"/>
      <c r="E90" s="18"/>
      <c r="F90" s="18"/>
      <c r="G90" s="18"/>
      <c r="H90" s="18"/>
      <c r="I90" s="18"/>
      <c r="J90" s="18"/>
      <c r="K90" s="18"/>
      <c r="L90" s="18"/>
      <c r="M90" s="18"/>
      <c r="N90" s="18"/>
      <c r="O90" s="18"/>
      <c r="P90" s="18"/>
      <c r="Q90" s="18"/>
      <c r="R90" s="19"/>
      <c r="S90" s="18"/>
      <c r="T90" s="18"/>
    </row>
    <row r="91" spans="1:20" x14ac:dyDescent="0.25">
      <c r="A91" s="17"/>
      <c r="B91" s="18" t="s">
        <v>152</v>
      </c>
      <c r="C91" s="133">
        <f>ROUNDUP(C56*'Plant-side Costs'!$D$78/2,0)*2</f>
        <v>12</v>
      </c>
      <c r="D91" s="133">
        <f>ROUNDUP(D56*'Plant-side Costs'!$D$78/2,0)*2</f>
        <v>12</v>
      </c>
      <c r="E91" s="133">
        <f>ROUNDUP(E56*'Plant-side Costs'!$D$78/2,0)*2</f>
        <v>10</v>
      </c>
      <c r="F91" s="133">
        <f>ROUNDUP(F56*'Plant-side Costs'!$D$78/2,0)*2</f>
        <v>12</v>
      </c>
      <c r="G91" s="133">
        <f>ROUNDUP(G56*'Plant-side Costs'!$D$78/2,0)*2</f>
        <v>10</v>
      </c>
      <c r="H91" s="133">
        <f>ROUNDUP(H56*'Plant-side Costs'!$D$78/2,0)*2</f>
        <v>8</v>
      </c>
      <c r="I91" s="133">
        <f>ROUNDUP(I56*'Plant-side Costs'!$D$78/2,0)*2</f>
        <v>8</v>
      </c>
      <c r="J91" s="133">
        <f>ROUNDUP(J56*'Plant-side Costs'!$D$78/2,0)*2</f>
        <v>8</v>
      </c>
      <c r="K91" s="133">
        <f>ROUNDUP(K56*'Plant-side Costs'!$D$78/2,0)*2</f>
        <v>8</v>
      </c>
      <c r="L91" s="133">
        <f>ROUNDUP(L56*'Plant-side Costs'!$D$78/2,0)*2</f>
        <v>10</v>
      </c>
      <c r="M91" s="133">
        <f>ROUNDUP(M56*'Plant-side Costs'!$D$78/2,0)*2</f>
        <v>12</v>
      </c>
      <c r="N91" s="133">
        <f>ROUNDUP(N56*'Plant-side Costs'!$D$78/2,0)*2</f>
        <v>12</v>
      </c>
      <c r="O91" s="133">
        <f>ROUNDUP(O56*'Plant-side Costs'!$D$78/2,0)*2</f>
        <v>10</v>
      </c>
      <c r="P91" s="133">
        <f>ROUNDUP(P56*'Plant-side Costs'!$D$78/2,0)*2</f>
        <v>10</v>
      </c>
      <c r="Q91" s="133">
        <f>ROUNDUP(Q56*'Plant-side Costs'!$D$78/2,0)*2</f>
        <v>8</v>
      </c>
      <c r="R91" s="198">
        <f>ROUNDUP(R56*'Plant-side Costs'!$D$78/2,0)*2</f>
        <v>12</v>
      </c>
      <c r="S91" s="133" t="s">
        <v>119</v>
      </c>
      <c r="T91" s="133" t="s">
        <v>153</v>
      </c>
    </row>
    <row r="92" spans="1:20" x14ac:dyDescent="0.25">
      <c r="A92" s="35" t="s">
        <v>117</v>
      </c>
      <c r="B92" s="18" t="s">
        <v>94</v>
      </c>
      <c r="C92" s="20">
        <f>9113.3+750.7*C91</f>
        <v>18121.7</v>
      </c>
      <c r="D92" s="20">
        <f t="shared" ref="D92:R92" si="26">9113.3+750.7*D91</f>
        <v>18121.7</v>
      </c>
      <c r="E92" s="20">
        <f t="shared" si="26"/>
        <v>16620.3</v>
      </c>
      <c r="F92" s="20">
        <f t="shared" si="26"/>
        <v>18121.7</v>
      </c>
      <c r="G92" s="20">
        <f t="shared" si="26"/>
        <v>16620.3</v>
      </c>
      <c r="H92" s="20">
        <f t="shared" si="26"/>
        <v>15118.9</v>
      </c>
      <c r="I92" s="20">
        <f t="shared" si="26"/>
        <v>15118.9</v>
      </c>
      <c r="J92" s="20">
        <f t="shared" si="26"/>
        <v>15118.9</v>
      </c>
      <c r="K92" s="20">
        <f t="shared" si="26"/>
        <v>15118.9</v>
      </c>
      <c r="L92" s="20">
        <f t="shared" si="26"/>
        <v>16620.3</v>
      </c>
      <c r="M92" s="20">
        <f t="shared" si="26"/>
        <v>18121.7</v>
      </c>
      <c r="N92" s="20">
        <f t="shared" si="26"/>
        <v>18121.7</v>
      </c>
      <c r="O92" s="20">
        <f t="shared" si="26"/>
        <v>16620.3</v>
      </c>
      <c r="P92" s="20">
        <f t="shared" si="26"/>
        <v>16620.3</v>
      </c>
      <c r="Q92" s="20">
        <f t="shared" si="26"/>
        <v>15118.9</v>
      </c>
      <c r="R92" s="21">
        <f t="shared" si="26"/>
        <v>18121.7</v>
      </c>
      <c r="S92" s="20"/>
      <c r="T92" s="20" t="s">
        <v>91</v>
      </c>
    </row>
    <row r="93" spans="1:20" x14ac:dyDescent="0.25">
      <c r="A93" s="17"/>
      <c r="B93" s="18"/>
      <c r="C93" s="18"/>
      <c r="D93" s="18"/>
      <c r="E93" s="18"/>
      <c r="F93" s="18"/>
      <c r="G93" s="18"/>
      <c r="H93" s="18"/>
      <c r="I93" s="18"/>
      <c r="J93" s="18"/>
      <c r="K93" s="18"/>
      <c r="L93" s="18"/>
      <c r="M93" s="18"/>
      <c r="N93" s="18"/>
      <c r="O93" s="18"/>
      <c r="P93" s="18"/>
      <c r="Q93" s="18"/>
      <c r="R93" s="19"/>
      <c r="S93" s="18"/>
      <c r="T93" s="18"/>
    </row>
    <row r="94" spans="1:20" x14ac:dyDescent="0.25">
      <c r="A94" s="35" t="s">
        <v>154</v>
      </c>
      <c r="B94" s="18" t="s">
        <v>155</v>
      </c>
      <c r="C94" s="26">
        <f t="shared" ref="C94:R94" si="27">(10*C56)-(C81/21.43)</f>
        <v>1458.7027531497902</v>
      </c>
      <c r="D94" s="26">
        <f t="shared" si="27"/>
        <v>1358.7027531497902</v>
      </c>
      <c r="E94" s="26">
        <f t="shared" si="27"/>
        <v>1158.7027531497902</v>
      </c>
      <c r="F94" s="26">
        <f t="shared" si="27"/>
        <v>1458.7027531497902</v>
      </c>
      <c r="G94" s="26">
        <f t="shared" si="27"/>
        <v>1258.7027531497902</v>
      </c>
      <c r="H94" s="26">
        <f t="shared" si="27"/>
        <v>758.70275314979006</v>
      </c>
      <c r="I94" s="26">
        <f t="shared" si="27"/>
        <v>658.70275314979006</v>
      </c>
      <c r="J94" s="26">
        <f t="shared" si="27"/>
        <v>758.70275314979006</v>
      </c>
      <c r="K94" s="26">
        <f t="shared" si="27"/>
        <v>858.70275314979006</v>
      </c>
      <c r="L94" s="26">
        <f t="shared" si="27"/>
        <v>958.70275314979006</v>
      </c>
      <c r="M94" s="26">
        <f t="shared" si="27"/>
        <v>1458.7027531497902</v>
      </c>
      <c r="N94" s="26">
        <f t="shared" si="27"/>
        <v>1358.7027531497902</v>
      </c>
      <c r="O94" s="26">
        <f t="shared" si="27"/>
        <v>1158.7027531497902</v>
      </c>
      <c r="P94" s="26">
        <f t="shared" si="27"/>
        <v>1258.7027531497902</v>
      </c>
      <c r="Q94" s="26">
        <f t="shared" si="27"/>
        <v>758.70275314979006</v>
      </c>
      <c r="R94" s="27">
        <f t="shared" si="27"/>
        <v>1458.7027531497902</v>
      </c>
      <c r="S94" s="26" t="s">
        <v>156</v>
      </c>
      <c r="T94" s="26" t="s">
        <v>157</v>
      </c>
    </row>
    <row r="95" spans="1:20" x14ac:dyDescent="0.25">
      <c r="A95" s="17"/>
      <c r="B95" s="18" t="s">
        <v>158</v>
      </c>
      <c r="C95" s="18">
        <f>ROUNDUP(C94/25,0)*25</f>
        <v>1475</v>
      </c>
      <c r="D95" s="18">
        <f t="shared" ref="D95:R95" si="28">ROUNDUP(D94/25,0)*25</f>
        <v>1375</v>
      </c>
      <c r="E95" s="18">
        <f t="shared" si="28"/>
        <v>1175</v>
      </c>
      <c r="F95" s="18">
        <f t="shared" si="28"/>
        <v>1475</v>
      </c>
      <c r="G95" s="18">
        <f t="shared" si="28"/>
        <v>1275</v>
      </c>
      <c r="H95" s="18">
        <f t="shared" si="28"/>
        <v>775</v>
      </c>
      <c r="I95" s="18">
        <f t="shared" si="28"/>
        <v>675</v>
      </c>
      <c r="J95" s="18">
        <f t="shared" si="28"/>
        <v>775</v>
      </c>
      <c r="K95" s="18">
        <f t="shared" si="28"/>
        <v>875</v>
      </c>
      <c r="L95" s="18">
        <f t="shared" si="28"/>
        <v>975</v>
      </c>
      <c r="M95" s="18">
        <f t="shared" si="28"/>
        <v>1475</v>
      </c>
      <c r="N95" s="18">
        <f t="shared" si="28"/>
        <v>1375</v>
      </c>
      <c r="O95" s="18">
        <f t="shared" si="28"/>
        <v>1175</v>
      </c>
      <c r="P95" s="18">
        <f t="shared" si="28"/>
        <v>1275</v>
      </c>
      <c r="Q95" s="18">
        <f t="shared" si="28"/>
        <v>775</v>
      </c>
      <c r="R95" s="19">
        <f t="shared" si="28"/>
        <v>1475</v>
      </c>
      <c r="S95" s="18" t="s">
        <v>156</v>
      </c>
      <c r="T95" s="18" t="s">
        <v>159</v>
      </c>
    </row>
    <row r="96" spans="1:20" x14ac:dyDescent="0.25">
      <c r="A96" s="17"/>
      <c r="B96" s="18" t="s">
        <v>101</v>
      </c>
      <c r="C96" s="18"/>
      <c r="D96" s="18"/>
      <c r="E96" s="18"/>
      <c r="F96" s="18"/>
      <c r="G96" s="18"/>
      <c r="H96" s="18"/>
      <c r="I96" s="18"/>
      <c r="J96" s="18"/>
      <c r="K96" s="18"/>
      <c r="L96" s="18"/>
      <c r="M96" s="18"/>
      <c r="N96" s="18"/>
      <c r="O96" s="18"/>
      <c r="P96" s="18"/>
      <c r="Q96" s="18"/>
      <c r="R96" s="19"/>
      <c r="S96" s="18"/>
      <c r="T96" s="18"/>
    </row>
    <row r="97" spans="1:20" x14ac:dyDescent="0.25">
      <c r="A97" s="17"/>
      <c r="B97" s="18" t="s">
        <v>160</v>
      </c>
      <c r="C97" s="20">
        <f>440.71+20.493*C95</f>
        <v>30667.884999999998</v>
      </c>
      <c r="D97" s="20">
        <f t="shared" ref="D97:R97" si="29">440.71+20.493*D95</f>
        <v>28618.584999999995</v>
      </c>
      <c r="E97" s="20">
        <f t="shared" si="29"/>
        <v>24519.984999999997</v>
      </c>
      <c r="F97" s="20">
        <f t="shared" si="29"/>
        <v>30667.884999999998</v>
      </c>
      <c r="G97" s="20">
        <f t="shared" si="29"/>
        <v>26569.284999999996</v>
      </c>
      <c r="H97" s="20">
        <f t="shared" si="29"/>
        <v>16322.784999999998</v>
      </c>
      <c r="I97" s="20">
        <f t="shared" si="29"/>
        <v>14273.484999999999</v>
      </c>
      <c r="J97" s="20">
        <f t="shared" si="29"/>
        <v>16322.784999999998</v>
      </c>
      <c r="K97" s="20">
        <f t="shared" si="29"/>
        <v>18372.084999999999</v>
      </c>
      <c r="L97" s="20">
        <f t="shared" si="29"/>
        <v>20421.384999999998</v>
      </c>
      <c r="M97" s="20">
        <f t="shared" si="29"/>
        <v>30667.884999999998</v>
      </c>
      <c r="N97" s="20">
        <f t="shared" si="29"/>
        <v>28618.584999999995</v>
      </c>
      <c r="O97" s="20">
        <f t="shared" si="29"/>
        <v>24519.984999999997</v>
      </c>
      <c r="P97" s="20">
        <f t="shared" si="29"/>
        <v>26569.284999999996</v>
      </c>
      <c r="Q97" s="20">
        <f t="shared" si="29"/>
        <v>16322.784999999998</v>
      </c>
      <c r="R97" s="21">
        <f t="shared" si="29"/>
        <v>30667.884999999998</v>
      </c>
      <c r="S97" s="20"/>
      <c r="T97" s="20" t="s">
        <v>161</v>
      </c>
    </row>
    <row r="98" spans="1:20" x14ac:dyDescent="0.25">
      <c r="A98" s="17"/>
      <c r="B98" s="18" t="s">
        <v>162</v>
      </c>
      <c r="C98" s="28"/>
      <c r="D98" s="28"/>
      <c r="E98" s="28"/>
      <c r="F98" s="28"/>
      <c r="G98" s="28"/>
      <c r="H98" s="28"/>
      <c r="I98" s="28"/>
      <c r="J98" s="28"/>
      <c r="K98" s="28"/>
      <c r="L98" s="28"/>
      <c r="M98" s="28"/>
      <c r="N98" s="28"/>
      <c r="O98" s="28"/>
      <c r="P98" s="28"/>
      <c r="Q98" s="28"/>
      <c r="R98" s="48"/>
      <c r="S98" s="28"/>
      <c r="T98" s="24"/>
    </row>
    <row r="99" spans="1:20" x14ac:dyDescent="0.25">
      <c r="A99" s="17"/>
      <c r="B99" s="18" t="s">
        <v>93</v>
      </c>
      <c r="C99" s="24">
        <v>0.15</v>
      </c>
      <c r="D99" s="24">
        <v>0.15</v>
      </c>
      <c r="E99" s="24">
        <v>0.15</v>
      </c>
      <c r="F99" s="24">
        <v>0.15</v>
      </c>
      <c r="G99" s="24">
        <v>0.15</v>
      </c>
      <c r="H99" s="24">
        <v>0.15</v>
      </c>
      <c r="I99" s="24">
        <v>0.15</v>
      </c>
      <c r="J99" s="24">
        <v>0.15</v>
      </c>
      <c r="K99" s="24">
        <v>0.15</v>
      </c>
      <c r="L99" s="24">
        <v>0.15</v>
      </c>
      <c r="M99" s="24">
        <v>0.15</v>
      </c>
      <c r="N99" s="24">
        <v>0.15</v>
      </c>
      <c r="O99" s="24">
        <v>0.15</v>
      </c>
      <c r="P99" s="24">
        <v>0.15</v>
      </c>
      <c r="Q99" s="24">
        <v>0.15</v>
      </c>
      <c r="R99" s="25">
        <v>0.15</v>
      </c>
      <c r="S99" s="24"/>
      <c r="T99" s="20"/>
    </row>
    <row r="100" spans="1:20" x14ac:dyDescent="0.25">
      <c r="A100" s="17"/>
      <c r="B100" s="18" t="s">
        <v>94</v>
      </c>
      <c r="C100" s="20">
        <f>C97*(1+C99)</f>
        <v>35268.067749999995</v>
      </c>
      <c r="D100" s="20">
        <f t="shared" ref="D100:R100" si="30">D97*(1+D99)</f>
        <v>32911.372749999995</v>
      </c>
      <c r="E100" s="20">
        <f t="shared" si="30"/>
        <v>28197.982749999996</v>
      </c>
      <c r="F100" s="20">
        <f t="shared" si="30"/>
        <v>35268.067749999995</v>
      </c>
      <c r="G100" s="20">
        <f t="shared" si="30"/>
        <v>30554.677749999992</v>
      </c>
      <c r="H100" s="20">
        <f t="shared" si="30"/>
        <v>18771.202749999997</v>
      </c>
      <c r="I100" s="20">
        <f t="shared" si="30"/>
        <v>16414.507749999997</v>
      </c>
      <c r="J100" s="20">
        <f t="shared" si="30"/>
        <v>18771.202749999997</v>
      </c>
      <c r="K100" s="20">
        <f t="shared" si="30"/>
        <v>21127.897749999996</v>
      </c>
      <c r="L100" s="20">
        <f t="shared" si="30"/>
        <v>23484.592749999996</v>
      </c>
      <c r="M100" s="20">
        <f t="shared" si="30"/>
        <v>35268.067749999995</v>
      </c>
      <c r="N100" s="20">
        <f t="shared" si="30"/>
        <v>32911.372749999995</v>
      </c>
      <c r="O100" s="20">
        <f t="shared" si="30"/>
        <v>28197.982749999996</v>
      </c>
      <c r="P100" s="20">
        <f t="shared" si="30"/>
        <v>30554.677749999992</v>
      </c>
      <c r="Q100" s="20">
        <f t="shared" si="30"/>
        <v>18771.202749999997</v>
      </c>
      <c r="R100" s="21">
        <f t="shared" si="30"/>
        <v>35268.067749999995</v>
      </c>
      <c r="S100" s="20"/>
      <c r="T100" s="20" t="s">
        <v>163</v>
      </c>
    </row>
    <row r="101" spans="1:20" x14ac:dyDescent="0.25">
      <c r="A101" s="17"/>
      <c r="B101" s="18"/>
      <c r="C101" s="18"/>
      <c r="D101" s="18"/>
      <c r="E101" s="18"/>
      <c r="F101" s="18"/>
      <c r="G101" s="18"/>
      <c r="H101" s="18"/>
      <c r="I101" s="18"/>
      <c r="J101" s="18"/>
      <c r="K101" s="18"/>
      <c r="L101" s="18"/>
      <c r="M101" s="18"/>
      <c r="N101" s="18"/>
      <c r="O101" s="18"/>
      <c r="P101" s="18"/>
      <c r="Q101" s="18"/>
      <c r="R101" s="19"/>
      <c r="S101" s="18" t="s">
        <v>164</v>
      </c>
      <c r="T101" s="18"/>
    </row>
    <row r="102" spans="1:20" x14ac:dyDescent="0.25">
      <c r="A102" s="35" t="s">
        <v>165</v>
      </c>
      <c r="B102" s="29" t="s">
        <v>166</v>
      </c>
      <c r="C102" s="26">
        <f t="shared" ref="C102:R102" si="31">C56*12000/3412</f>
        <v>703.39976553341148</v>
      </c>
      <c r="D102" s="26">
        <f t="shared" si="31"/>
        <v>668.22977725674093</v>
      </c>
      <c r="E102" s="26">
        <f t="shared" si="31"/>
        <v>597.88980070339971</v>
      </c>
      <c r="F102" s="26">
        <f t="shared" si="31"/>
        <v>703.39976553341148</v>
      </c>
      <c r="G102" s="26">
        <f t="shared" si="31"/>
        <v>633.05978898007038</v>
      </c>
      <c r="H102" s="26">
        <f t="shared" si="31"/>
        <v>457.20984759671745</v>
      </c>
      <c r="I102" s="26">
        <f t="shared" si="31"/>
        <v>422.0398593200469</v>
      </c>
      <c r="J102" s="26">
        <f t="shared" si="31"/>
        <v>457.20984759671745</v>
      </c>
      <c r="K102" s="26">
        <f t="shared" si="31"/>
        <v>492.37983587338806</v>
      </c>
      <c r="L102" s="26">
        <f t="shared" si="31"/>
        <v>527.54982415005861</v>
      </c>
      <c r="M102" s="26">
        <f t="shared" si="31"/>
        <v>703.39976553341148</v>
      </c>
      <c r="N102" s="26">
        <f t="shared" si="31"/>
        <v>668.22977725674093</v>
      </c>
      <c r="O102" s="26">
        <f t="shared" si="31"/>
        <v>597.88980070339971</v>
      </c>
      <c r="P102" s="26">
        <f t="shared" si="31"/>
        <v>633.05978898007038</v>
      </c>
      <c r="Q102" s="26">
        <f t="shared" si="31"/>
        <v>457.20984759671745</v>
      </c>
      <c r="R102" s="27">
        <f t="shared" si="31"/>
        <v>703.39976553341148</v>
      </c>
      <c r="S102" s="26" t="s">
        <v>167</v>
      </c>
      <c r="T102" s="26" t="s">
        <v>168</v>
      </c>
    </row>
    <row r="103" spans="1:20" x14ac:dyDescent="0.25">
      <c r="A103" s="17"/>
      <c r="B103" s="18" t="s">
        <v>89</v>
      </c>
      <c r="C103" s="18">
        <v>1</v>
      </c>
      <c r="D103" s="18">
        <v>1</v>
      </c>
      <c r="E103" s="18">
        <v>1</v>
      </c>
      <c r="F103" s="18">
        <v>1</v>
      </c>
      <c r="G103" s="18">
        <v>1</v>
      </c>
      <c r="H103" s="18">
        <v>1</v>
      </c>
      <c r="I103" s="18">
        <v>1</v>
      </c>
      <c r="J103" s="18">
        <v>1</v>
      </c>
      <c r="K103" s="18">
        <v>1</v>
      </c>
      <c r="L103" s="18">
        <v>1</v>
      </c>
      <c r="M103" s="18">
        <v>1</v>
      </c>
      <c r="N103" s="18">
        <v>1</v>
      </c>
      <c r="O103" s="18">
        <v>1</v>
      </c>
      <c r="P103" s="18">
        <v>1</v>
      </c>
      <c r="Q103" s="18">
        <v>1</v>
      </c>
      <c r="R103" s="19">
        <v>1</v>
      </c>
      <c r="S103" s="18"/>
      <c r="T103" s="18"/>
    </row>
    <row r="104" spans="1:20" x14ac:dyDescent="0.25">
      <c r="A104" s="17"/>
      <c r="B104" s="18" t="s">
        <v>169</v>
      </c>
      <c r="C104" s="20">
        <f>5161.1+40.059*C102</f>
        <v>33338.591207502926</v>
      </c>
      <c r="D104" s="20">
        <f t="shared" ref="D104:R104" si="32">5161.1+40.059*D102</f>
        <v>31929.716647127781</v>
      </c>
      <c r="E104" s="20">
        <f t="shared" si="32"/>
        <v>29111.967526377492</v>
      </c>
      <c r="F104" s="20">
        <f t="shared" si="32"/>
        <v>33338.591207502926</v>
      </c>
      <c r="G104" s="20">
        <f t="shared" si="32"/>
        <v>30520.842086752637</v>
      </c>
      <c r="H104" s="20">
        <f t="shared" si="32"/>
        <v>23476.469284876905</v>
      </c>
      <c r="I104" s="20">
        <f t="shared" si="32"/>
        <v>22067.59472450176</v>
      </c>
      <c r="J104" s="20">
        <f t="shared" si="32"/>
        <v>23476.469284876905</v>
      </c>
      <c r="K104" s="20">
        <f t="shared" si="32"/>
        <v>24885.34384525205</v>
      </c>
      <c r="L104" s="20">
        <f t="shared" si="32"/>
        <v>26294.218405627194</v>
      </c>
      <c r="M104" s="20">
        <f t="shared" si="32"/>
        <v>33338.591207502926</v>
      </c>
      <c r="N104" s="20">
        <f t="shared" si="32"/>
        <v>31929.716647127781</v>
      </c>
      <c r="O104" s="20">
        <f t="shared" si="32"/>
        <v>29111.967526377492</v>
      </c>
      <c r="P104" s="20">
        <f t="shared" si="32"/>
        <v>30520.842086752637</v>
      </c>
      <c r="Q104" s="20">
        <f t="shared" si="32"/>
        <v>23476.469284876905</v>
      </c>
      <c r="R104" s="21">
        <f t="shared" si="32"/>
        <v>33338.591207502926</v>
      </c>
      <c r="S104" s="26"/>
      <c r="T104" s="20" t="s">
        <v>91</v>
      </c>
    </row>
    <row r="105" spans="1:20" x14ac:dyDescent="0.25">
      <c r="A105" s="17"/>
      <c r="B105" s="18" t="s">
        <v>93</v>
      </c>
      <c r="C105" s="24">
        <v>0.15</v>
      </c>
      <c r="D105" s="24">
        <v>0.15</v>
      </c>
      <c r="E105" s="24">
        <v>0.15</v>
      </c>
      <c r="F105" s="24">
        <v>0.15</v>
      </c>
      <c r="G105" s="24">
        <v>0.15</v>
      </c>
      <c r="H105" s="24">
        <v>0.15</v>
      </c>
      <c r="I105" s="24">
        <v>0.15</v>
      </c>
      <c r="J105" s="24">
        <v>0.15</v>
      </c>
      <c r="K105" s="24">
        <v>0.15</v>
      </c>
      <c r="L105" s="24">
        <v>0.15</v>
      </c>
      <c r="M105" s="24">
        <v>0.15</v>
      </c>
      <c r="N105" s="24">
        <v>0.15</v>
      </c>
      <c r="O105" s="24">
        <v>0.15</v>
      </c>
      <c r="P105" s="24">
        <v>0.15</v>
      </c>
      <c r="Q105" s="24">
        <v>0.15</v>
      </c>
      <c r="R105" s="25">
        <v>0.15</v>
      </c>
      <c r="S105" s="24"/>
      <c r="T105" s="24"/>
    </row>
    <row r="106" spans="1:20" x14ac:dyDescent="0.25">
      <c r="A106" s="17"/>
      <c r="B106" s="18" t="s">
        <v>94</v>
      </c>
      <c r="C106" s="20">
        <f>C104*(1+C105)</f>
        <v>38339.379888628362</v>
      </c>
      <c r="D106" s="20">
        <f t="shared" ref="D106:R106" si="33">D104*(1+D105)</f>
        <v>36719.174144196943</v>
      </c>
      <c r="E106" s="20">
        <f t="shared" si="33"/>
        <v>33478.762655334111</v>
      </c>
      <c r="F106" s="20">
        <f t="shared" si="33"/>
        <v>38339.379888628362</v>
      </c>
      <c r="G106" s="20">
        <f t="shared" si="33"/>
        <v>35098.96839976553</v>
      </c>
      <c r="H106" s="20">
        <f t="shared" si="33"/>
        <v>26997.93967760844</v>
      </c>
      <c r="I106" s="20">
        <f t="shared" si="33"/>
        <v>25377.73393317702</v>
      </c>
      <c r="J106" s="20">
        <f t="shared" si="33"/>
        <v>26997.93967760844</v>
      </c>
      <c r="K106" s="20">
        <f t="shared" si="33"/>
        <v>28618.145422039855</v>
      </c>
      <c r="L106" s="20">
        <f t="shared" si="33"/>
        <v>30238.351166471271</v>
      </c>
      <c r="M106" s="20">
        <f t="shared" si="33"/>
        <v>38339.379888628362</v>
      </c>
      <c r="N106" s="20">
        <f t="shared" si="33"/>
        <v>36719.174144196943</v>
      </c>
      <c r="O106" s="20">
        <f t="shared" si="33"/>
        <v>33478.762655334111</v>
      </c>
      <c r="P106" s="20">
        <f t="shared" si="33"/>
        <v>35098.96839976553</v>
      </c>
      <c r="Q106" s="20">
        <f t="shared" si="33"/>
        <v>26997.93967760844</v>
      </c>
      <c r="R106" s="21">
        <f t="shared" si="33"/>
        <v>38339.379888628362</v>
      </c>
      <c r="S106" s="20"/>
      <c r="T106" s="20" t="s">
        <v>170</v>
      </c>
    </row>
    <row r="107" spans="1:20" x14ac:dyDescent="0.25">
      <c r="A107" s="17"/>
      <c r="B107" s="18"/>
      <c r="C107" s="18"/>
      <c r="D107" s="18"/>
      <c r="E107" s="18"/>
      <c r="F107" s="18"/>
      <c r="G107" s="18"/>
      <c r="H107" s="18"/>
      <c r="I107" s="18"/>
      <c r="J107" s="18"/>
      <c r="K107" s="18"/>
      <c r="L107" s="18"/>
      <c r="M107" s="18"/>
      <c r="N107" s="18"/>
      <c r="O107" s="18"/>
      <c r="P107" s="18"/>
      <c r="Q107" s="18"/>
      <c r="R107" s="19"/>
      <c r="S107" s="18"/>
      <c r="T107" s="18"/>
    </row>
    <row r="108" spans="1:20" x14ac:dyDescent="0.25">
      <c r="A108" s="35" t="s">
        <v>121</v>
      </c>
      <c r="B108" s="18" t="s">
        <v>122</v>
      </c>
      <c r="C108" s="30">
        <f>SUMIF($B56:$B106,$B$62,C56:C106)</f>
        <v>3777302.6476386283</v>
      </c>
      <c r="D108" s="30">
        <f t="shared" ref="D108:R108" si="34">SUMIF($B56:$B106,$B$62,D56:D106)</f>
        <v>3758605.7468941971</v>
      </c>
      <c r="E108" s="30">
        <f t="shared" si="34"/>
        <v>3719710.5454053339</v>
      </c>
      <c r="F108" s="30">
        <f t="shared" si="34"/>
        <v>3777302.6476386283</v>
      </c>
      <c r="G108" s="30">
        <f t="shared" si="34"/>
        <v>3738407.446149765</v>
      </c>
      <c r="H108" s="30">
        <f t="shared" si="34"/>
        <v>3643421.5424276083</v>
      </c>
      <c r="I108" s="30">
        <f t="shared" si="34"/>
        <v>3624724.6416831762</v>
      </c>
      <c r="J108" s="30">
        <f t="shared" si="34"/>
        <v>3643421.5424276083</v>
      </c>
      <c r="K108" s="30">
        <f t="shared" si="34"/>
        <v>3662118.4431720395</v>
      </c>
      <c r="L108" s="30">
        <f t="shared" si="34"/>
        <v>3682316.7439164706</v>
      </c>
      <c r="M108" s="30">
        <f t="shared" si="34"/>
        <v>3777302.6476386283</v>
      </c>
      <c r="N108" s="30">
        <f t="shared" si="34"/>
        <v>3758605.7468941971</v>
      </c>
      <c r="O108" s="30">
        <f t="shared" si="34"/>
        <v>3719710.5454053339</v>
      </c>
      <c r="P108" s="30">
        <f t="shared" si="34"/>
        <v>3738407.446149765</v>
      </c>
      <c r="Q108" s="30">
        <f t="shared" si="34"/>
        <v>3643421.5424276083</v>
      </c>
      <c r="R108" s="31">
        <f t="shared" si="34"/>
        <v>3777302.6476386283</v>
      </c>
      <c r="S108" s="73"/>
      <c r="T108" s="73"/>
    </row>
    <row r="109" spans="1:20" x14ac:dyDescent="0.25">
      <c r="A109" s="17"/>
      <c r="B109" s="18"/>
      <c r="C109" s="18"/>
      <c r="D109" s="18"/>
      <c r="E109" s="18"/>
      <c r="F109" s="18"/>
      <c r="G109" s="18"/>
      <c r="H109" s="18"/>
      <c r="I109" s="18"/>
      <c r="J109" s="18"/>
      <c r="K109" s="18"/>
      <c r="L109" s="18"/>
      <c r="M109" s="18"/>
      <c r="N109" s="18"/>
      <c r="O109" s="18"/>
      <c r="P109" s="18"/>
      <c r="Q109" s="18"/>
      <c r="R109" s="19"/>
      <c r="S109" s="18"/>
      <c r="T109" s="18"/>
    </row>
    <row r="110" spans="1:20" x14ac:dyDescent="0.25">
      <c r="A110" s="17"/>
      <c r="B110" s="18" t="s">
        <v>123</v>
      </c>
      <c r="C110" s="20">
        <f t="shared" ref="C110:R110" si="35">2.5*$C$2</f>
        <v>1246472.5</v>
      </c>
      <c r="D110" s="20">
        <f t="shared" si="35"/>
        <v>1246472.5</v>
      </c>
      <c r="E110" s="20">
        <f t="shared" si="35"/>
        <v>1246472.5</v>
      </c>
      <c r="F110" s="20">
        <f t="shared" si="35"/>
        <v>1246472.5</v>
      </c>
      <c r="G110" s="20">
        <f t="shared" si="35"/>
        <v>1246472.5</v>
      </c>
      <c r="H110" s="20">
        <f t="shared" si="35"/>
        <v>1246472.5</v>
      </c>
      <c r="I110" s="20">
        <f t="shared" si="35"/>
        <v>1246472.5</v>
      </c>
      <c r="J110" s="20">
        <f t="shared" si="35"/>
        <v>1246472.5</v>
      </c>
      <c r="K110" s="20">
        <f t="shared" si="35"/>
        <v>1246472.5</v>
      </c>
      <c r="L110" s="20">
        <f t="shared" si="35"/>
        <v>1246472.5</v>
      </c>
      <c r="M110" s="20">
        <f t="shared" si="35"/>
        <v>1246472.5</v>
      </c>
      <c r="N110" s="20">
        <f t="shared" si="35"/>
        <v>1246472.5</v>
      </c>
      <c r="O110" s="20">
        <f t="shared" si="35"/>
        <v>1246472.5</v>
      </c>
      <c r="P110" s="20">
        <f t="shared" si="35"/>
        <v>1246472.5</v>
      </c>
      <c r="Q110" s="20">
        <f t="shared" si="35"/>
        <v>1246472.5</v>
      </c>
      <c r="R110" s="21">
        <f t="shared" si="35"/>
        <v>1246472.5</v>
      </c>
      <c r="S110" s="20"/>
      <c r="T110" s="20" t="s">
        <v>124</v>
      </c>
    </row>
    <row r="111" spans="1:20" x14ac:dyDescent="0.25">
      <c r="A111" s="17"/>
      <c r="B111" s="18" t="s">
        <v>125</v>
      </c>
      <c r="C111" s="20">
        <f>200*160</f>
        <v>32000</v>
      </c>
      <c r="D111" s="20">
        <f t="shared" ref="D111:R111" si="36">200*160</f>
        <v>32000</v>
      </c>
      <c r="E111" s="20">
        <f t="shared" si="36"/>
        <v>32000</v>
      </c>
      <c r="F111" s="20">
        <f t="shared" si="36"/>
        <v>32000</v>
      </c>
      <c r="G111" s="20">
        <f t="shared" si="36"/>
        <v>32000</v>
      </c>
      <c r="H111" s="20">
        <f t="shared" si="36"/>
        <v>32000</v>
      </c>
      <c r="I111" s="20">
        <f t="shared" si="36"/>
        <v>32000</v>
      </c>
      <c r="J111" s="20">
        <f t="shared" si="36"/>
        <v>32000</v>
      </c>
      <c r="K111" s="20">
        <f t="shared" si="36"/>
        <v>32000</v>
      </c>
      <c r="L111" s="20">
        <f t="shared" si="36"/>
        <v>32000</v>
      </c>
      <c r="M111" s="20">
        <f t="shared" si="36"/>
        <v>32000</v>
      </c>
      <c r="N111" s="20">
        <f t="shared" si="36"/>
        <v>32000</v>
      </c>
      <c r="O111" s="20">
        <f t="shared" si="36"/>
        <v>32000</v>
      </c>
      <c r="P111" s="20">
        <f t="shared" si="36"/>
        <v>32000</v>
      </c>
      <c r="Q111" s="20">
        <f t="shared" si="36"/>
        <v>32000</v>
      </c>
      <c r="R111" s="21">
        <f t="shared" si="36"/>
        <v>32000</v>
      </c>
      <c r="S111" s="20"/>
      <c r="T111" s="20" t="s">
        <v>126</v>
      </c>
    </row>
    <row r="112" spans="1:20" x14ac:dyDescent="0.25">
      <c r="A112" s="17"/>
      <c r="B112" s="18"/>
      <c r="C112" s="18"/>
      <c r="D112" s="18"/>
      <c r="E112" s="18"/>
      <c r="F112" s="18"/>
      <c r="G112" s="18"/>
      <c r="H112" s="18"/>
      <c r="I112" s="18"/>
      <c r="J112" s="18"/>
      <c r="K112" s="18"/>
      <c r="L112" s="18"/>
      <c r="M112" s="18"/>
      <c r="N112" s="18"/>
      <c r="O112" s="18"/>
      <c r="P112" s="18"/>
      <c r="Q112" s="18"/>
      <c r="R112" s="19"/>
      <c r="S112" s="18"/>
      <c r="T112" s="18"/>
    </row>
    <row r="113" spans="1:20" x14ac:dyDescent="0.25">
      <c r="A113" s="35" t="s">
        <v>127</v>
      </c>
      <c r="B113" s="18" t="s">
        <v>128</v>
      </c>
      <c r="C113" s="30">
        <f>SUM(C108,C110,C111)</f>
        <v>5055775.1476386283</v>
      </c>
      <c r="D113" s="30">
        <f t="shared" ref="D113:R113" si="37">SUM(D108,D110,D111)</f>
        <v>5037078.2468941975</v>
      </c>
      <c r="E113" s="30">
        <f t="shared" si="37"/>
        <v>4998183.0454053339</v>
      </c>
      <c r="F113" s="30">
        <f t="shared" si="37"/>
        <v>5055775.1476386283</v>
      </c>
      <c r="G113" s="30">
        <f t="shared" si="37"/>
        <v>5016879.9461497646</v>
      </c>
      <c r="H113" s="30">
        <f t="shared" si="37"/>
        <v>4921894.0424276087</v>
      </c>
      <c r="I113" s="30">
        <f t="shared" si="37"/>
        <v>4903197.1416831762</v>
      </c>
      <c r="J113" s="30">
        <f t="shared" si="37"/>
        <v>4921894.0424276087</v>
      </c>
      <c r="K113" s="30">
        <f t="shared" si="37"/>
        <v>4940590.9431720395</v>
      </c>
      <c r="L113" s="30">
        <f t="shared" si="37"/>
        <v>4960789.2439164706</v>
      </c>
      <c r="M113" s="30">
        <f t="shared" si="37"/>
        <v>5055775.1476386283</v>
      </c>
      <c r="N113" s="30">
        <f t="shared" si="37"/>
        <v>5037078.2468941975</v>
      </c>
      <c r="O113" s="30">
        <f t="shared" si="37"/>
        <v>4998183.0454053339</v>
      </c>
      <c r="P113" s="30">
        <f t="shared" si="37"/>
        <v>5016879.9461497646</v>
      </c>
      <c r="Q113" s="30">
        <f t="shared" si="37"/>
        <v>4921894.0424276087</v>
      </c>
      <c r="R113" s="31">
        <f t="shared" si="37"/>
        <v>5055775.1476386283</v>
      </c>
      <c r="S113" s="73"/>
      <c r="T113" s="73"/>
    </row>
    <row r="114" spans="1:20" x14ac:dyDescent="0.25">
      <c r="A114" s="32"/>
      <c r="B114" s="33"/>
      <c r="C114" s="33"/>
      <c r="D114" s="33"/>
      <c r="E114" s="33"/>
      <c r="F114" s="33"/>
      <c r="G114" s="33"/>
      <c r="H114" s="33"/>
      <c r="I114" s="33"/>
      <c r="J114" s="33"/>
      <c r="K114" s="33"/>
      <c r="L114" s="33"/>
      <c r="M114" s="33"/>
      <c r="N114" s="33"/>
      <c r="O114" s="33"/>
      <c r="P114" s="33"/>
      <c r="Q114" s="33"/>
      <c r="R114" s="34"/>
      <c r="S114" s="18"/>
      <c r="T114" s="18"/>
    </row>
    <row r="115" spans="1:20" x14ac:dyDescent="0.25">
      <c r="A115" s="53"/>
      <c r="C115" s="5"/>
      <c r="D115" s="5"/>
      <c r="E115" s="5"/>
      <c r="F115" s="5"/>
      <c r="G115" s="5"/>
      <c r="H115" s="5"/>
      <c r="I115" s="5"/>
      <c r="J115" s="5"/>
      <c r="K115" s="5"/>
      <c r="L115" s="5"/>
      <c r="M115" s="5"/>
      <c r="N115" s="5"/>
      <c r="O115" s="5"/>
      <c r="P115" s="5"/>
      <c r="Q115" s="5"/>
      <c r="R115" s="5"/>
      <c r="S115" s="5"/>
      <c r="T115" s="5"/>
    </row>
    <row r="117" spans="1:20" ht="21" x14ac:dyDescent="0.35">
      <c r="A117" s="171"/>
      <c r="B117" s="37" t="s">
        <v>171</v>
      </c>
      <c r="C117" s="172"/>
      <c r="D117" s="172"/>
      <c r="E117" s="172"/>
      <c r="F117" s="172" t="s">
        <v>172</v>
      </c>
      <c r="G117" s="172"/>
      <c r="H117" s="172">
        <v>4412</v>
      </c>
      <c r="I117" s="172"/>
      <c r="J117" s="172"/>
      <c r="K117" s="172"/>
      <c r="L117" s="172"/>
      <c r="M117" s="172"/>
      <c r="N117" s="172"/>
      <c r="O117" s="172"/>
      <c r="P117" s="172"/>
      <c r="Q117" s="172"/>
      <c r="R117" s="173"/>
      <c r="S117" s="36"/>
      <c r="T117" s="36"/>
    </row>
    <row r="118" spans="1:20" x14ac:dyDescent="0.25">
      <c r="A118" s="39"/>
      <c r="B118" s="36"/>
      <c r="C118" s="36" t="s">
        <v>49</v>
      </c>
      <c r="D118" s="36" t="s">
        <v>50</v>
      </c>
      <c r="E118" s="36" t="s">
        <v>51</v>
      </c>
      <c r="F118" s="36" t="s">
        <v>52</v>
      </c>
      <c r="G118" s="36" t="s">
        <v>53</v>
      </c>
      <c r="H118" s="36" t="s">
        <v>54</v>
      </c>
      <c r="I118" s="36" t="s">
        <v>55</v>
      </c>
      <c r="J118" s="36" t="s">
        <v>56</v>
      </c>
      <c r="K118" s="36" t="s">
        <v>57</v>
      </c>
      <c r="L118" s="36" t="s">
        <v>58</v>
      </c>
      <c r="M118" s="36" t="s">
        <v>59</v>
      </c>
      <c r="N118" s="36" t="s">
        <v>60</v>
      </c>
      <c r="O118" s="36" t="s">
        <v>61</v>
      </c>
      <c r="P118" s="36" t="s">
        <v>62</v>
      </c>
      <c r="Q118" s="36" t="s">
        <v>63</v>
      </c>
      <c r="R118" s="38" t="s">
        <v>64</v>
      </c>
      <c r="S118" s="36"/>
      <c r="T118" s="36"/>
    </row>
    <row r="119" spans="1:20" x14ac:dyDescent="0.25">
      <c r="A119" s="47" t="s">
        <v>85</v>
      </c>
      <c r="B119" s="36" t="s">
        <v>86</v>
      </c>
      <c r="C119" s="36">
        <f t="shared" ref="C119:R119" si="38">2*C342*3.412</f>
        <v>4320</v>
      </c>
      <c r="D119" s="36">
        <f t="shared" si="38"/>
        <v>4560</v>
      </c>
      <c r="E119" s="36">
        <f t="shared" si="38"/>
        <v>3839.9999999999995</v>
      </c>
      <c r="F119" s="36">
        <f t="shared" si="38"/>
        <v>4560</v>
      </c>
      <c r="G119" s="36">
        <f t="shared" si="38"/>
        <v>4079.9999999999995</v>
      </c>
      <c r="H119" s="36">
        <f t="shared" si="38"/>
        <v>2880</v>
      </c>
      <c r="I119" s="36">
        <f t="shared" si="38"/>
        <v>2880</v>
      </c>
      <c r="J119" s="36">
        <f t="shared" si="38"/>
        <v>3600</v>
      </c>
      <c r="K119" s="36">
        <f t="shared" si="38"/>
        <v>3360</v>
      </c>
      <c r="L119" s="36">
        <f t="shared" si="38"/>
        <v>3600</v>
      </c>
      <c r="M119" s="36">
        <f t="shared" si="38"/>
        <v>4320</v>
      </c>
      <c r="N119" s="36">
        <f t="shared" si="38"/>
        <v>4320</v>
      </c>
      <c r="O119" s="36">
        <f t="shared" si="38"/>
        <v>4079.9999999999995</v>
      </c>
      <c r="P119" s="36">
        <f t="shared" si="38"/>
        <v>4560</v>
      </c>
      <c r="Q119" s="36">
        <f t="shared" si="38"/>
        <v>3120</v>
      </c>
      <c r="R119" s="38">
        <f t="shared" si="38"/>
        <v>4560</v>
      </c>
      <c r="S119" s="36" t="s">
        <v>87</v>
      </c>
      <c r="T119" s="36" t="s">
        <v>173</v>
      </c>
    </row>
    <row r="120" spans="1:20" x14ac:dyDescent="0.25">
      <c r="A120" s="39"/>
      <c r="B120" s="36" t="s">
        <v>89</v>
      </c>
      <c r="C120" s="36">
        <v>1</v>
      </c>
      <c r="D120" s="36">
        <v>1</v>
      </c>
      <c r="E120" s="36">
        <v>1</v>
      </c>
      <c r="F120" s="36">
        <v>1</v>
      </c>
      <c r="G120" s="36">
        <v>1</v>
      </c>
      <c r="H120" s="36">
        <v>1</v>
      </c>
      <c r="I120" s="36">
        <v>1</v>
      </c>
      <c r="J120" s="36">
        <v>1</v>
      </c>
      <c r="K120" s="36">
        <v>1</v>
      </c>
      <c r="L120" s="36">
        <v>1</v>
      </c>
      <c r="M120" s="36">
        <v>1</v>
      </c>
      <c r="N120" s="36">
        <v>1</v>
      </c>
      <c r="O120" s="36">
        <v>1</v>
      </c>
      <c r="P120" s="36">
        <v>1</v>
      </c>
      <c r="Q120" s="36">
        <v>1</v>
      </c>
      <c r="R120" s="38">
        <v>1</v>
      </c>
      <c r="S120" s="36"/>
      <c r="T120" s="36"/>
    </row>
    <row r="121" spans="1:20" x14ac:dyDescent="0.25">
      <c r="A121" s="39"/>
      <c r="B121" s="36" t="s">
        <v>90</v>
      </c>
      <c r="C121" s="40">
        <f>1657+12.769*C119</f>
        <v>56819.08</v>
      </c>
      <c r="D121" s="40">
        <f t="shared" ref="D121:R121" si="39">1657+12.769*D119</f>
        <v>59883.64</v>
      </c>
      <c r="E121" s="40">
        <f t="shared" si="39"/>
        <v>50689.959999999992</v>
      </c>
      <c r="F121" s="40">
        <f t="shared" si="39"/>
        <v>59883.64</v>
      </c>
      <c r="G121" s="40">
        <f t="shared" si="39"/>
        <v>53754.52</v>
      </c>
      <c r="H121" s="40">
        <f t="shared" si="39"/>
        <v>38431.72</v>
      </c>
      <c r="I121" s="40">
        <f t="shared" si="39"/>
        <v>38431.72</v>
      </c>
      <c r="J121" s="40">
        <f t="shared" si="39"/>
        <v>47625.4</v>
      </c>
      <c r="K121" s="40">
        <f t="shared" si="39"/>
        <v>44560.840000000004</v>
      </c>
      <c r="L121" s="40">
        <f t="shared" si="39"/>
        <v>47625.4</v>
      </c>
      <c r="M121" s="40">
        <f t="shared" si="39"/>
        <v>56819.08</v>
      </c>
      <c r="N121" s="40">
        <f t="shared" si="39"/>
        <v>56819.08</v>
      </c>
      <c r="O121" s="40">
        <f t="shared" si="39"/>
        <v>53754.52</v>
      </c>
      <c r="P121" s="40">
        <f t="shared" si="39"/>
        <v>59883.64</v>
      </c>
      <c r="Q121" s="40">
        <f t="shared" si="39"/>
        <v>41496.28</v>
      </c>
      <c r="R121" s="174">
        <f t="shared" si="39"/>
        <v>59883.64</v>
      </c>
      <c r="S121" s="40"/>
      <c r="T121" s="40" t="s">
        <v>174</v>
      </c>
    </row>
    <row r="122" spans="1:20" x14ac:dyDescent="0.25">
      <c r="A122" s="39"/>
      <c r="B122" s="36" t="s">
        <v>92</v>
      </c>
      <c r="C122" s="41">
        <f>1505.7+4.9783*C119</f>
        <v>23011.956000000002</v>
      </c>
      <c r="D122" s="41">
        <f t="shared" ref="D122:R122" si="40">1505.7+4.9783*D119</f>
        <v>24206.748</v>
      </c>
      <c r="E122" s="41">
        <f t="shared" si="40"/>
        <v>20622.371999999999</v>
      </c>
      <c r="F122" s="41">
        <f t="shared" si="40"/>
        <v>24206.748</v>
      </c>
      <c r="G122" s="41">
        <f t="shared" si="40"/>
        <v>21817.163999999997</v>
      </c>
      <c r="H122" s="41">
        <f t="shared" si="40"/>
        <v>15843.204</v>
      </c>
      <c r="I122" s="41">
        <f t="shared" si="40"/>
        <v>15843.204</v>
      </c>
      <c r="J122" s="41">
        <f t="shared" si="40"/>
        <v>19427.580000000002</v>
      </c>
      <c r="K122" s="41">
        <f t="shared" si="40"/>
        <v>18232.788</v>
      </c>
      <c r="L122" s="41">
        <f t="shared" si="40"/>
        <v>19427.580000000002</v>
      </c>
      <c r="M122" s="41">
        <f t="shared" si="40"/>
        <v>23011.956000000002</v>
      </c>
      <c r="N122" s="41">
        <f t="shared" si="40"/>
        <v>23011.956000000002</v>
      </c>
      <c r="O122" s="41">
        <f t="shared" si="40"/>
        <v>21817.163999999997</v>
      </c>
      <c r="P122" s="41">
        <f t="shared" si="40"/>
        <v>24206.748</v>
      </c>
      <c r="Q122" s="41">
        <f t="shared" si="40"/>
        <v>17037.995999999999</v>
      </c>
      <c r="R122" s="44">
        <f t="shared" si="40"/>
        <v>24206.748</v>
      </c>
      <c r="S122" s="41"/>
      <c r="T122" s="41" t="s">
        <v>175</v>
      </c>
    </row>
    <row r="123" spans="1:20" x14ac:dyDescent="0.25">
      <c r="A123" s="39"/>
      <c r="B123" s="36" t="s">
        <v>93</v>
      </c>
      <c r="C123" s="42">
        <v>0.15</v>
      </c>
      <c r="D123" s="42">
        <v>0.15</v>
      </c>
      <c r="E123" s="42">
        <v>0.15</v>
      </c>
      <c r="F123" s="42">
        <v>0.15</v>
      </c>
      <c r="G123" s="42">
        <v>0.15</v>
      </c>
      <c r="H123" s="42">
        <v>0.15</v>
      </c>
      <c r="I123" s="42">
        <v>0.15</v>
      </c>
      <c r="J123" s="42">
        <v>0.15</v>
      </c>
      <c r="K123" s="42">
        <v>0.15</v>
      </c>
      <c r="L123" s="42">
        <v>0.15</v>
      </c>
      <c r="M123" s="42">
        <v>0.15</v>
      </c>
      <c r="N123" s="42">
        <v>0.15</v>
      </c>
      <c r="O123" s="42">
        <v>0.15</v>
      </c>
      <c r="P123" s="42">
        <v>0.15</v>
      </c>
      <c r="Q123" s="42">
        <v>0.15</v>
      </c>
      <c r="R123" s="43">
        <v>0.15</v>
      </c>
      <c r="S123" s="42"/>
      <c r="T123" s="42"/>
    </row>
    <row r="124" spans="1:20" x14ac:dyDescent="0.25">
      <c r="A124" s="39"/>
      <c r="B124" s="36" t="s">
        <v>94</v>
      </c>
      <c r="C124" s="41">
        <f>(C121+C122)*(1+C123)</f>
        <v>91805.691399999996</v>
      </c>
      <c r="D124" s="41">
        <f t="shared" ref="D124:R124" si="41">(D121+D122)*(1+D123)</f>
        <v>96703.946200000006</v>
      </c>
      <c r="E124" s="41">
        <f t="shared" si="41"/>
        <v>82009.181799999991</v>
      </c>
      <c r="F124" s="41">
        <f t="shared" si="41"/>
        <v>96703.946200000006</v>
      </c>
      <c r="G124" s="41">
        <f t="shared" si="41"/>
        <v>86907.436599999986</v>
      </c>
      <c r="H124" s="41">
        <f t="shared" si="41"/>
        <v>62416.162599999996</v>
      </c>
      <c r="I124" s="41">
        <f t="shared" si="41"/>
        <v>62416.162599999996</v>
      </c>
      <c r="J124" s="41">
        <f t="shared" si="41"/>
        <v>77110.927000000011</v>
      </c>
      <c r="K124" s="41">
        <f t="shared" si="41"/>
        <v>72212.672200000001</v>
      </c>
      <c r="L124" s="41">
        <f t="shared" si="41"/>
        <v>77110.927000000011</v>
      </c>
      <c r="M124" s="41">
        <f t="shared" si="41"/>
        <v>91805.691399999996</v>
      </c>
      <c r="N124" s="41">
        <f t="shared" si="41"/>
        <v>91805.691399999996</v>
      </c>
      <c r="O124" s="41">
        <f t="shared" si="41"/>
        <v>86907.436599999986</v>
      </c>
      <c r="P124" s="41">
        <f t="shared" si="41"/>
        <v>96703.946200000006</v>
      </c>
      <c r="Q124" s="41">
        <f t="shared" si="41"/>
        <v>67314.417399999991</v>
      </c>
      <c r="R124" s="44">
        <f t="shared" si="41"/>
        <v>96703.946200000006</v>
      </c>
      <c r="S124" s="41"/>
      <c r="T124" s="41" t="s">
        <v>176</v>
      </c>
    </row>
    <row r="125" spans="1:20" x14ac:dyDescent="0.25">
      <c r="A125" s="39"/>
      <c r="B125" s="36"/>
      <c r="C125" s="106"/>
      <c r="D125" s="106"/>
      <c r="E125" s="106"/>
      <c r="F125" s="106"/>
      <c r="G125" s="106"/>
      <c r="H125" s="106"/>
      <c r="I125" s="106"/>
      <c r="J125" s="106"/>
      <c r="K125" s="106"/>
      <c r="L125" s="106"/>
      <c r="M125" s="106"/>
      <c r="N125" s="106"/>
      <c r="O125" s="106"/>
      <c r="P125" s="106"/>
      <c r="Q125" s="106"/>
      <c r="R125" s="184"/>
      <c r="S125" s="106"/>
      <c r="T125" s="106"/>
    </row>
    <row r="126" spans="1:20" x14ac:dyDescent="0.25">
      <c r="A126" s="47" t="s">
        <v>96</v>
      </c>
      <c r="B126" s="36" t="s">
        <v>86</v>
      </c>
      <c r="C126" s="36"/>
      <c r="D126" s="36"/>
      <c r="E126" s="36"/>
      <c r="F126" s="36"/>
      <c r="G126" s="36"/>
      <c r="H126" s="36"/>
      <c r="I126" s="36"/>
      <c r="J126" s="36"/>
      <c r="K126" s="36"/>
      <c r="L126" s="36"/>
      <c r="M126" s="36"/>
      <c r="N126" s="36"/>
      <c r="O126" s="36"/>
      <c r="P126" s="36"/>
      <c r="Q126" s="36"/>
      <c r="R126" s="38"/>
      <c r="S126" s="36"/>
      <c r="T126" s="36"/>
    </row>
    <row r="127" spans="1:20" x14ac:dyDescent="0.25">
      <c r="A127" s="39"/>
      <c r="B127" s="36" t="s">
        <v>98</v>
      </c>
      <c r="C127" s="36">
        <f t="shared" ref="C127:R127" si="42">C306</f>
        <v>166505</v>
      </c>
      <c r="D127" s="36">
        <f t="shared" si="42"/>
        <v>176558</v>
      </c>
      <c r="E127" s="36">
        <f t="shared" si="42"/>
        <v>180164</v>
      </c>
      <c r="F127" s="36">
        <f t="shared" si="42"/>
        <v>181289</v>
      </c>
      <c r="G127" s="36">
        <f t="shared" si="42"/>
        <v>174266</v>
      </c>
      <c r="H127" s="36">
        <f t="shared" si="42"/>
        <v>181210</v>
      </c>
      <c r="I127" s="36">
        <f t="shared" si="42"/>
        <v>182303</v>
      </c>
      <c r="J127" s="36">
        <f t="shared" si="42"/>
        <v>184254</v>
      </c>
      <c r="K127" s="36">
        <f t="shared" si="42"/>
        <v>186954</v>
      </c>
      <c r="L127" s="36">
        <f t="shared" si="42"/>
        <v>187210</v>
      </c>
      <c r="M127" s="36">
        <f t="shared" si="42"/>
        <v>190144</v>
      </c>
      <c r="N127" s="36">
        <f t="shared" si="42"/>
        <v>180573</v>
      </c>
      <c r="O127" s="36">
        <f t="shared" si="42"/>
        <v>188519</v>
      </c>
      <c r="P127" s="36">
        <f t="shared" si="42"/>
        <v>200049</v>
      </c>
      <c r="Q127" s="36">
        <f t="shared" si="42"/>
        <v>200596</v>
      </c>
      <c r="R127" s="38">
        <f t="shared" si="42"/>
        <v>208718</v>
      </c>
      <c r="S127" s="36" t="s">
        <v>177</v>
      </c>
      <c r="T127" s="71" t="s">
        <v>178</v>
      </c>
    </row>
    <row r="128" spans="1:20" x14ac:dyDescent="0.25">
      <c r="A128" s="39"/>
      <c r="B128" s="36" t="s">
        <v>101</v>
      </c>
      <c r="C128" s="71"/>
      <c r="D128" s="71"/>
      <c r="E128" s="71"/>
      <c r="F128" s="71"/>
      <c r="G128" s="71"/>
      <c r="H128" s="71"/>
      <c r="I128" s="71"/>
      <c r="J128" s="71"/>
      <c r="K128" s="71"/>
      <c r="L128" s="71"/>
      <c r="M128" s="71"/>
      <c r="N128" s="71"/>
      <c r="O128" s="71"/>
      <c r="P128" s="71"/>
      <c r="Q128" s="71"/>
      <c r="R128" s="175"/>
      <c r="S128" s="71"/>
      <c r="T128" s="42"/>
    </row>
    <row r="129" spans="1:20" x14ac:dyDescent="0.25">
      <c r="A129" s="39"/>
      <c r="B129" s="36" t="s">
        <v>90</v>
      </c>
      <c r="C129" s="45">
        <f>8489.2+2.1333*C127</f>
        <v>363694.31650000002</v>
      </c>
      <c r="D129" s="45">
        <f t="shared" ref="D129:R129" si="43">8489.2+2.1333*D127</f>
        <v>385140.38140000007</v>
      </c>
      <c r="E129" s="45">
        <f t="shared" si="43"/>
        <v>392833.06120000005</v>
      </c>
      <c r="F129" s="45">
        <f t="shared" si="43"/>
        <v>395233.02370000002</v>
      </c>
      <c r="G129" s="45">
        <f t="shared" si="43"/>
        <v>380250.85780000006</v>
      </c>
      <c r="H129" s="45">
        <f t="shared" si="43"/>
        <v>395064.49300000007</v>
      </c>
      <c r="I129" s="45">
        <f t="shared" si="43"/>
        <v>397396.18990000006</v>
      </c>
      <c r="J129" s="45">
        <f t="shared" si="43"/>
        <v>401558.25820000004</v>
      </c>
      <c r="K129" s="45">
        <f t="shared" si="43"/>
        <v>407318.16820000007</v>
      </c>
      <c r="L129" s="45">
        <f t="shared" si="43"/>
        <v>407864.29300000006</v>
      </c>
      <c r="M129" s="45">
        <f t="shared" si="43"/>
        <v>414123.39520000003</v>
      </c>
      <c r="N129" s="45">
        <f t="shared" si="43"/>
        <v>393705.58090000006</v>
      </c>
      <c r="O129" s="45">
        <f t="shared" si="43"/>
        <v>410656.78270000004</v>
      </c>
      <c r="P129" s="45">
        <f t="shared" si="43"/>
        <v>435253.73170000006</v>
      </c>
      <c r="Q129" s="45">
        <f t="shared" si="43"/>
        <v>436420.64680000005</v>
      </c>
      <c r="R129" s="176">
        <f t="shared" si="43"/>
        <v>453747.30940000003</v>
      </c>
      <c r="S129" s="45"/>
      <c r="T129" s="36" t="s">
        <v>179</v>
      </c>
    </row>
    <row r="130" spans="1:20" x14ac:dyDescent="0.25">
      <c r="A130" s="39"/>
      <c r="B130" s="36" t="s">
        <v>92</v>
      </c>
      <c r="C130" s="36">
        <v>0</v>
      </c>
      <c r="D130" s="36">
        <v>0</v>
      </c>
      <c r="E130" s="36">
        <v>0</v>
      </c>
      <c r="F130" s="36">
        <v>0</v>
      </c>
      <c r="G130" s="36">
        <v>0</v>
      </c>
      <c r="H130" s="36">
        <v>0</v>
      </c>
      <c r="I130" s="36">
        <v>0</v>
      </c>
      <c r="J130" s="36">
        <v>0</v>
      </c>
      <c r="K130" s="36">
        <v>0</v>
      </c>
      <c r="L130" s="36">
        <v>0</v>
      </c>
      <c r="M130" s="36">
        <v>0</v>
      </c>
      <c r="N130" s="36">
        <v>0</v>
      </c>
      <c r="O130" s="36">
        <v>0</v>
      </c>
      <c r="P130" s="36">
        <v>0</v>
      </c>
      <c r="Q130" s="36">
        <v>0</v>
      </c>
      <c r="R130" s="38">
        <v>0</v>
      </c>
      <c r="S130" s="36"/>
      <c r="T130" s="42"/>
    </row>
    <row r="131" spans="1:20" x14ac:dyDescent="0.25">
      <c r="A131" s="39"/>
      <c r="B131" s="36" t="s">
        <v>93</v>
      </c>
      <c r="C131" s="42">
        <v>0.15</v>
      </c>
      <c r="D131" s="42">
        <v>0.15</v>
      </c>
      <c r="E131" s="42">
        <v>0.15</v>
      </c>
      <c r="F131" s="42">
        <v>0.15</v>
      </c>
      <c r="G131" s="42">
        <v>0.15</v>
      </c>
      <c r="H131" s="42">
        <v>0.15</v>
      </c>
      <c r="I131" s="42">
        <v>0.15</v>
      </c>
      <c r="J131" s="42">
        <v>0.15</v>
      </c>
      <c r="K131" s="42">
        <v>0.15</v>
      </c>
      <c r="L131" s="42">
        <v>0.15</v>
      </c>
      <c r="M131" s="42">
        <v>0.15</v>
      </c>
      <c r="N131" s="42">
        <v>0.15</v>
      </c>
      <c r="O131" s="42">
        <v>0.15</v>
      </c>
      <c r="P131" s="42">
        <v>0.15</v>
      </c>
      <c r="Q131" s="42">
        <v>0.15</v>
      </c>
      <c r="R131" s="43">
        <v>0.15</v>
      </c>
      <c r="S131" s="42"/>
      <c r="T131" s="42"/>
    </row>
    <row r="132" spans="1:20" x14ac:dyDescent="0.25">
      <c r="A132" s="39"/>
      <c r="B132" s="36" t="s">
        <v>94</v>
      </c>
      <c r="C132" s="41">
        <f>(C129+C130)*(1+C131)</f>
        <v>418248.46397499996</v>
      </c>
      <c r="D132" s="41">
        <f t="shared" ref="D132:R132" si="44">(D129+D130)*(1+D131)</f>
        <v>442911.43861000007</v>
      </c>
      <c r="E132" s="41">
        <f t="shared" si="44"/>
        <v>451758.02038</v>
      </c>
      <c r="F132" s="41">
        <f t="shared" si="44"/>
        <v>454517.97725499998</v>
      </c>
      <c r="G132" s="41">
        <f t="shared" si="44"/>
        <v>437288.48647</v>
      </c>
      <c r="H132" s="41">
        <f t="shared" si="44"/>
        <v>454324.16695000004</v>
      </c>
      <c r="I132" s="41">
        <f t="shared" si="44"/>
        <v>457005.61838500004</v>
      </c>
      <c r="J132" s="41">
        <f t="shared" si="44"/>
        <v>461791.99693000002</v>
      </c>
      <c r="K132" s="41">
        <f t="shared" si="44"/>
        <v>468415.89343000005</v>
      </c>
      <c r="L132" s="41">
        <f t="shared" si="44"/>
        <v>469043.93695000006</v>
      </c>
      <c r="M132" s="41">
        <f t="shared" si="44"/>
        <v>476241.90447999997</v>
      </c>
      <c r="N132" s="41">
        <f t="shared" si="44"/>
        <v>452761.41803500004</v>
      </c>
      <c r="O132" s="41">
        <f t="shared" si="44"/>
        <v>472255.30010500003</v>
      </c>
      <c r="P132" s="41">
        <f t="shared" si="44"/>
        <v>500541.79145500006</v>
      </c>
      <c r="Q132" s="41">
        <f t="shared" si="44"/>
        <v>501883.74382000003</v>
      </c>
      <c r="R132" s="44">
        <f t="shared" si="44"/>
        <v>521809.40580999997</v>
      </c>
      <c r="S132" s="41"/>
      <c r="T132" s="41" t="s">
        <v>180</v>
      </c>
    </row>
    <row r="133" spans="1:20" x14ac:dyDescent="0.25">
      <c r="A133" s="39"/>
      <c r="B133" s="36"/>
      <c r="C133" s="41"/>
      <c r="D133" s="41"/>
      <c r="E133" s="41"/>
      <c r="F133" s="41"/>
      <c r="G133" s="41"/>
      <c r="H133" s="41"/>
      <c r="I133" s="41"/>
      <c r="J133" s="41"/>
      <c r="K133" s="41"/>
      <c r="L133" s="41"/>
      <c r="M133" s="41"/>
      <c r="N133" s="41"/>
      <c r="O133" s="41"/>
      <c r="P133" s="41"/>
      <c r="Q133" s="41"/>
      <c r="R133" s="44"/>
      <c r="S133" s="41"/>
      <c r="T133" s="41"/>
    </row>
    <row r="134" spans="1:20" x14ac:dyDescent="0.25">
      <c r="A134" s="47" t="s">
        <v>103</v>
      </c>
      <c r="B134" s="36" t="s">
        <v>86</v>
      </c>
      <c r="C134" s="36"/>
      <c r="D134" s="36"/>
      <c r="E134" s="36"/>
      <c r="F134" s="36"/>
      <c r="G134" s="36"/>
      <c r="H134" s="36"/>
      <c r="I134" s="36"/>
      <c r="J134" s="36"/>
      <c r="K134" s="36"/>
      <c r="L134" s="36"/>
      <c r="M134" s="36"/>
      <c r="N134" s="36"/>
      <c r="O134" s="36"/>
      <c r="P134" s="36"/>
      <c r="Q134" s="36"/>
      <c r="R134" s="38"/>
      <c r="S134" s="36"/>
      <c r="T134" s="36"/>
    </row>
    <row r="135" spans="1:20" x14ac:dyDescent="0.25">
      <c r="A135" s="39"/>
      <c r="B135" s="36" t="s">
        <v>104</v>
      </c>
      <c r="C135" s="36">
        <f>$H$117</f>
        <v>4412</v>
      </c>
      <c r="D135" s="36">
        <f t="shared" ref="D135:R135" si="45">$H$117</f>
        <v>4412</v>
      </c>
      <c r="E135" s="36">
        <f t="shared" si="45"/>
        <v>4412</v>
      </c>
      <c r="F135" s="36">
        <f t="shared" si="45"/>
        <v>4412</v>
      </c>
      <c r="G135" s="36">
        <f t="shared" si="45"/>
        <v>4412</v>
      </c>
      <c r="H135" s="36">
        <f t="shared" si="45"/>
        <v>4412</v>
      </c>
      <c r="I135" s="36">
        <f t="shared" si="45"/>
        <v>4412</v>
      </c>
      <c r="J135" s="36">
        <f t="shared" si="45"/>
        <v>4412</v>
      </c>
      <c r="K135" s="36">
        <f t="shared" si="45"/>
        <v>4412</v>
      </c>
      <c r="L135" s="36">
        <f t="shared" si="45"/>
        <v>4412</v>
      </c>
      <c r="M135" s="36">
        <f t="shared" si="45"/>
        <v>4412</v>
      </c>
      <c r="N135" s="36">
        <f t="shared" si="45"/>
        <v>4412</v>
      </c>
      <c r="O135" s="36">
        <f t="shared" si="45"/>
        <v>4412</v>
      </c>
      <c r="P135" s="36">
        <f t="shared" si="45"/>
        <v>4412</v>
      </c>
      <c r="Q135" s="36">
        <f t="shared" si="45"/>
        <v>4412</v>
      </c>
      <c r="R135" s="38">
        <f t="shared" si="45"/>
        <v>4412</v>
      </c>
      <c r="S135" s="71" t="s">
        <v>181</v>
      </c>
      <c r="T135" s="71" t="s">
        <v>143</v>
      </c>
    </row>
    <row r="136" spans="1:20" x14ac:dyDescent="0.25">
      <c r="A136" s="39"/>
      <c r="B136" s="36" t="s">
        <v>101</v>
      </c>
      <c r="C136" s="71">
        <f>'Air-side Costs'!$E87</f>
        <v>270.93</v>
      </c>
      <c r="D136" s="71">
        <f>'Air-side Costs'!$E87</f>
        <v>270.93</v>
      </c>
      <c r="E136" s="71">
        <f>'Air-side Costs'!$E87</f>
        <v>270.93</v>
      </c>
      <c r="F136" s="71">
        <f>'Air-side Costs'!$E87</f>
        <v>270.93</v>
      </c>
      <c r="G136" s="71">
        <f>'Air-side Costs'!$E87</f>
        <v>270.93</v>
      </c>
      <c r="H136" s="71">
        <f>'Air-side Costs'!$E87</f>
        <v>270.93</v>
      </c>
      <c r="I136" s="71">
        <f>'Air-side Costs'!$E87</f>
        <v>270.93</v>
      </c>
      <c r="J136" s="71">
        <f>'Air-side Costs'!$E87</f>
        <v>270.93</v>
      </c>
      <c r="K136" s="71">
        <f>'Air-side Costs'!$E87</f>
        <v>270.93</v>
      </c>
      <c r="L136" s="71">
        <f>'Air-side Costs'!$E87</f>
        <v>270.93</v>
      </c>
      <c r="M136" s="71">
        <f>'Air-side Costs'!$E87</f>
        <v>270.93</v>
      </c>
      <c r="N136" s="71">
        <f>'Air-side Costs'!$E87</f>
        <v>270.93</v>
      </c>
      <c r="O136" s="71">
        <f>'Air-side Costs'!$E87</f>
        <v>270.93</v>
      </c>
      <c r="P136" s="71">
        <f>'Air-side Costs'!$E87</f>
        <v>270.93</v>
      </c>
      <c r="Q136" s="71">
        <f>'Air-side Costs'!$E87</f>
        <v>270.93</v>
      </c>
      <c r="R136" s="175">
        <f>'Air-side Costs'!$E87</f>
        <v>270.93</v>
      </c>
      <c r="S136" s="36" t="s">
        <v>144</v>
      </c>
      <c r="T136" s="36" t="s">
        <v>145</v>
      </c>
    </row>
    <row r="137" spans="1:20" x14ac:dyDescent="0.25">
      <c r="A137" s="39"/>
      <c r="B137" s="36" t="s">
        <v>90</v>
      </c>
      <c r="C137" s="45">
        <f>C135*C136</f>
        <v>1195343.1599999999</v>
      </c>
      <c r="D137" s="45">
        <f t="shared" ref="D137:R137" si="46">D135*D136</f>
        <v>1195343.1599999999</v>
      </c>
      <c r="E137" s="45">
        <f t="shared" si="46"/>
        <v>1195343.1599999999</v>
      </c>
      <c r="F137" s="45">
        <f t="shared" si="46"/>
        <v>1195343.1599999999</v>
      </c>
      <c r="G137" s="45">
        <f t="shared" si="46"/>
        <v>1195343.1599999999</v>
      </c>
      <c r="H137" s="45">
        <f t="shared" si="46"/>
        <v>1195343.1599999999</v>
      </c>
      <c r="I137" s="45">
        <f t="shared" si="46"/>
        <v>1195343.1599999999</v>
      </c>
      <c r="J137" s="45">
        <f t="shared" si="46"/>
        <v>1195343.1599999999</v>
      </c>
      <c r="K137" s="45">
        <f t="shared" si="46"/>
        <v>1195343.1599999999</v>
      </c>
      <c r="L137" s="45">
        <f t="shared" si="46"/>
        <v>1195343.1599999999</v>
      </c>
      <c r="M137" s="45">
        <f t="shared" si="46"/>
        <v>1195343.1599999999</v>
      </c>
      <c r="N137" s="45">
        <f t="shared" si="46"/>
        <v>1195343.1599999999</v>
      </c>
      <c r="O137" s="45">
        <f t="shared" si="46"/>
        <v>1195343.1599999999</v>
      </c>
      <c r="P137" s="45">
        <f t="shared" si="46"/>
        <v>1195343.1599999999</v>
      </c>
      <c r="Q137" s="45">
        <f t="shared" si="46"/>
        <v>1195343.1599999999</v>
      </c>
      <c r="R137" s="176">
        <f t="shared" si="46"/>
        <v>1195343.1599999999</v>
      </c>
      <c r="S137" s="36"/>
      <c r="T137" s="36" t="s">
        <v>182</v>
      </c>
    </row>
    <row r="138" spans="1:20" x14ac:dyDescent="0.25">
      <c r="A138" s="39"/>
      <c r="B138" s="36" t="s">
        <v>92</v>
      </c>
      <c r="C138" s="36">
        <v>0</v>
      </c>
      <c r="D138" s="36">
        <v>0</v>
      </c>
      <c r="E138" s="36">
        <v>0</v>
      </c>
      <c r="F138" s="36">
        <v>0</v>
      </c>
      <c r="G138" s="36">
        <v>0</v>
      </c>
      <c r="H138" s="36">
        <v>0</v>
      </c>
      <c r="I138" s="36">
        <v>0</v>
      </c>
      <c r="J138" s="36">
        <v>0</v>
      </c>
      <c r="K138" s="36">
        <v>0</v>
      </c>
      <c r="L138" s="36">
        <v>0</v>
      </c>
      <c r="M138" s="36">
        <v>0</v>
      </c>
      <c r="N138" s="36">
        <v>0</v>
      </c>
      <c r="O138" s="36">
        <v>0</v>
      </c>
      <c r="P138" s="36">
        <v>0</v>
      </c>
      <c r="Q138" s="36">
        <v>0</v>
      </c>
      <c r="R138" s="38">
        <v>0</v>
      </c>
      <c r="S138" s="41"/>
      <c r="T138" s="42"/>
    </row>
    <row r="139" spans="1:20" x14ac:dyDescent="0.25">
      <c r="A139" s="39"/>
      <c r="B139" s="36" t="s">
        <v>93</v>
      </c>
      <c r="C139" s="42">
        <v>0.15</v>
      </c>
      <c r="D139" s="42">
        <v>0.15</v>
      </c>
      <c r="E139" s="42">
        <v>0.15</v>
      </c>
      <c r="F139" s="42">
        <v>0.15</v>
      </c>
      <c r="G139" s="42">
        <v>0.15</v>
      </c>
      <c r="H139" s="42">
        <v>0.15</v>
      </c>
      <c r="I139" s="42">
        <v>0.15</v>
      </c>
      <c r="J139" s="42">
        <v>0.15</v>
      </c>
      <c r="K139" s="42">
        <v>0.15</v>
      </c>
      <c r="L139" s="42">
        <v>0.15</v>
      </c>
      <c r="M139" s="42">
        <v>0.15</v>
      </c>
      <c r="N139" s="42">
        <v>0.15</v>
      </c>
      <c r="O139" s="42">
        <v>0.15</v>
      </c>
      <c r="P139" s="42">
        <v>0.15</v>
      </c>
      <c r="Q139" s="42">
        <v>0.15</v>
      </c>
      <c r="R139" s="43">
        <v>0.15</v>
      </c>
      <c r="S139" s="42"/>
      <c r="T139" s="42"/>
    </row>
    <row r="140" spans="1:20" x14ac:dyDescent="0.25">
      <c r="A140" s="39"/>
      <c r="B140" s="36" t="s">
        <v>94</v>
      </c>
      <c r="C140" s="41">
        <f>(C137+C138)*(1+C139)</f>
        <v>1374644.6339999998</v>
      </c>
      <c r="D140" s="41">
        <f t="shared" ref="D140:R140" si="47">(D137+D138)*(1+D139)</f>
        <v>1374644.6339999998</v>
      </c>
      <c r="E140" s="41">
        <f t="shared" si="47"/>
        <v>1374644.6339999998</v>
      </c>
      <c r="F140" s="41">
        <f t="shared" si="47"/>
        <v>1374644.6339999998</v>
      </c>
      <c r="G140" s="41">
        <f t="shared" si="47"/>
        <v>1374644.6339999998</v>
      </c>
      <c r="H140" s="41">
        <f t="shared" si="47"/>
        <v>1374644.6339999998</v>
      </c>
      <c r="I140" s="41">
        <f t="shared" si="47"/>
        <v>1374644.6339999998</v>
      </c>
      <c r="J140" s="41">
        <f t="shared" si="47"/>
        <v>1374644.6339999998</v>
      </c>
      <c r="K140" s="41">
        <f t="shared" si="47"/>
        <v>1374644.6339999998</v>
      </c>
      <c r="L140" s="41">
        <f t="shared" si="47"/>
        <v>1374644.6339999998</v>
      </c>
      <c r="M140" s="41">
        <f t="shared" si="47"/>
        <v>1374644.6339999998</v>
      </c>
      <c r="N140" s="41">
        <f t="shared" si="47"/>
        <v>1374644.6339999998</v>
      </c>
      <c r="O140" s="41">
        <f t="shared" si="47"/>
        <v>1374644.6339999998</v>
      </c>
      <c r="P140" s="41">
        <f t="shared" si="47"/>
        <v>1374644.6339999998</v>
      </c>
      <c r="Q140" s="41">
        <f t="shared" si="47"/>
        <v>1374644.6339999998</v>
      </c>
      <c r="R140" s="44">
        <f t="shared" si="47"/>
        <v>1374644.6339999998</v>
      </c>
      <c r="S140" s="41"/>
      <c r="T140" s="36" t="s">
        <v>183</v>
      </c>
    </row>
    <row r="141" spans="1:20" x14ac:dyDescent="0.25">
      <c r="A141" s="39"/>
      <c r="B141" s="36"/>
      <c r="C141" s="36"/>
      <c r="D141" s="36"/>
      <c r="E141" s="36"/>
      <c r="F141" s="36"/>
      <c r="G141" s="36"/>
      <c r="H141" s="36"/>
      <c r="I141" s="36"/>
      <c r="J141" s="36"/>
      <c r="K141" s="36"/>
      <c r="L141" s="36"/>
      <c r="M141" s="36"/>
      <c r="N141" s="36"/>
      <c r="O141" s="36"/>
      <c r="P141" s="36"/>
      <c r="Q141" s="36"/>
      <c r="R141" s="38"/>
      <c r="S141" s="36"/>
      <c r="T141" s="70"/>
    </row>
    <row r="142" spans="1:20" x14ac:dyDescent="0.25">
      <c r="A142" s="47" t="s">
        <v>110</v>
      </c>
      <c r="B142" s="36" t="s">
        <v>111</v>
      </c>
      <c r="C142" s="36">
        <f t="shared" ref="C142:R142" si="48">$H$117</f>
        <v>4412</v>
      </c>
      <c r="D142" s="36">
        <f t="shared" si="48"/>
        <v>4412</v>
      </c>
      <c r="E142" s="36">
        <f t="shared" si="48"/>
        <v>4412</v>
      </c>
      <c r="F142" s="36">
        <f t="shared" si="48"/>
        <v>4412</v>
      </c>
      <c r="G142" s="36">
        <f t="shared" si="48"/>
        <v>4412</v>
      </c>
      <c r="H142" s="36">
        <f t="shared" si="48"/>
        <v>4412</v>
      </c>
      <c r="I142" s="36">
        <f t="shared" si="48"/>
        <v>4412</v>
      </c>
      <c r="J142" s="36">
        <f t="shared" si="48"/>
        <v>4412</v>
      </c>
      <c r="K142" s="36">
        <f t="shared" si="48"/>
        <v>4412</v>
      </c>
      <c r="L142" s="36">
        <f t="shared" si="48"/>
        <v>4412</v>
      </c>
      <c r="M142" s="36">
        <f t="shared" si="48"/>
        <v>4412</v>
      </c>
      <c r="N142" s="36">
        <f t="shared" si="48"/>
        <v>4412</v>
      </c>
      <c r="O142" s="36">
        <f t="shared" si="48"/>
        <v>4412</v>
      </c>
      <c r="P142" s="36">
        <f t="shared" si="48"/>
        <v>4412</v>
      </c>
      <c r="Q142" s="36">
        <f t="shared" si="48"/>
        <v>4412</v>
      </c>
      <c r="R142" s="38">
        <f t="shared" si="48"/>
        <v>4412</v>
      </c>
      <c r="S142" s="36" t="s">
        <v>181</v>
      </c>
      <c r="T142" s="36" t="s">
        <v>147</v>
      </c>
    </row>
    <row r="143" spans="1:20" x14ac:dyDescent="0.25">
      <c r="A143" s="39"/>
      <c r="B143" s="36" t="s">
        <v>101</v>
      </c>
      <c r="C143" s="36">
        <f>'Air-side Costs'!$E89</f>
        <v>50.122</v>
      </c>
      <c r="D143" s="36">
        <f>'Air-side Costs'!$E89</f>
        <v>50.122</v>
      </c>
      <c r="E143" s="36">
        <f>'Air-side Costs'!$E89</f>
        <v>50.122</v>
      </c>
      <c r="F143" s="36">
        <f>'Air-side Costs'!$E89</f>
        <v>50.122</v>
      </c>
      <c r="G143" s="36">
        <f>'Air-side Costs'!$E89</f>
        <v>50.122</v>
      </c>
      <c r="H143" s="36">
        <f>'Air-side Costs'!$E89</f>
        <v>50.122</v>
      </c>
      <c r="I143" s="36">
        <f>'Air-side Costs'!$E89</f>
        <v>50.122</v>
      </c>
      <c r="J143" s="36">
        <f>'Air-side Costs'!$E89</f>
        <v>50.122</v>
      </c>
      <c r="K143" s="36">
        <f>'Air-side Costs'!$E89</f>
        <v>50.122</v>
      </c>
      <c r="L143" s="36">
        <f>'Air-side Costs'!$E89</f>
        <v>50.122</v>
      </c>
      <c r="M143" s="36">
        <f>'Air-side Costs'!$E89</f>
        <v>50.122</v>
      </c>
      <c r="N143" s="36">
        <f>'Air-side Costs'!$E89</f>
        <v>50.122</v>
      </c>
      <c r="O143" s="36">
        <f>'Air-side Costs'!$E89</f>
        <v>50.122</v>
      </c>
      <c r="P143" s="36">
        <f>'Air-side Costs'!$E89</f>
        <v>50.122</v>
      </c>
      <c r="Q143" s="36">
        <f>'Air-side Costs'!$E89</f>
        <v>50.122</v>
      </c>
      <c r="R143" s="38">
        <f>'Air-side Costs'!$E89</f>
        <v>50.122</v>
      </c>
      <c r="S143" s="36" t="s">
        <v>144</v>
      </c>
      <c r="T143" s="36" t="s">
        <v>148</v>
      </c>
    </row>
    <row r="144" spans="1:20" x14ac:dyDescent="0.25">
      <c r="A144" s="39"/>
      <c r="B144" s="36" t="s">
        <v>90</v>
      </c>
      <c r="C144" s="45">
        <f>C142*C143</f>
        <v>221138.264</v>
      </c>
      <c r="D144" s="45">
        <f t="shared" ref="D144:R144" si="49">D142*D143</f>
        <v>221138.264</v>
      </c>
      <c r="E144" s="45">
        <f t="shared" si="49"/>
        <v>221138.264</v>
      </c>
      <c r="F144" s="45">
        <f t="shared" si="49"/>
        <v>221138.264</v>
      </c>
      <c r="G144" s="45">
        <f t="shared" si="49"/>
        <v>221138.264</v>
      </c>
      <c r="H144" s="45">
        <f t="shared" si="49"/>
        <v>221138.264</v>
      </c>
      <c r="I144" s="45">
        <f t="shared" si="49"/>
        <v>221138.264</v>
      </c>
      <c r="J144" s="45">
        <f t="shared" si="49"/>
        <v>221138.264</v>
      </c>
      <c r="K144" s="45">
        <f t="shared" si="49"/>
        <v>221138.264</v>
      </c>
      <c r="L144" s="45">
        <f t="shared" si="49"/>
        <v>221138.264</v>
      </c>
      <c r="M144" s="45">
        <f t="shared" si="49"/>
        <v>221138.264</v>
      </c>
      <c r="N144" s="45">
        <f t="shared" si="49"/>
        <v>221138.264</v>
      </c>
      <c r="O144" s="45">
        <f t="shared" si="49"/>
        <v>221138.264</v>
      </c>
      <c r="P144" s="45">
        <f t="shared" si="49"/>
        <v>221138.264</v>
      </c>
      <c r="Q144" s="45">
        <f t="shared" si="49"/>
        <v>221138.264</v>
      </c>
      <c r="R144" s="176">
        <f t="shared" si="49"/>
        <v>221138.264</v>
      </c>
      <c r="S144" s="42"/>
      <c r="T144" s="42"/>
    </row>
    <row r="145" spans="1:20" x14ac:dyDescent="0.25">
      <c r="A145" s="39"/>
      <c r="B145" s="36" t="s">
        <v>92</v>
      </c>
      <c r="C145" s="36">
        <v>0</v>
      </c>
      <c r="D145" s="36">
        <v>0</v>
      </c>
      <c r="E145" s="36">
        <v>0</v>
      </c>
      <c r="F145" s="36">
        <v>0</v>
      </c>
      <c r="G145" s="36">
        <v>0</v>
      </c>
      <c r="H145" s="36">
        <v>0</v>
      </c>
      <c r="I145" s="36">
        <v>0</v>
      </c>
      <c r="J145" s="36">
        <v>0</v>
      </c>
      <c r="K145" s="36">
        <v>0</v>
      </c>
      <c r="L145" s="36">
        <v>0</v>
      </c>
      <c r="M145" s="36">
        <v>0</v>
      </c>
      <c r="N145" s="36">
        <v>0</v>
      </c>
      <c r="O145" s="36">
        <v>0</v>
      </c>
      <c r="P145" s="36">
        <v>0</v>
      </c>
      <c r="Q145" s="36">
        <v>0</v>
      </c>
      <c r="R145" s="38">
        <v>0</v>
      </c>
      <c r="S145" s="36"/>
      <c r="T145" s="36"/>
    </row>
    <row r="146" spans="1:20" x14ac:dyDescent="0.25">
      <c r="A146" s="39"/>
      <c r="B146" s="36" t="s">
        <v>93</v>
      </c>
      <c r="C146" s="42">
        <v>0.15</v>
      </c>
      <c r="D146" s="42">
        <v>0.15</v>
      </c>
      <c r="E146" s="42">
        <v>0.15</v>
      </c>
      <c r="F146" s="42">
        <v>0.15</v>
      </c>
      <c r="G146" s="42">
        <v>0.15</v>
      </c>
      <c r="H146" s="42">
        <v>0.15</v>
      </c>
      <c r="I146" s="42">
        <v>0.15</v>
      </c>
      <c r="J146" s="42">
        <v>0.15</v>
      </c>
      <c r="K146" s="42">
        <v>0.15</v>
      </c>
      <c r="L146" s="42">
        <v>0.15</v>
      </c>
      <c r="M146" s="42">
        <v>0.15</v>
      </c>
      <c r="N146" s="42">
        <v>0.15</v>
      </c>
      <c r="O146" s="42">
        <v>0.15</v>
      </c>
      <c r="P146" s="42">
        <v>0.15</v>
      </c>
      <c r="Q146" s="42">
        <v>0.15</v>
      </c>
      <c r="R146" s="43">
        <v>0.15</v>
      </c>
      <c r="S146" s="41"/>
      <c r="T146" s="41"/>
    </row>
    <row r="147" spans="1:20" x14ac:dyDescent="0.25">
      <c r="A147" s="39"/>
      <c r="B147" s="36" t="s">
        <v>94</v>
      </c>
      <c r="C147" s="41">
        <f>(C144+C145)*(1+C146)</f>
        <v>254309.00359999997</v>
      </c>
      <c r="D147" s="41">
        <f t="shared" ref="D147:R147" si="50">(D144+D145)*(1+D146)</f>
        <v>254309.00359999997</v>
      </c>
      <c r="E147" s="41">
        <f t="shared" si="50"/>
        <v>254309.00359999997</v>
      </c>
      <c r="F147" s="41">
        <f t="shared" si="50"/>
        <v>254309.00359999997</v>
      </c>
      <c r="G147" s="41">
        <f t="shared" si="50"/>
        <v>254309.00359999997</v>
      </c>
      <c r="H147" s="41">
        <f t="shared" si="50"/>
        <v>254309.00359999997</v>
      </c>
      <c r="I147" s="41">
        <f t="shared" si="50"/>
        <v>254309.00359999997</v>
      </c>
      <c r="J147" s="41">
        <f t="shared" si="50"/>
        <v>254309.00359999997</v>
      </c>
      <c r="K147" s="41">
        <f t="shared" si="50"/>
        <v>254309.00359999997</v>
      </c>
      <c r="L147" s="41">
        <f t="shared" si="50"/>
        <v>254309.00359999997</v>
      </c>
      <c r="M147" s="41">
        <f t="shared" si="50"/>
        <v>254309.00359999997</v>
      </c>
      <c r="N147" s="41">
        <f t="shared" si="50"/>
        <v>254309.00359999997</v>
      </c>
      <c r="O147" s="41">
        <f t="shared" si="50"/>
        <v>254309.00359999997</v>
      </c>
      <c r="P147" s="41">
        <f t="shared" si="50"/>
        <v>254309.00359999997</v>
      </c>
      <c r="Q147" s="41">
        <f t="shared" si="50"/>
        <v>254309.00359999997</v>
      </c>
      <c r="R147" s="44">
        <f t="shared" si="50"/>
        <v>254309.00359999997</v>
      </c>
      <c r="S147" s="41"/>
      <c r="T147" s="41"/>
    </row>
    <row r="148" spans="1:20" x14ac:dyDescent="0.25">
      <c r="A148" s="39"/>
      <c r="B148" s="36"/>
      <c r="C148" s="36"/>
      <c r="D148" s="36"/>
      <c r="E148" s="36"/>
      <c r="F148" s="36"/>
      <c r="G148" s="36"/>
      <c r="H148" s="36"/>
      <c r="I148" s="36"/>
      <c r="J148" s="36"/>
      <c r="K148" s="36"/>
      <c r="L148" s="36"/>
      <c r="M148" s="36"/>
      <c r="N148" s="36"/>
      <c r="O148" s="36"/>
      <c r="P148" s="36"/>
      <c r="Q148" s="36"/>
      <c r="R148" s="38"/>
      <c r="S148" s="36"/>
      <c r="T148" s="36"/>
    </row>
    <row r="149" spans="1:20" x14ac:dyDescent="0.25">
      <c r="A149" s="47" t="s">
        <v>114</v>
      </c>
      <c r="B149" s="36" t="s">
        <v>94</v>
      </c>
      <c r="C149" s="41">
        <f>46*'Air-side Costs'!$M$100</f>
        <v>149283.79999999999</v>
      </c>
      <c r="D149" s="41">
        <f>46*'Air-side Costs'!$M$100</f>
        <v>149283.79999999999</v>
      </c>
      <c r="E149" s="41">
        <f>46*'Air-side Costs'!$M$100</f>
        <v>149283.79999999999</v>
      </c>
      <c r="F149" s="41">
        <f>46*'Air-side Costs'!$M$100</f>
        <v>149283.79999999999</v>
      </c>
      <c r="G149" s="41">
        <f>46*'Air-side Costs'!$M$100</f>
        <v>149283.79999999999</v>
      </c>
      <c r="H149" s="41">
        <f>46*'Air-side Costs'!$M$100</f>
        <v>149283.79999999999</v>
      </c>
      <c r="I149" s="41">
        <f>46*'Air-side Costs'!$M$100</f>
        <v>149283.79999999999</v>
      </c>
      <c r="J149" s="41">
        <f>46*'Air-side Costs'!$M$100</f>
        <v>149283.79999999999</v>
      </c>
      <c r="K149" s="41">
        <f>46*'Air-side Costs'!$M$100</f>
        <v>149283.79999999999</v>
      </c>
      <c r="L149" s="41">
        <f>46*'Air-side Costs'!$M$100</f>
        <v>149283.79999999999</v>
      </c>
      <c r="M149" s="41">
        <f>46*'Air-side Costs'!$M$100</f>
        <v>149283.79999999999</v>
      </c>
      <c r="N149" s="41">
        <f>46*'Air-side Costs'!$M$100</f>
        <v>149283.79999999999</v>
      </c>
      <c r="O149" s="41">
        <f>46*'Air-side Costs'!$M$100</f>
        <v>149283.79999999999</v>
      </c>
      <c r="P149" s="41">
        <f>46*'Air-side Costs'!$M$100</f>
        <v>149283.79999999999</v>
      </c>
      <c r="Q149" s="41">
        <f>46*'Air-side Costs'!$M$100</f>
        <v>149283.79999999999</v>
      </c>
      <c r="R149" s="44">
        <f>46*'Air-side Costs'!$M$100</f>
        <v>149283.79999999999</v>
      </c>
      <c r="S149" s="41"/>
      <c r="T149" s="41" t="s">
        <v>184</v>
      </c>
    </row>
    <row r="150" spans="1:20" x14ac:dyDescent="0.25">
      <c r="A150" s="39"/>
      <c r="B150" s="36" t="s">
        <v>185</v>
      </c>
      <c r="C150" s="36"/>
      <c r="D150" s="36"/>
      <c r="E150" s="36"/>
      <c r="F150" s="36"/>
      <c r="G150" s="36"/>
      <c r="H150" s="36"/>
      <c r="I150" s="36"/>
      <c r="J150" s="36"/>
      <c r="K150" s="36"/>
      <c r="L150" s="36"/>
      <c r="M150" s="36"/>
      <c r="N150" s="36"/>
      <c r="O150" s="36"/>
      <c r="P150" s="36"/>
      <c r="Q150" s="36"/>
      <c r="R150" s="38"/>
      <c r="S150" s="36"/>
      <c r="T150" s="36"/>
    </row>
    <row r="151" spans="1:20" x14ac:dyDescent="0.25">
      <c r="A151" s="39"/>
      <c r="B151" s="36"/>
      <c r="C151" s="36"/>
      <c r="D151" s="36"/>
      <c r="E151" s="36"/>
      <c r="F151" s="36"/>
      <c r="G151" s="36"/>
      <c r="H151" s="36"/>
      <c r="I151" s="36"/>
      <c r="J151" s="36"/>
      <c r="K151" s="36"/>
      <c r="L151" s="36"/>
      <c r="M151" s="36"/>
      <c r="N151" s="36"/>
      <c r="O151" s="36"/>
      <c r="P151" s="36"/>
      <c r="Q151" s="36"/>
      <c r="R151" s="38"/>
      <c r="S151" s="36"/>
      <c r="T151" s="36"/>
    </row>
    <row r="152" spans="1:20" x14ac:dyDescent="0.25">
      <c r="A152" s="47" t="s">
        <v>117</v>
      </c>
      <c r="B152" s="36" t="s">
        <v>118</v>
      </c>
      <c r="C152" s="194">
        <f>ROUNDUP(C119*'Plant-side Costs'!$J$78/2,0)*2</f>
        <v>8</v>
      </c>
      <c r="D152" s="194">
        <f>ROUNDUP(D119*'Plant-side Costs'!$J$78/2,0)*2</f>
        <v>8</v>
      </c>
      <c r="E152" s="194">
        <f>ROUNDUP(E119*'Plant-side Costs'!$J$78/2,0)*2</f>
        <v>6</v>
      </c>
      <c r="F152" s="194">
        <f>ROUNDUP(F119*'Plant-side Costs'!$J$78/2,0)*2</f>
        <v>8</v>
      </c>
      <c r="G152" s="194">
        <f>ROUNDUP(G119*'Plant-side Costs'!$J$78/2,0)*2</f>
        <v>8</v>
      </c>
      <c r="H152" s="194">
        <f>ROUNDUP(H119*'Plant-side Costs'!$J$78/2,0)*2</f>
        <v>6</v>
      </c>
      <c r="I152" s="194">
        <f>ROUNDUP(I119*'Plant-side Costs'!$J$78/2,0)*2</f>
        <v>6</v>
      </c>
      <c r="J152" s="194">
        <f>ROUNDUP(J119*'Plant-side Costs'!$J$78/2,0)*2</f>
        <v>6</v>
      </c>
      <c r="K152" s="194">
        <f>ROUNDUP(K119*'Plant-side Costs'!$J$78/2,0)*2</f>
        <v>6</v>
      </c>
      <c r="L152" s="194">
        <f>ROUNDUP(L119*'Plant-side Costs'!$J$78/2,0)*2</f>
        <v>6</v>
      </c>
      <c r="M152" s="194">
        <f>ROUNDUP(M119*'Plant-side Costs'!$J$78/2,0)*2</f>
        <v>8</v>
      </c>
      <c r="N152" s="194">
        <f>ROUNDUP(N119*'Plant-side Costs'!$J$78/2,0)*2</f>
        <v>8</v>
      </c>
      <c r="O152" s="194">
        <f>ROUNDUP(O119*'Plant-side Costs'!$J$78/2,0)*2</f>
        <v>8</v>
      </c>
      <c r="P152" s="194">
        <f>ROUNDUP(P119*'Plant-side Costs'!$J$78/2,0)*2</f>
        <v>8</v>
      </c>
      <c r="Q152" s="194">
        <f>ROUNDUP(Q119*'Plant-side Costs'!$J$78/2,0)*2</f>
        <v>6</v>
      </c>
      <c r="R152" s="195">
        <f>ROUNDUP(R119*'Plant-side Costs'!$J$78/2,0)*2</f>
        <v>8</v>
      </c>
      <c r="S152" s="45" t="s">
        <v>186</v>
      </c>
      <c r="T152" s="45" t="s">
        <v>153</v>
      </c>
    </row>
    <row r="153" spans="1:20" x14ac:dyDescent="0.25">
      <c r="A153" s="39"/>
      <c r="B153" s="36" t="s">
        <v>94</v>
      </c>
      <c r="C153" s="45">
        <f>9113.3+750.7*C152</f>
        <v>15118.9</v>
      </c>
      <c r="D153" s="45">
        <f t="shared" ref="D153:R153" si="51">9113.3+750.7*D152</f>
        <v>15118.9</v>
      </c>
      <c r="E153" s="45">
        <f t="shared" si="51"/>
        <v>13617.5</v>
      </c>
      <c r="F153" s="45">
        <f t="shared" si="51"/>
        <v>15118.9</v>
      </c>
      <c r="G153" s="45">
        <f t="shared" si="51"/>
        <v>15118.9</v>
      </c>
      <c r="H153" s="45">
        <f t="shared" si="51"/>
        <v>13617.5</v>
      </c>
      <c r="I153" s="45">
        <f t="shared" si="51"/>
        <v>13617.5</v>
      </c>
      <c r="J153" s="45">
        <f t="shared" si="51"/>
        <v>13617.5</v>
      </c>
      <c r="K153" s="45">
        <f t="shared" si="51"/>
        <v>13617.5</v>
      </c>
      <c r="L153" s="45">
        <f t="shared" si="51"/>
        <v>13617.5</v>
      </c>
      <c r="M153" s="45">
        <f t="shared" si="51"/>
        <v>15118.9</v>
      </c>
      <c r="N153" s="45">
        <f t="shared" si="51"/>
        <v>15118.9</v>
      </c>
      <c r="O153" s="45">
        <f t="shared" si="51"/>
        <v>15118.9</v>
      </c>
      <c r="P153" s="45">
        <f t="shared" si="51"/>
        <v>15118.9</v>
      </c>
      <c r="Q153" s="45">
        <f t="shared" si="51"/>
        <v>13617.5</v>
      </c>
      <c r="R153" s="176">
        <f t="shared" si="51"/>
        <v>15118.9</v>
      </c>
      <c r="S153" s="36" t="s">
        <v>187</v>
      </c>
      <c r="T153" s="36" t="s">
        <v>91</v>
      </c>
    </row>
    <row r="154" spans="1:20" x14ac:dyDescent="0.25">
      <c r="A154" s="39"/>
      <c r="B154" s="36"/>
      <c r="C154" s="36"/>
      <c r="D154" s="36"/>
      <c r="E154" s="36"/>
      <c r="F154" s="36"/>
      <c r="G154" s="36"/>
      <c r="H154" s="36"/>
      <c r="I154" s="36"/>
      <c r="J154" s="36"/>
      <c r="K154" s="36"/>
      <c r="L154" s="36"/>
      <c r="M154" s="36"/>
      <c r="N154" s="36"/>
      <c r="O154" s="36"/>
      <c r="P154" s="36"/>
      <c r="Q154" s="36"/>
      <c r="R154" s="38"/>
      <c r="S154" s="41"/>
      <c r="T154" s="41"/>
    </row>
    <row r="155" spans="1:20" x14ac:dyDescent="0.25">
      <c r="A155" s="47" t="s">
        <v>121</v>
      </c>
      <c r="B155" s="36" t="s">
        <v>122</v>
      </c>
      <c r="C155" s="46">
        <f t="shared" ref="C155:R155" si="52">SUMIF($B119:$B153,$B$12,C119:C153)</f>
        <v>2303410.4929749994</v>
      </c>
      <c r="D155" s="46">
        <f t="shared" si="52"/>
        <v>2332971.7224099995</v>
      </c>
      <c r="E155" s="46">
        <f t="shared" si="52"/>
        <v>2325622.1397799999</v>
      </c>
      <c r="F155" s="46">
        <f t="shared" si="52"/>
        <v>2344578.2610549997</v>
      </c>
      <c r="G155" s="46">
        <f t="shared" si="52"/>
        <v>2317552.2606699998</v>
      </c>
      <c r="H155" s="46">
        <f t="shared" si="52"/>
        <v>2308595.2671499997</v>
      </c>
      <c r="I155" s="46">
        <f t="shared" si="52"/>
        <v>2311276.7185849999</v>
      </c>
      <c r="J155" s="46">
        <f t="shared" si="52"/>
        <v>2330757.8615299999</v>
      </c>
      <c r="K155" s="46">
        <f t="shared" si="52"/>
        <v>2332483.5032299999</v>
      </c>
      <c r="L155" s="46">
        <f t="shared" si="52"/>
        <v>2338009.8015499995</v>
      </c>
      <c r="M155" s="46">
        <f t="shared" si="52"/>
        <v>2361403.9334799997</v>
      </c>
      <c r="N155" s="46">
        <f t="shared" si="52"/>
        <v>2337923.4470349997</v>
      </c>
      <c r="O155" s="46">
        <f t="shared" si="52"/>
        <v>2352519.0743049998</v>
      </c>
      <c r="P155" s="46">
        <f t="shared" si="52"/>
        <v>2390602.0752549996</v>
      </c>
      <c r="Q155" s="46">
        <f t="shared" si="52"/>
        <v>2361053.0988199995</v>
      </c>
      <c r="R155" s="177">
        <f t="shared" si="52"/>
        <v>2411869.6896099998</v>
      </c>
      <c r="S155" s="36"/>
      <c r="T155" s="36"/>
    </row>
    <row r="156" spans="1:20" x14ac:dyDescent="0.25">
      <c r="A156" s="39"/>
      <c r="B156" s="36"/>
      <c r="C156" s="36"/>
      <c r="D156" s="36"/>
      <c r="E156" s="36"/>
      <c r="F156" s="36"/>
      <c r="G156" s="36"/>
      <c r="H156" s="36"/>
      <c r="I156" s="36"/>
      <c r="J156" s="36"/>
      <c r="K156" s="36"/>
      <c r="L156" s="36"/>
      <c r="M156" s="36"/>
      <c r="N156" s="36"/>
      <c r="O156" s="36"/>
      <c r="P156" s="36"/>
      <c r="Q156" s="36"/>
      <c r="R156" s="38"/>
      <c r="S156" s="45"/>
      <c r="T156" s="45"/>
    </row>
    <row r="157" spans="1:20" x14ac:dyDescent="0.25">
      <c r="A157" s="39"/>
      <c r="B157" s="36" t="s">
        <v>123</v>
      </c>
      <c r="C157" s="45">
        <f t="shared" ref="C157:R157" si="53">2.25*$C$3</f>
        <v>474493.5</v>
      </c>
      <c r="D157" s="45">
        <f t="shared" si="53"/>
        <v>474493.5</v>
      </c>
      <c r="E157" s="45">
        <f t="shared" si="53"/>
        <v>474493.5</v>
      </c>
      <c r="F157" s="45">
        <f t="shared" si="53"/>
        <v>474493.5</v>
      </c>
      <c r="G157" s="45">
        <f t="shared" si="53"/>
        <v>474493.5</v>
      </c>
      <c r="H157" s="45">
        <f t="shared" si="53"/>
        <v>474493.5</v>
      </c>
      <c r="I157" s="45">
        <f t="shared" si="53"/>
        <v>474493.5</v>
      </c>
      <c r="J157" s="45">
        <f t="shared" si="53"/>
        <v>474493.5</v>
      </c>
      <c r="K157" s="45">
        <f t="shared" si="53"/>
        <v>474493.5</v>
      </c>
      <c r="L157" s="45">
        <f t="shared" si="53"/>
        <v>474493.5</v>
      </c>
      <c r="M157" s="45">
        <f t="shared" si="53"/>
        <v>474493.5</v>
      </c>
      <c r="N157" s="45">
        <f t="shared" si="53"/>
        <v>474493.5</v>
      </c>
      <c r="O157" s="45">
        <f t="shared" si="53"/>
        <v>474493.5</v>
      </c>
      <c r="P157" s="45">
        <f t="shared" si="53"/>
        <v>474493.5</v>
      </c>
      <c r="Q157" s="45">
        <f t="shared" si="53"/>
        <v>474493.5</v>
      </c>
      <c r="R157" s="176">
        <f t="shared" si="53"/>
        <v>474493.5</v>
      </c>
      <c r="S157" s="45"/>
      <c r="T157" s="36" t="s">
        <v>124</v>
      </c>
    </row>
    <row r="158" spans="1:20" x14ac:dyDescent="0.25">
      <c r="A158" s="39"/>
      <c r="B158" s="36" t="s">
        <v>125</v>
      </c>
      <c r="C158" s="45">
        <f>100*160</f>
        <v>16000</v>
      </c>
      <c r="D158" s="45">
        <f t="shared" ref="D158:R158" si="54">100*160</f>
        <v>16000</v>
      </c>
      <c r="E158" s="45">
        <f t="shared" si="54"/>
        <v>16000</v>
      </c>
      <c r="F158" s="45">
        <f t="shared" si="54"/>
        <v>16000</v>
      </c>
      <c r="G158" s="45">
        <f t="shared" si="54"/>
        <v>16000</v>
      </c>
      <c r="H158" s="45">
        <f t="shared" si="54"/>
        <v>16000</v>
      </c>
      <c r="I158" s="45">
        <f t="shared" si="54"/>
        <v>16000</v>
      </c>
      <c r="J158" s="45">
        <f t="shared" si="54"/>
        <v>16000</v>
      </c>
      <c r="K158" s="45">
        <f t="shared" si="54"/>
        <v>16000</v>
      </c>
      <c r="L158" s="45">
        <f t="shared" si="54"/>
        <v>16000</v>
      </c>
      <c r="M158" s="45">
        <f t="shared" si="54"/>
        <v>16000</v>
      </c>
      <c r="N158" s="45">
        <f t="shared" si="54"/>
        <v>16000</v>
      </c>
      <c r="O158" s="45">
        <f t="shared" si="54"/>
        <v>16000</v>
      </c>
      <c r="P158" s="45">
        <f t="shared" si="54"/>
        <v>16000</v>
      </c>
      <c r="Q158" s="45">
        <f t="shared" si="54"/>
        <v>16000</v>
      </c>
      <c r="R158" s="176">
        <f t="shared" si="54"/>
        <v>16000</v>
      </c>
      <c r="S158" s="45"/>
      <c r="T158" s="36" t="s">
        <v>126</v>
      </c>
    </row>
    <row r="159" spans="1:20" x14ac:dyDescent="0.25">
      <c r="A159" s="39"/>
      <c r="B159" s="36" t="s">
        <v>94</v>
      </c>
      <c r="C159" s="45">
        <f>C157+C158</f>
        <v>490493.5</v>
      </c>
      <c r="D159" s="45">
        <f t="shared" ref="D159:R159" si="55">D157+D158</f>
        <v>490493.5</v>
      </c>
      <c r="E159" s="45">
        <f t="shared" si="55"/>
        <v>490493.5</v>
      </c>
      <c r="F159" s="45">
        <f t="shared" si="55"/>
        <v>490493.5</v>
      </c>
      <c r="G159" s="45">
        <f t="shared" si="55"/>
        <v>490493.5</v>
      </c>
      <c r="H159" s="45">
        <f t="shared" si="55"/>
        <v>490493.5</v>
      </c>
      <c r="I159" s="45">
        <f t="shared" si="55"/>
        <v>490493.5</v>
      </c>
      <c r="J159" s="45">
        <f t="shared" si="55"/>
        <v>490493.5</v>
      </c>
      <c r="K159" s="45">
        <f t="shared" si="55"/>
        <v>490493.5</v>
      </c>
      <c r="L159" s="45">
        <f t="shared" si="55"/>
        <v>490493.5</v>
      </c>
      <c r="M159" s="45">
        <f t="shared" si="55"/>
        <v>490493.5</v>
      </c>
      <c r="N159" s="45">
        <f t="shared" si="55"/>
        <v>490493.5</v>
      </c>
      <c r="O159" s="45">
        <f t="shared" si="55"/>
        <v>490493.5</v>
      </c>
      <c r="P159" s="45">
        <f t="shared" si="55"/>
        <v>490493.5</v>
      </c>
      <c r="Q159" s="45">
        <f t="shared" si="55"/>
        <v>490493.5</v>
      </c>
      <c r="R159" s="176">
        <f t="shared" si="55"/>
        <v>490493.5</v>
      </c>
      <c r="S159" s="36"/>
      <c r="T159" s="36"/>
    </row>
    <row r="160" spans="1:20" x14ac:dyDescent="0.25">
      <c r="A160" s="39"/>
      <c r="B160" s="36"/>
      <c r="C160" s="36"/>
      <c r="D160" s="36"/>
      <c r="E160" s="36"/>
      <c r="F160" s="36"/>
      <c r="G160" s="36"/>
      <c r="H160" s="36"/>
      <c r="I160" s="36"/>
      <c r="J160" s="36"/>
      <c r="K160" s="36"/>
      <c r="L160" s="36"/>
      <c r="M160" s="36"/>
      <c r="N160" s="36"/>
      <c r="O160" s="36"/>
      <c r="P160" s="36"/>
      <c r="Q160" s="36"/>
      <c r="R160" s="38"/>
      <c r="S160" s="36"/>
      <c r="T160" s="36"/>
    </row>
    <row r="161" spans="1:20" x14ac:dyDescent="0.25">
      <c r="A161" s="47" t="s">
        <v>127</v>
      </c>
      <c r="B161" s="36" t="s">
        <v>128</v>
      </c>
      <c r="C161" s="46">
        <f t="shared" ref="C161:R161" si="56">SUMIF($B119:$B159,$B$12,C119:C159)</f>
        <v>2793903.9929749994</v>
      </c>
      <c r="D161" s="46">
        <f t="shared" si="56"/>
        <v>2823465.2224099995</v>
      </c>
      <c r="E161" s="46">
        <f t="shared" si="56"/>
        <v>2816115.6397799999</v>
      </c>
      <c r="F161" s="46">
        <f t="shared" si="56"/>
        <v>2835071.7610549997</v>
      </c>
      <c r="G161" s="46">
        <f t="shared" si="56"/>
        <v>2808045.7606699998</v>
      </c>
      <c r="H161" s="46">
        <f t="shared" si="56"/>
        <v>2799088.7671499997</v>
      </c>
      <c r="I161" s="46">
        <f t="shared" si="56"/>
        <v>2801770.2185849999</v>
      </c>
      <c r="J161" s="46">
        <f t="shared" si="56"/>
        <v>2821251.3615299999</v>
      </c>
      <c r="K161" s="46">
        <f t="shared" si="56"/>
        <v>2822977.0032299999</v>
      </c>
      <c r="L161" s="46">
        <f t="shared" si="56"/>
        <v>2828503.3015499995</v>
      </c>
      <c r="M161" s="46">
        <f t="shared" si="56"/>
        <v>2851897.4334799997</v>
      </c>
      <c r="N161" s="46">
        <f t="shared" si="56"/>
        <v>2828416.9470349997</v>
      </c>
      <c r="O161" s="46">
        <f t="shared" si="56"/>
        <v>2843012.5743049998</v>
      </c>
      <c r="P161" s="46">
        <f t="shared" si="56"/>
        <v>2881095.5752549996</v>
      </c>
      <c r="Q161" s="46">
        <f t="shared" si="56"/>
        <v>2851546.5988199995</v>
      </c>
      <c r="R161" s="177">
        <f t="shared" si="56"/>
        <v>2902363.1896099998</v>
      </c>
      <c r="S161" s="41"/>
      <c r="T161" s="41"/>
    </row>
    <row r="162" spans="1:20" x14ac:dyDescent="0.25">
      <c r="A162" s="47"/>
      <c r="B162" s="36"/>
      <c r="C162" s="41"/>
      <c r="D162" s="41"/>
      <c r="E162" s="41"/>
      <c r="F162" s="41"/>
      <c r="G162" s="41"/>
      <c r="H162" s="41"/>
      <c r="I162" s="41"/>
      <c r="J162" s="41"/>
      <c r="K162" s="41"/>
      <c r="L162" s="41"/>
      <c r="M162" s="41"/>
      <c r="N162" s="41"/>
      <c r="O162" s="41"/>
      <c r="P162" s="41"/>
      <c r="Q162" s="41"/>
      <c r="R162" s="44"/>
      <c r="S162" s="41"/>
      <c r="T162" s="41"/>
    </row>
    <row r="163" spans="1:20" x14ac:dyDescent="0.25">
      <c r="A163" s="185"/>
      <c r="B163" s="179"/>
      <c r="C163" s="180"/>
      <c r="D163" s="180"/>
      <c r="E163" s="180"/>
      <c r="F163" s="180"/>
      <c r="G163" s="180"/>
      <c r="H163" s="180"/>
      <c r="I163" s="180"/>
      <c r="J163" s="180"/>
      <c r="K163" s="180"/>
      <c r="L163" s="180"/>
      <c r="M163" s="180"/>
      <c r="N163" s="180"/>
      <c r="O163" s="180"/>
      <c r="P163" s="180"/>
      <c r="Q163" s="180"/>
      <c r="R163" s="181"/>
      <c r="S163" s="41"/>
      <c r="T163" s="41"/>
    </row>
    <row r="164" spans="1:20" x14ac:dyDescent="0.25">
      <c r="A164" s="53"/>
      <c r="S164" s="5"/>
      <c r="T164" s="5"/>
    </row>
    <row r="165" spans="1:20" x14ac:dyDescent="0.25">
      <c r="A165" s="53"/>
      <c r="C165" s="5"/>
      <c r="D165" s="5"/>
      <c r="E165" s="5"/>
      <c r="F165" s="5"/>
      <c r="G165" s="5"/>
      <c r="H165" s="5"/>
      <c r="I165" s="5"/>
      <c r="J165" s="5"/>
      <c r="K165" s="5"/>
      <c r="L165" s="5"/>
      <c r="M165" s="5"/>
      <c r="N165" s="5"/>
      <c r="O165" s="5"/>
      <c r="P165" s="5"/>
      <c r="Q165" s="5"/>
      <c r="R165" s="5"/>
      <c r="S165" s="5"/>
      <c r="T165" s="5"/>
    </row>
    <row r="166" spans="1:20" ht="21" x14ac:dyDescent="0.35">
      <c r="A166" s="75"/>
      <c r="B166" s="76" t="s">
        <v>188</v>
      </c>
      <c r="C166" s="77"/>
      <c r="D166" s="77"/>
      <c r="E166" s="77"/>
      <c r="F166" s="77"/>
      <c r="G166" s="77"/>
      <c r="H166" s="77"/>
      <c r="I166" s="77"/>
      <c r="J166" s="77"/>
      <c r="K166" s="77"/>
      <c r="L166" s="77"/>
      <c r="M166" s="77"/>
      <c r="N166" s="77"/>
      <c r="O166" s="77"/>
      <c r="P166" s="77"/>
      <c r="Q166" s="77"/>
      <c r="R166" s="78"/>
      <c r="S166" s="80"/>
      <c r="T166" s="80"/>
    </row>
    <row r="167" spans="1:20" x14ac:dyDescent="0.25">
      <c r="A167" s="79"/>
      <c r="B167" s="80"/>
      <c r="C167" s="80" t="s">
        <v>49</v>
      </c>
      <c r="D167" s="80" t="s">
        <v>50</v>
      </c>
      <c r="E167" s="80" t="s">
        <v>51</v>
      </c>
      <c r="F167" s="80" t="s">
        <v>52</v>
      </c>
      <c r="G167" s="80" t="s">
        <v>53</v>
      </c>
      <c r="H167" s="80" t="s">
        <v>54</v>
      </c>
      <c r="I167" s="80" t="s">
        <v>55</v>
      </c>
      <c r="J167" s="80" t="s">
        <v>56</v>
      </c>
      <c r="K167" s="80" t="s">
        <v>57</v>
      </c>
      <c r="L167" s="80" t="s">
        <v>58</v>
      </c>
      <c r="M167" s="80" t="s">
        <v>59</v>
      </c>
      <c r="N167" s="80" t="s">
        <v>60</v>
      </c>
      <c r="O167" s="80" t="s">
        <v>61</v>
      </c>
      <c r="P167" s="80" t="s">
        <v>62</v>
      </c>
      <c r="Q167" s="80" t="s">
        <v>63</v>
      </c>
      <c r="R167" s="81" t="s">
        <v>64</v>
      </c>
      <c r="S167" s="82"/>
      <c r="T167" s="82"/>
    </row>
    <row r="168" spans="1:20" x14ac:dyDescent="0.25">
      <c r="A168" s="47" t="s">
        <v>30</v>
      </c>
      <c r="B168" s="80" t="s">
        <v>86</v>
      </c>
      <c r="C168" s="80">
        <f t="shared" ref="C168:R168" si="57">C297</f>
        <v>180</v>
      </c>
      <c r="D168" s="80">
        <f t="shared" si="57"/>
        <v>190</v>
      </c>
      <c r="E168" s="80">
        <f t="shared" si="57"/>
        <v>160</v>
      </c>
      <c r="F168" s="80">
        <f t="shared" si="57"/>
        <v>190</v>
      </c>
      <c r="G168" s="80">
        <f t="shared" si="57"/>
        <v>170</v>
      </c>
      <c r="H168" s="80">
        <f t="shared" si="57"/>
        <v>120</v>
      </c>
      <c r="I168" s="80">
        <f t="shared" si="57"/>
        <v>120</v>
      </c>
      <c r="J168" s="80">
        <f t="shared" si="57"/>
        <v>150</v>
      </c>
      <c r="K168" s="80">
        <f t="shared" si="57"/>
        <v>140</v>
      </c>
      <c r="L168" s="80">
        <f t="shared" si="57"/>
        <v>150</v>
      </c>
      <c r="M168" s="80">
        <f t="shared" si="57"/>
        <v>180</v>
      </c>
      <c r="N168" s="80">
        <f t="shared" si="57"/>
        <v>180</v>
      </c>
      <c r="O168" s="80">
        <f t="shared" si="57"/>
        <v>170</v>
      </c>
      <c r="P168" s="80">
        <f t="shared" si="57"/>
        <v>190</v>
      </c>
      <c r="Q168" s="80">
        <f t="shared" si="57"/>
        <v>130</v>
      </c>
      <c r="R168" s="81">
        <f t="shared" si="57"/>
        <v>190</v>
      </c>
      <c r="S168" s="86" t="s">
        <v>189</v>
      </c>
      <c r="T168" s="80" t="s">
        <v>131</v>
      </c>
    </row>
    <row r="169" spans="1:20" x14ac:dyDescent="0.25">
      <c r="A169" s="79"/>
      <c r="B169" s="80" t="s">
        <v>89</v>
      </c>
      <c r="C169" s="80">
        <v>1</v>
      </c>
      <c r="D169" s="80">
        <v>1</v>
      </c>
      <c r="E169" s="80">
        <v>1</v>
      </c>
      <c r="F169" s="80">
        <v>1</v>
      </c>
      <c r="G169" s="80">
        <v>1</v>
      </c>
      <c r="H169" s="80">
        <v>1</v>
      </c>
      <c r="I169" s="80">
        <v>1</v>
      </c>
      <c r="J169" s="80">
        <v>1</v>
      </c>
      <c r="K169" s="80">
        <v>1</v>
      </c>
      <c r="L169" s="80">
        <v>1</v>
      </c>
      <c r="M169" s="80">
        <v>1</v>
      </c>
      <c r="N169" s="80">
        <v>1</v>
      </c>
      <c r="O169" s="80">
        <v>1</v>
      </c>
      <c r="P169" s="80">
        <v>1</v>
      </c>
      <c r="Q169" s="80">
        <v>1</v>
      </c>
      <c r="R169" s="81">
        <v>1</v>
      </c>
      <c r="S169" s="80"/>
      <c r="T169" s="80"/>
    </row>
    <row r="170" spans="1:20" x14ac:dyDescent="0.25">
      <c r="A170" s="79"/>
      <c r="B170" s="80" t="s">
        <v>101</v>
      </c>
      <c r="C170" s="82">
        <v>1280</v>
      </c>
      <c r="D170" s="82">
        <v>1280</v>
      </c>
      <c r="E170" s="82">
        <v>1280</v>
      </c>
      <c r="F170" s="82">
        <v>1280</v>
      </c>
      <c r="G170" s="82">
        <v>1280</v>
      </c>
      <c r="H170" s="82">
        <v>1280</v>
      </c>
      <c r="I170" s="82">
        <v>1280</v>
      </c>
      <c r="J170" s="82">
        <v>1280</v>
      </c>
      <c r="K170" s="82">
        <v>1280</v>
      </c>
      <c r="L170" s="82">
        <v>1280</v>
      </c>
      <c r="M170" s="82">
        <v>1280</v>
      </c>
      <c r="N170" s="82">
        <v>1280</v>
      </c>
      <c r="O170" s="82">
        <v>1280</v>
      </c>
      <c r="P170" s="82">
        <v>1280</v>
      </c>
      <c r="Q170" s="82">
        <v>1280</v>
      </c>
      <c r="R170" s="83">
        <v>1280</v>
      </c>
      <c r="S170" s="82" t="s">
        <v>132</v>
      </c>
      <c r="T170" s="82" t="s">
        <v>133</v>
      </c>
    </row>
    <row r="171" spans="1:20" x14ac:dyDescent="0.25">
      <c r="A171" s="79"/>
      <c r="B171" s="80" t="s">
        <v>90</v>
      </c>
      <c r="C171" s="82">
        <f>PRODUCT(C168:C170)</f>
        <v>230400</v>
      </c>
      <c r="D171" s="82">
        <f t="shared" ref="D171:R171" si="58">PRODUCT(D168:D170)</f>
        <v>243200</v>
      </c>
      <c r="E171" s="82">
        <f t="shared" si="58"/>
        <v>204800</v>
      </c>
      <c r="F171" s="82">
        <f t="shared" si="58"/>
        <v>243200</v>
      </c>
      <c r="G171" s="82">
        <f t="shared" si="58"/>
        <v>217600</v>
      </c>
      <c r="H171" s="82">
        <f t="shared" si="58"/>
        <v>153600</v>
      </c>
      <c r="I171" s="82">
        <f t="shared" si="58"/>
        <v>153600</v>
      </c>
      <c r="J171" s="82">
        <f t="shared" si="58"/>
        <v>192000</v>
      </c>
      <c r="K171" s="82">
        <f t="shared" si="58"/>
        <v>179200</v>
      </c>
      <c r="L171" s="82">
        <f t="shared" si="58"/>
        <v>192000</v>
      </c>
      <c r="M171" s="82">
        <f t="shared" si="58"/>
        <v>230400</v>
      </c>
      <c r="N171" s="82">
        <f t="shared" si="58"/>
        <v>230400</v>
      </c>
      <c r="O171" s="82">
        <f t="shared" si="58"/>
        <v>217600</v>
      </c>
      <c r="P171" s="82">
        <f t="shared" si="58"/>
        <v>243200</v>
      </c>
      <c r="Q171" s="82">
        <f t="shared" si="58"/>
        <v>166400</v>
      </c>
      <c r="R171" s="83">
        <f t="shared" si="58"/>
        <v>243200</v>
      </c>
      <c r="S171" s="80"/>
      <c r="T171" s="80" t="s">
        <v>134</v>
      </c>
    </row>
    <row r="172" spans="1:20" x14ac:dyDescent="0.25">
      <c r="A172" s="79"/>
      <c r="B172" s="80" t="s">
        <v>92</v>
      </c>
      <c r="C172" s="84">
        <v>10560</v>
      </c>
      <c r="D172" s="84">
        <v>10560</v>
      </c>
      <c r="E172" s="84">
        <v>10560</v>
      </c>
      <c r="F172" s="84">
        <v>10560</v>
      </c>
      <c r="G172" s="84">
        <v>10560</v>
      </c>
      <c r="H172" s="84">
        <v>10560</v>
      </c>
      <c r="I172" s="84">
        <v>10560</v>
      </c>
      <c r="J172" s="84">
        <v>10560</v>
      </c>
      <c r="K172" s="84">
        <v>10560</v>
      </c>
      <c r="L172" s="84">
        <v>10560</v>
      </c>
      <c r="M172" s="84">
        <v>10560</v>
      </c>
      <c r="N172" s="84">
        <v>10560</v>
      </c>
      <c r="O172" s="84">
        <v>10560</v>
      </c>
      <c r="P172" s="84">
        <v>10560</v>
      </c>
      <c r="Q172" s="84">
        <v>10560</v>
      </c>
      <c r="R172" s="85">
        <v>10560</v>
      </c>
      <c r="S172" s="84"/>
      <c r="T172" s="84" t="s">
        <v>135</v>
      </c>
    </row>
    <row r="173" spans="1:20" x14ac:dyDescent="0.25">
      <c r="A173" s="79"/>
      <c r="B173" s="80" t="s">
        <v>93</v>
      </c>
      <c r="C173" s="86">
        <v>0.15</v>
      </c>
      <c r="D173" s="86">
        <v>0.15</v>
      </c>
      <c r="E173" s="86">
        <v>0.15</v>
      </c>
      <c r="F173" s="86">
        <v>0.15</v>
      </c>
      <c r="G173" s="86">
        <v>0.15</v>
      </c>
      <c r="H173" s="86">
        <v>0.15</v>
      </c>
      <c r="I173" s="86">
        <v>0.15</v>
      </c>
      <c r="J173" s="86">
        <v>0.15</v>
      </c>
      <c r="K173" s="86">
        <v>0.15</v>
      </c>
      <c r="L173" s="86">
        <v>0.15</v>
      </c>
      <c r="M173" s="86">
        <v>0.15</v>
      </c>
      <c r="N173" s="86">
        <v>0.15</v>
      </c>
      <c r="O173" s="86">
        <v>0.15</v>
      </c>
      <c r="P173" s="86">
        <v>0.15</v>
      </c>
      <c r="Q173" s="86">
        <v>0.15</v>
      </c>
      <c r="R173" s="87">
        <v>0.15</v>
      </c>
      <c r="S173" s="86"/>
      <c r="T173" s="86"/>
    </row>
    <row r="174" spans="1:20" x14ac:dyDescent="0.25">
      <c r="A174" s="79"/>
      <c r="B174" s="80" t="s">
        <v>94</v>
      </c>
      <c r="C174" s="84">
        <f>(C171+C172)*(1+C173)</f>
        <v>277104</v>
      </c>
      <c r="D174" s="84">
        <f t="shared" ref="D174:R174" si="59">(D171+D172)*(1+D173)</f>
        <v>291824</v>
      </c>
      <c r="E174" s="84">
        <f t="shared" si="59"/>
        <v>247663.99999999997</v>
      </c>
      <c r="F174" s="84">
        <f t="shared" si="59"/>
        <v>291824</v>
      </c>
      <c r="G174" s="84">
        <f t="shared" si="59"/>
        <v>262384</v>
      </c>
      <c r="H174" s="84">
        <f t="shared" si="59"/>
        <v>188783.99999999997</v>
      </c>
      <c r="I174" s="84">
        <f t="shared" si="59"/>
        <v>188783.99999999997</v>
      </c>
      <c r="J174" s="84">
        <f t="shared" si="59"/>
        <v>232943.99999999997</v>
      </c>
      <c r="K174" s="84">
        <f t="shared" si="59"/>
        <v>218223.99999999997</v>
      </c>
      <c r="L174" s="84">
        <f t="shared" si="59"/>
        <v>232943.99999999997</v>
      </c>
      <c r="M174" s="84">
        <f t="shared" si="59"/>
        <v>277104</v>
      </c>
      <c r="N174" s="84">
        <f t="shared" si="59"/>
        <v>277104</v>
      </c>
      <c r="O174" s="84">
        <f t="shared" si="59"/>
        <v>262384</v>
      </c>
      <c r="P174" s="84">
        <f t="shared" si="59"/>
        <v>291824</v>
      </c>
      <c r="Q174" s="84">
        <f t="shared" si="59"/>
        <v>203503.99999999997</v>
      </c>
      <c r="R174" s="85">
        <f t="shared" si="59"/>
        <v>291824</v>
      </c>
      <c r="S174" s="84"/>
      <c r="T174" s="84"/>
    </row>
    <row r="175" spans="1:20" x14ac:dyDescent="0.25">
      <c r="A175" s="79"/>
      <c r="B175" s="80"/>
      <c r="C175" s="80"/>
      <c r="D175" s="80"/>
      <c r="E175" s="80"/>
      <c r="F175" s="80"/>
      <c r="G175" s="80"/>
      <c r="H175" s="80"/>
      <c r="I175" s="80"/>
      <c r="J175" s="80"/>
      <c r="K175" s="80"/>
      <c r="L175" s="80"/>
      <c r="M175" s="80"/>
      <c r="N175" s="80"/>
      <c r="O175" s="80"/>
      <c r="P175" s="80"/>
      <c r="Q175" s="80"/>
      <c r="R175" s="81"/>
      <c r="S175" s="80"/>
      <c r="T175" s="80"/>
    </row>
    <row r="176" spans="1:20" x14ac:dyDescent="0.25">
      <c r="A176" s="47" t="s">
        <v>34</v>
      </c>
      <c r="B176" s="80" t="s">
        <v>86</v>
      </c>
      <c r="C176" s="80"/>
      <c r="D176" s="80"/>
      <c r="E176" s="80"/>
      <c r="F176" s="80"/>
      <c r="G176" s="80"/>
      <c r="H176" s="80"/>
      <c r="I176" s="80"/>
      <c r="J176" s="80"/>
      <c r="K176" s="80"/>
      <c r="L176" s="80"/>
      <c r="M176" s="80"/>
      <c r="N176" s="80"/>
      <c r="O176" s="80"/>
      <c r="P176" s="80"/>
      <c r="Q176" s="80"/>
      <c r="R176" s="81"/>
      <c r="S176" s="80"/>
      <c r="T176" s="80"/>
    </row>
    <row r="177" spans="1:20" x14ac:dyDescent="0.25">
      <c r="A177" s="47" t="s">
        <v>137</v>
      </c>
      <c r="B177" s="80" t="s">
        <v>98</v>
      </c>
      <c r="C177" s="80">
        <v>85729</v>
      </c>
      <c r="D177" s="80">
        <v>85729</v>
      </c>
      <c r="E177" s="80">
        <v>85729</v>
      </c>
      <c r="F177" s="80">
        <v>85729</v>
      </c>
      <c r="G177" s="80">
        <v>85729</v>
      </c>
      <c r="H177" s="80">
        <v>85729</v>
      </c>
      <c r="I177" s="80">
        <v>85729</v>
      </c>
      <c r="J177" s="80">
        <v>85729</v>
      </c>
      <c r="K177" s="80">
        <v>85729</v>
      </c>
      <c r="L177" s="80">
        <v>85729</v>
      </c>
      <c r="M177" s="80">
        <v>85729</v>
      </c>
      <c r="N177" s="80">
        <v>85729</v>
      </c>
      <c r="O177" s="80">
        <v>85729</v>
      </c>
      <c r="P177" s="80">
        <v>85729</v>
      </c>
      <c r="Q177" s="80">
        <v>85729</v>
      </c>
      <c r="R177" s="81">
        <v>85729</v>
      </c>
      <c r="S177" s="80" t="s">
        <v>177</v>
      </c>
      <c r="T177" s="80" t="s">
        <v>178</v>
      </c>
    </row>
    <row r="178" spans="1:20" x14ac:dyDescent="0.25">
      <c r="A178" s="79"/>
      <c r="B178" s="80" t="s">
        <v>101</v>
      </c>
      <c r="C178" s="84">
        <v>10</v>
      </c>
      <c r="D178" s="84">
        <v>10</v>
      </c>
      <c r="E178" s="84">
        <v>10</v>
      </c>
      <c r="F178" s="84">
        <v>10</v>
      </c>
      <c r="G178" s="84">
        <v>10</v>
      </c>
      <c r="H178" s="84">
        <v>10</v>
      </c>
      <c r="I178" s="84">
        <v>10</v>
      </c>
      <c r="J178" s="84">
        <v>10</v>
      </c>
      <c r="K178" s="84">
        <v>10</v>
      </c>
      <c r="L178" s="84">
        <v>10</v>
      </c>
      <c r="M178" s="84">
        <v>10</v>
      </c>
      <c r="N178" s="84">
        <v>10</v>
      </c>
      <c r="O178" s="84">
        <v>10</v>
      </c>
      <c r="P178" s="84">
        <v>10</v>
      </c>
      <c r="Q178" s="84">
        <v>10</v>
      </c>
      <c r="R178" s="85">
        <v>10</v>
      </c>
      <c r="S178" s="88" t="s">
        <v>139</v>
      </c>
      <c r="T178" s="20" t="s">
        <v>140</v>
      </c>
    </row>
    <row r="179" spans="1:20" x14ac:dyDescent="0.25">
      <c r="A179" s="79"/>
      <c r="B179" s="80" t="s">
        <v>90</v>
      </c>
      <c r="C179" s="82">
        <f>C177*C178</f>
        <v>857290</v>
      </c>
      <c r="D179" s="82">
        <f t="shared" ref="D179:R179" si="60">D177*D178</f>
        <v>857290</v>
      </c>
      <c r="E179" s="82">
        <f t="shared" si="60"/>
        <v>857290</v>
      </c>
      <c r="F179" s="82">
        <f t="shared" si="60"/>
        <v>857290</v>
      </c>
      <c r="G179" s="82">
        <f t="shared" si="60"/>
        <v>857290</v>
      </c>
      <c r="H179" s="82">
        <f t="shared" si="60"/>
        <v>857290</v>
      </c>
      <c r="I179" s="82">
        <f t="shared" si="60"/>
        <v>857290</v>
      </c>
      <c r="J179" s="82">
        <f t="shared" si="60"/>
        <v>857290</v>
      </c>
      <c r="K179" s="82">
        <f t="shared" si="60"/>
        <v>857290</v>
      </c>
      <c r="L179" s="82">
        <f t="shared" si="60"/>
        <v>857290</v>
      </c>
      <c r="M179" s="82">
        <f t="shared" si="60"/>
        <v>857290</v>
      </c>
      <c r="N179" s="82">
        <f t="shared" si="60"/>
        <v>857290</v>
      </c>
      <c r="O179" s="82">
        <f t="shared" si="60"/>
        <v>857290</v>
      </c>
      <c r="P179" s="82">
        <f t="shared" si="60"/>
        <v>857290</v>
      </c>
      <c r="Q179" s="82">
        <f t="shared" si="60"/>
        <v>857290</v>
      </c>
      <c r="R179" s="83">
        <f t="shared" si="60"/>
        <v>857290</v>
      </c>
      <c r="S179" s="82"/>
      <c r="T179" s="80" t="s">
        <v>190</v>
      </c>
    </row>
    <row r="180" spans="1:20" x14ac:dyDescent="0.25">
      <c r="A180" s="79"/>
      <c r="B180" s="80" t="s">
        <v>92</v>
      </c>
      <c r="C180" s="80">
        <v>0</v>
      </c>
      <c r="D180" s="80">
        <v>0</v>
      </c>
      <c r="E180" s="80">
        <v>0</v>
      </c>
      <c r="F180" s="80">
        <v>0</v>
      </c>
      <c r="G180" s="80">
        <v>0</v>
      </c>
      <c r="H180" s="80">
        <v>0</v>
      </c>
      <c r="I180" s="80">
        <v>0</v>
      </c>
      <c r="J180" s="80">
        <v>0</v>
      </c>
      <c r="K180" s="80">
        <v>0</v>
      </c>
      <c r="L180" s="80">
        <v>0</v>
      </c>
      <c r="M180" s="80">
        <v>0</v>
      </c>
      <c r="N180" s="80">
        <v>0</v>
      </c>
      <c r="O180" s="80">
        <v>0</v>
      </c>
      <c r="P180" s="80">
        <v>0</v>
      </c>
      <c r="Q180" s="80">
        <v>0</v>
      </c>
      <c r="R180" s="81">
        <v>0</v>
      </c>
      <c r="S180" s="80"/>
      <c r="T180" s="80"/>
    </row>
    <row r="181" spans="1:20" x14ac:dyDescent="0.25">
      <c r="A181" s="79"/>
      <c r="B181" s="80" t="s">
        <v>93</v>
      </c>
      <c r="C181" s="86">
        <v>0.15</v>
      </c>
      <c r="D181" s="86">
        <v>0.15</v>
      </c>
      <c r="E181" s="86">
        <v>0.15</v>
      </c>
      <c r="F181" s="86">
        <v>0.15</v>
      </c>
      <c r="G181" s="86">
        <v>0.15</v>
      </c>
      <c r="H181" s="86">
        <v>0.15</v>
      </c>
      <c r="I181" s="86">
        <v>0.15</v>
      </c>
      <c r="J181" s="86">
        <v>0.15</v>
      </c>
      <c r="K181" s="86">
        <v>0.15</v>
      </c>
      <c r="L181" s="86">
        <v>0.15</v>
      </c>
      <c r="M181" s="86">
        <v>0.15</v>
      </c>
      <c r="N181" s="86">
        <v>0.15</v>
      </c>
      <c r="O181" s="86">
        <v>0.15</v>
      </c>
      <c r="P181" s="86">
        <v>0.15</v>
      </c>
      <c r="Q181" s="86">
        <v>0.15</v>
      </c>
      <c r="R181" s="87">
        <v>0.15</v>
      </c>
      <c r="S181" s="86"/>
      <c r="T181" s="86"/>
    </row>
    <row r="182" spans="1:20" x14ac:dyDescent="0.25">
      <c r="A182" s="79"/>
      <c r="B182" s="80" t="s">
        <v>94</v>
      </c>
      <c r="C182" s="84">
        <f>(C179+C180)*(1+C181)</f>
        <v>985883.49999999988</v>
      </c>
      <c r="D182" s="84">
        <f t="shared" ref="D182:R182" si="61">(D179+D180)*(1+D181)</f>
        <v>985883.49999999988</v>
      </c>
      <c r="E182" s="84">
        <f t="shared" si="61"/>
        <v>985883.49999999988</v>
      </c>
      <c r="F182" s="84">
        <f t="shared" si="61"/>
        <v>985883.49999999988</v>
      </c>
      <c r="G182" s="84">
        <f t="shared" si="61"/>
        <v>985883.49999999988</v>
      </c>
      <c r="H182" s="84">
        <f t="shared" si="61"/>
        <v>985883.49999999988</v>
      </c>
      <c r="I182" s="84">
        <f t="shared" si="61"/>
        <v>985883.49999999988</v>
      </c>
      <c r="J182" s="84">
        <f t="shared" si="61"/>
        <v>985883.49999999988</v>
      </c>
      <c r="K182" s="84">
        <f t="shared" si="61"/>
        <v>985883.49999999988</v>
      </c>
      <c r="L182" s="84">
        <f t="shared" si="61"/>
        <v>985883.49999999988</v>
      </c>
      <c r="M182" s="84">
        <f t="shared" si="61"/>
        <v>985883.49999999988</v>
      </c>
      <c r="N182" s="84">
        <f t="shared" si="61"/>
        <v>985883.49999999988</v>
      </c>
      <c r="O182" s="84">
        <f t="shared" si="61"/>
        <v>985883.49999999988</v>
      </c>
      <c r="P182" s="84">
        <f t="shared" si="61"/>
        <v>985883.49999999988</v>
      </c>
      <c r="Q182" s="84">
        <f t="shared" si="61"/>
        <v>985883.49999999988</v>
      </c>
      <c r="R182" s="85">
        <f t="shared" si="61"/>
        <v>985883.49999999988</v>
      </c>
      <c r="S182" s="84"/>
      <c r="T182" s="84" t="s">
        <v>180</v>
      </c>
    </row>
    <row r="183" spans="1:20" x14ac:dyDescent="0.25">
      <c r="A183" s="79"/>
      <c r="B183" s="80"/>
      <c r="C183" s="84"/>
      <c r="D183" s="84"/>
      <c r="E183" s="84"/>
      <c r="F183" s="84"/>
      <c r="G183" s="84"/>
      <c r="H183" s="84"/>
      <c r="I183" s="84"/>
      <c r="J183" s="84"/>
      <c r="K183" s="84"/>
      <c r="L183" s="84"/>
      <c r="M183" s="84"/>
      <c r="N183" s="84"/>
      <c r="O183" s="84"/>
      <c r="P183" s="84"/>
      <c r="Q183" s="84"/>
      <c r="R183" s="85"/>
      <c r="S183" s="80"/>
      <c r="T183" s="80"/>
    </row>
    <row r="184" spans="1:20" x14ac:dyDescent="0.25">
      <c r="A184" s="47" t="s">
        <v>141</v>
      </c>
      <c r="B184" s="80" t="s">
        <v>86</v>
      </c>
      <c r="C184" s="80"/>
      <c r="D184" s="80"/>
      <c r="E184" s="80"/>
      <c r="F184" s="80"/>
      <c r="G184" s="80"/>
      <c r="H184" s="80"/>
      <c r="I184" s="80"/>
      <c r="J184" s="80"/>
      <c r="K184" s="80"/>
      <c r="L184" s="80"/>
      <c r="M184" s="80"/>
      <c r="N184" s="80"/>
      <c r="O184" s="80"/>
      <c r="P184" s="80"/>
      <c r="Q184" s="80"/>
      <c r="R184" s="81"/>
      <c r="S184" s="80"/>
      <c r="T184" s="80"/>
    </row>
    <row r="185" spans="1:20" x14ac:dyDescent="0.25">
      <c r="A185" s="79"/>
      <c r="B185" s="80" t="s">
        <v>104</v>
      </c>
      <c r="C185" s="80">
        <f>$H$117</f>
        <v>4412</v>
      </c>
      <c r="D185" s="80">
        <f t="shared" ref="D185:R185" si="62">$H$117</f>
        <v>4412</v>
      </c>
      <c r="E185" s="80">
        <f t="shared" si="62"/>
        <v>4412</v>
      </c>
      <c r="F185" s="80">
        <f t="shared" si="62"/>
        <v>4412</v>
      </c>
      <c r="G185" s="80">
        <f t="shared" si="62"/>
        <v>4412</v>
      </c>
      <c r="H185" s="80">
        <f t="shared" si="62"/>
        <v>4412</v>
      </c>
      <c r="I185" s="80">
        <f t="shared" si="62"/>
        <v>4412</v>
      </c>
      <c r="J185" s="80">
        <f t="shared" si="62"/>
        <v>4412</v>
      </c>
      <c r="K185" s="80">
        <f t="shared" si="62"/>
        <v>4412</v>
      </c>
      <c r="L185" s="80">
        <f t="shared" si="62"/>
        <v>4412</v>
      </c>
      <c r="M185" s="80">
        <f t="shared" si="62"/>
        <v>4412</v>
      </c>
      <c r="N185" s="80">
        <f t="shared" si="62"/>
        <v>4412</v>
      </c>
      <c r="O185" s="80">
        <f t="shared" si="62"/>
        <v>4412</v>
      </c>
      <c r="P185" s="80">
        <f t="shared" si="62"/>
        <v>4412</v>
      </c>
      <c r="Q185" s="80">
        <f t="shared" si="62"/>
        <v>4412</v>
      </c>
      <c r="R185" s="81">
        <f t="shared" si="62"/>
        <v>4412</v>
      </c>
      <c r="S185" s="80" t="s">
        <v>181</v>
      </c>
      <c r="T185" s="80" t="s">
        <v>143</v>
      </c>
    </row>
    <row r="186" spans="1:20" x14ac:dyDescent="0.25">
      <c r="A186" s="79"/>
      <c r="B186" s="80" t="s">
        <v>101</v>
      </c>
      <c r="C186" s="82">
        <f>'Air-side Costs'!$E88</f>
        <v>56.65</v>
      </c>
      <c r="D186" s="82">
        <f>'Air-side Costs'!$E88</f>
        <v>56.65</v>
      </c>
      <c r="E186" s="82">
        <f>'Air-side Costs'!$E88</f>
        <v>56.65</v>
      </c>
      <c r="F186" s="82">
        <f>'Air-side Costs'!$E88</f>
        <v>56.65</v>
      </c>
      <c r="G186" s="82">
        <f>'Air-side Costs'!$E88</f>
        <v>56.65</v>
      </c>
      <c r="H186" s="82">
        <f>'Air-side Costs'!$E88</f>
        <v>56.65</v>
      </c>
      <c r="I186" s="82">
        <f>'Air-side Costs'!$E88</f>
        <v>56.65</v>
      </c>
      <c r="J186" s="82">
        <f>'Air-side Costs'!$E88</f>
        <v>56.65</v>
      </c>
      <c r="K186" s="82">
        <f>'Air-side Costs'!$E88</f>
        <v>56.65</v>
      </c>
      <c r="L186" s="82">
        <f>'Air-side Costs'!$E88</f>
        <v>56.65</v>
      </c>
      <c r="M186" s="82">
        <f>'Air-side Costs'!$E88</f>
        <v>56.65</v>
      </c>
      <c r="N186" s="82">
        <f>'Air-side Costs'!$E88</f>
        <v>56.65</v>
      </c>
      <c r="O186" s="82">
        <f>'Air-side Costs'!$E88</f>
        <v>56.65</v>
      </c>
      <c r="P186" s="82">
        <f>'Air-side Costs'!$E88</f>
        <v>56.65</v>
      </c>
      <c r="Q186" s="82">
        <f>'Air-side Costs'!$E88</f>
        <v>56.65</v>
      </c>
      <c r="R186" s="83">
        <f>'Air-side Costs'!$E88</f>
        <v>56.65</v>
      </c>
      <c r="S186" s="80" t="s">
        <v>144</v>
      </c>
      <c r="T186" s="80" t="s">
        <v>145</v>
      </c>
    </row>
    <row r="187" spans="1:20" x14ac:dyDescent="0.25">
      <c r="A187" s="79"/>
      <c r="B187" s="80" t="s">
        <v>90</v>
      </c>
      <c r="C187" s="82">
        <f>C185*C186</f>
        <v>249939.8</v>
      </c>
      <c r="D187" s="82">
        <f t="shared" ref="D187:R187" si="63">D185*D186</f>
        <v>249939.8</v>
      </c>
      <c r="E187" s="82">
        <f t="shared" si="63"/>
        <v>249939.8</v>
      </c>
      <c r="F187" s="82">
        <f t="shared" si="63"/>
        <v>249939.8</v>
      </c>
      <c r="G187" s="82">
        <f t="shared" si="63"/>
        <v>249939.8</v>
      </c>
      <c r="H187" s="82">
        <f t="shared" si="63"/>
        <v>249939.8</v>
      </c>
      <c r="I187" s="82">
        <f t="shared" si="63"/>
        <v>249939.8</v>
      </c>
      <c r="J187" s="82">
        <f t="shared" si="63"/>
        <v>249939.8</v>
      </c>
      <c r="K187" s="82">
        <f t="shared" si="63"/>
        <v>249939.8</v>
      </c>
      <c r="L187" s="82">
        <f t="shared" si="63"/>
        <v>249939.8</v>
      </c>
      <c r="M187" s="82">
        <f t="shared" si="63"/>
        <v>249939.8</v>
      </c>
      <c r="N187" s="82">
        <f t="shared" si="63"/>
        <v>249939.8</v>
      </c>
      <c r="O187" s="82">
        <f t="shared" si="63"/>
        <v>249939.8</v>
      </c>
      <c r="P187" s="82">
        <f t="shared" si="63"/>
        <v>249939.8</v>
      </c>
      <c r="Q187" s="82">
        <f t="shared" si="63"/>
        <v>249939.8</v>
      </c>
      <c r="R187" s="83">
        <f t="shared" si="63"/>
        <v>249939.8</v>
      </c>
      <c r="S187" s="80"/>
      <c r="T187" s="80" t="s">
        <v>191</v>
      </c>
    </row>
    <row r="188" spans="1:20" x14ac:dyDescent="0.25">
      <c r="A188" s="79"/>
      <c r="B188" s="80" t="s">
        <v>92</v>
      </c>
      <c r="C188" s="80">
        <v>0</v>
      </c>
      <c r="D188" s="80">
        <v>0</v>
      </c>
      <c r="E188" s="80">
        <v>0</v>
      </c>
      <c r="F188" s="80">
        <v>0</v>
      </c>
      <c r="G188" s="80">
        <v>0</v>
      </c>
      <c r="H188" s="80">
        <v>0</v>
      </c>
      <c r="I188" s="80">
        <v>0</v>
      </c>
      <c r="J188" s="80">
        <v>0</v>
      </c>
      <c r="K188" s="80">
        <v>0</v>
      </c>
      <c r="L188" s="80">
        <v>0</v>
      </c>
      <c r="M188" s="80">
        <v>0</v>
      </c>
      <c r="N188" s="80">
        <v>0</v>
      </c>
      <c r="O188" s="80">
        <v>0</v>
      </c>
      <c r="P188" s="80">
        <v>0</v>
      </c>
      <c r="Q188" s="80">
        <v>0</v>
      </c>
      <c r="R188" s="81">
        <v>0</v>
      </c>
      <c r="S188" s="80"/>
      <c r="T188" s="80" t="s">
        <v>192</v>
      </c>
    </row>
    <row r="189" spans="1:20" x14ac:dyDescent="0.25">
      <c r="A189" s="79"/>
      <c r="B189" s="80" t="s">
        <v>93</v>
      </c>
      <c r="C189" s="86">
        <v>0.15</v>
      </c>
      <c r="D189" s="86">
        <v>0.15</v>
      </c>
      <c r="E189" s="86">
        <v>0.15</v>
      </c>
      <c r="F189" s="86">
        <v>0.15</v>
      </c>
      <c r="G189" s="86">
        <v>0.15</v>
      </c>
      <c r="H189" s="86">
        <v>0.15</v>
      </c>
      <c r="I189" s="86">
        <v>0.15</v>
      </c>
      <c r="J189" s="86">
        <v>0.15</v>
      </c>
      <c r="K189" s="86">
        <v>0.15</v>
      </c>
      <c r="L189" s="86">
        <v>0.15</v>
      </c>
      <c r="M189" s="86">
        <v>0.15</v>
      </c>
      <c r="N189" s="86">
        <v>0.15</v>
      </c>
      <c r="O189" s="86">
        <v>0.15</v>
      </c>
      <c r="P189" s="86">
        <v>0.15</v>
      </c>
      <c r="Q189" s="86">
        <v>0.15</v>
      </c>
      <c r="R189" s="87">
        <v>0.15</v>
      </c>
      <c r="S189" s="86"/>
      <c r="T189" s="86"/>
    </row>
    <row r="190" spans="1:20" x14ac:dyDescent="0.25">
      <c r="A190" s="79"/>
      <c r="B190" s="80" t="s">
        <v>94</v>
      </c>
      <c r="C190" s="84">
        <f>(C187+C188)*(1+C189)</f>
        <v>287430.76999999996</v>
      </c>
      <c r="D190" s="84">
        <f t="shared" ref="D190:R190" si="64">(D187+D188)*(1+D189)</f>
        <v>287430.76999999996</v>
      </c>
      <c r="E190" s="84">
        <f t="shared" si="64"/>
        <v>287430.76999999996</v>
      </c>
      <c r="F190" s="84">
        <f t="shared" si="64"/>
        <v>287430.76999999996</v>
      </c>
      <c r="G190" s="84">
        <f t="shared" si="64"/>
        <v>287430.76999999996</v>
      </c>
      <c r="H190" s="84">
        <f t="shared" si="64"/>
        <v>287430.76999999996</v>
      </c>
      <c r="I190" s="84">
        <f t="shared" si="64"/>
        <v>287430.76999999996</v>
      </c>
      <c r="J190" s="84">
        <f t="shared" si="64"/>
        <v>287430.76999999996</v>
      </c>
      <c r="K190" s="84">
        <f t="shared" si="64"/>
        <v>287430.76999999996</v>
      </c>
      <c r="L190" s="84">
        <f t="shared" si="64"/>
        <v>287430.76999999996</v>
      </c>
      <c r="M190" s="84">
        <f t="shared" si="64"/>
        <v>287430.76999999996</v>
      </c>
      <c r="N190" s="84">
        <f t="shared" si="64"/>
        <v>287430.76999999996</v>
      </c>
      <c r="O190" s="84">
        <f t="shared" si="64"/>
        <v>287430.76999999996</v>
      </c>
      <c r="P190" s="84">
        <f t="shared" si="64"/>
        <v>287430.76999999996</v>
      </c>
      <c r="Q190" s="84">
        <f t="shared" si="64"/>
        <v>287430.76999999996</v>
      </c>
      <c r="R190" s="85">
        <f t="shared" si="64"/>
        <v>287430.76999999996</v>
      </c>
      <c r="S190" s="84"/>
      <c r="T190" s="84" t="s">
        <v>183</v>
      </c>
    </row>
    <row r="191" spans="1:20" x14ac:dyDescent="0.25">
      <c r="A191" s="79"/>
      <c r="B191" s="80"/>
      <c r="C191" s="80"/>
      <c r="D191" s="80"/>
      <c r="E191" s="80"/>
      <c r="F191" s="80"/>
      <c r="G191" s="80"/>
      <c r="H191" s="80"/>
      <c r="I191" s="80"/>
      <c r="J191" s="80"/>
      <c r="K191" s="80"/>
      <c r="L191" s="80"/>
      <c r="M191" s="80"/>
      <c r="N191" s="80"/>
      <c r="O191" s="80"/>
      <c r="P191" s="80"/>
      <c r="Q191" s="80"/>
      <c r="R191" s="81"/>
      <c r="S191" s="80"/>
      <c r="T191" s="80"/>
    </row>
    <row r="192" spans="1:20" x14ac:dyDescent="0.25">
      <c r="A192" s="47" t="s">
        <v>110</v>
      </c>
      <c r="B192" s="80" t="s">
        <v>86</v>
      </c>
      <c r="C192" s="80"/>
      <c r="D192" s="80"/>
      <c r="E192" s="80"/>
      <c r="F192" s="80"/>
      <c r="G192" s="80"/>
      <c r="H192" s="80"/>
      <c r="I192" s="80"/>
      <c r="J192" s="80"/>
      <c r="K192" s="80"/>
      <c r="L192" s="80"/>
      <c r="M192" s="80"/>
      <c r="N192" s="80"/>
      <c r="O192" s="80"/>
      <c r="P192" s="80"/>
      <c r="Q192" s="80"/>
      <c r="R192" s="81"/>
      <c r="S192" s="80"/>
      <c r="T192" s="80"/>
    </row>
    <row r="193" spans="1:20" x14ac:dyDescent="0.25">
      <c r="A193" s="79"/>
      <c r="B193" s="80" t="s">
        <v>104</v>
      </c>
      <c r="C193" s="80">
        <f>$H$117</f>
        <v>4412</v>
      </c>
      <c r="D193" s="80">
        <f t="shared" ref="D193:R193" si="65">$H$117</f>
        <v>4412</v>
      </c>
      <c r="E193" s="80">
        <f t="shared" si="65"/>
        <v>4412</v>
      </c>
      <c r="F193" s="80">
        <f t="shared" si="65"/>
        <v>4412</v>
      </c>
      <c r="G193" s="80">
        <f t="shared" si="65"/>
        <v>4412</v>
      </c>
      <c r="H193" s="80">
        <f t="shared" si="65"/>
        <v>4412</v>
      </c>
      <c r="I193" s="80">
        <f t="shared" si="65"/>
        <v>4412</v>
      </c>
      <c r="J193" s="80">
        <f t="shared" si="65"/>
        <v>4412</v>
      </c>
      <c r="K193" s="80">
        <f t="shared" si="65"/>
        <v>4412</v>
      </c>
      <c r="L193" s="80">
        <f t="shared" si="65"/>
        <v>4412</v>
      </c>
      <c r="M193" s="80">
        <f t="shared" si="65"/>
        <v>4412</v>
      </c>
      <c r="N193" s="80">
        <f t="shared" si="65"/>
        <v>4412</v>
      </c>
      <c r="O193" s="80">
        <f t="shared" si="65"/>
        <v>4412</v>
      </c>
      <c r="P193" s="80">
        <f t="shared" si="65"/>
        <v>4412</v>
      </c>
      <c r="Q193" s="80">
        <f t="shared" si="65"/>
        <v>4412</v>
      </c>
      <c r="R193" s="81">
        <f t="shared" si="65"/>
        <v>4412</v>
      </c>
      <c r="S193" s="80" t="s">
        <v>181</v>
      </c>
      <c r="T193" s="80" t="s">
        <v>147</v>
      </c>
    </row>
    <row r="194" spans="1:20" x14ac:dyDescent="0.25">
      <c r="A194" s="79"/>
      <c r="B194" s="80" t="s">
        <v>101</v>
      </c>
      <c r="C194" s="82">
        <f>'Air-side Costs'!$E88</f>
        <v>56.65</v>
      </c>
      <c r="D194" s="82">
        <f>'Air-side Costs'!$E88</f>
        <v>56.65</v>
      </c>
      <c r="E194" s="82">
        <f>'Air-side Costs'!$E88</f>
        <v>56.65</v>
      </c>
      <c r="F194" s="82">
        <f>'Air-side Costs'!$E88</f>
        <v>56.65</v>
      </c>
      <c r="G194" s="82">
        <f>'Air-side Costs'!$E88</f>
        <v>56.65</v>
      </c>
      <c r="H194" s="82">
        <f>'Air-side Costs'!$E88</f>
        <v>56.65</v>
      </c>
      <c r="I194" s="82">
        <f>'Air-side Costs'!$E88</f>
        <v>56.65</v>
      </c>
      <c r="J194" s="82">
        <f>'Air-side Costs'!$E88</f>
        <v>56.65</v>
      </c>
      <c r="K194" s="82">
        <f>'Air-side Costs'!$E88</f>
        <v>56.65</v>
      </c>
      <c r="L194" s="82">
        <f>'Air-side Costs'!$E88</f>
        <v>56.65</v>
      </c>
      <c r="M194" s="82">
        <f>'Air-side Costs'!$E88</f>
        <v>56.65</v>
      </c>
      <c r="N194" s="82">
        <f>'Air-side Costs'!$E88</f>
        <v>56.65</v>
      </c>
      <c r="O194" s="82">
        <f>'Air-side Costs'!$E88</f>
        <v>56.65</v>
      </c>
      <c r="P194" s="82">
        <f>'Air-side Costs'!$E88</f>
        <v>56.65</v>
      </c>
      <c r="Q194" s="82">
        <f>'Air-side Costs'!$E88</f>
        <v>56.65</v>
      </c>
      <c r="R194" s="83">
        <f>'Air-side Costs'!$E88</f>
        <v>56.65</v>
      </c>
      <c r="S194" s="80" t="s">
        <v>144</v>
      </c>
      <c r="T194" s="80" t="s">
        <v>148</v>
      </c>
    </row>
    <row r="195" spans="1:20" x14ac:dyDescent="0.25">
      <c r="A195" s="79"/>
      <c r="B195" s="80" t="s">
        <v>90</v>
      </c>
      <c r="C195" s="82">
        <f>C193*C194</f>
        <v>249939.8</v>
      </c>
      <c r="D195" s="82">
        <f t="shared" ref="D195:R195" si="66">D193*D194</f>
        <v>249939.8</v>
      </c>
      <c r="E195" s="82">
        <f t="shared" si="66"/>
        <v>249939.8</v>
      </c>
      <c r="F195" s="82">
        <f t="shared" si="66"/>
        <v>249939.8</v>
      </c>
      <c r="G195" s="82">
        <f t="shared" si="66"/>
        <v>249939.8</v>
      </c>
      <c r="H195" s="82">
        <f t="shared" si="66"/>
        <v>249939.8</v>
      </c>
      <c r="I195" s="82">
        <f t="shared" si="66"/>
        <v>249939.8</v>
      </c>
      <c r="J195" s="82">
        <f t="shared" si="66"/>
        <v>249939.8</v>
      </c>
      <c r="K195" s="82">
        <f t="shared" si="66"/>
        <v>249939.8</v>
      </c>
      <c r="L195" s="82">
        <f t="shared" si="66"/>
        <v>249939.8</v>
      </c>
      <c r="M195" s="82">
        <f t="shared" si="66"/>
        <v>249939.8</v>
      </c>
      <c r="N195" s="82">
        <f t="shared" si="66"/>
        <v>249939.8</v>
      </c>
      <c r="O195" s="82">
        <f t="shared" si="66"/>
        <v>249939.8</v>
      </c>
      <c r="P195" s="82">
        <f t="shared" si="66"/>
        <v>249939.8</v>
      </c>
      <c r="Q195" s="82">
        <f t="shared" si="66"/>
        <v>249939.8</v>
      </c>
      <c r="R195" s="83">
        <f t="shared" si="66"/>
        <v>249939.8</v>
      </c>
      <c r="S195" s="80"/>
      <c r="T195" s="80" t="s">
        <v>193</v>
      </c>
    </row>
    <row r="196" spans="1:20" x14ac:dyDescent="0.25">
      <c r="A196" s="79"/>
      <c r="B196" s="80" t="s">
        <v>92</v>
      </c>
      <c r="C196" s="80">
        <v>0</v>
      </c>
      <c r="D196" s="80">
        <v>0</v>
      </c>
      <c r="E196" s="80">
        <v>0</v>
      </c>
      <c r="F196" s="80">
        <v>0</v>
      </c>
      <c r="G196" s="80">
        <v>0</v>
      </c>
      <c r="H196" s="80">
        <v>0</v>
      </c>
      <c r="I196" s="80">
        <v>0</v>
      </c>
      <c r="J196" s="80">
        <v>0</v>
      </c>
      <c r="K196" s="80">
        <v>0</v>
      </c>
      <c r="L196" s="80">
        <v>0</v>
      </c>
      <c r="M196" s="80">
        <v>0</v>
      </c>
      <c r="N196" s="80">
        <v>0</v>
      </c>
      <c r="O196" s="80">
        <v>0</v>
      </c>
      <c r="P196" s="80">
        <v>0</v>
      </c>
      <c r="Q196" s="80">
        <v>0</v>
      </c>
      <c r="R196" s="81">
        <v>0</v>
      </c>
      <c r="S196" s="80"/>
      <c r="T196" s="80" t="s">
        <v>194</v>
      </c>
    </row>
    <row r="197" spans="1:20" x14ac:dyDescent="0.25">
      <c r="A197" s="79"/>
      <c r="B197" s="80" t="s">
        <v>93</v>
      </c>
      <c r="C197" s="86">
        <v>0.15</v>
      </c>
      <c r="D197" s="86">
        <v>0.15</v>
      </c>
      <c r="E197" s="86">
        <v>0.15</v>
      </c>
      <c r="F197" s="86">
        <v>0.15</v>
      </c>
      <c r="G197" s="86">
        <v>0.15</v>
      </c>
      <c r="H197" s="86">
        <v>0.15</v>
      </c>
      <c r="I197" s="86">
        <v>0.15</v>
      </c>
      <c r="J197" s="86">
        <v>0.15</v>
      </c>
      <c r="K197" s="86">
        <v>0.15</v>
      </c>
      <c r="L197" s="86">
        <v>0.15</v>
      </c>
      <c r="M197" s="86">
        <v>0.15</v>
      </c>
      <c r="N197" s="86">
        <v>0.15</v>
      </c>
      <c r="O197" s="86">
        <v>0.15</v>
      </c>
      <c r="P197" s="86">
        <v>0.15</v>
      </c>
      <c r="Q197" s="86">
        <v>0.15</v>
      </c>
      <c r="R197" s="87">
        <v>0.15</v>
      </c>
      <c r="S197" s="86"/>
      <c r="T197" s="86"/>
    </row>
    <row r="198" spans="1:20" x14ac:dyDescent="0.25">
      <c r="A198" s="79"/>
      <c r="B198" s="80" t="s">
        <v>94</v>
      </c>
      <c r="C198" s="84">
        <f>(C195+C196)*(1+C197)</f>
        <v>287430.76999999996</v>
      </c>
      <c r="D198" s="84">
        <f t="shared" ref="D198:R198" si="67">(D195+D196)*(1+D197)</f>
        <v>287430.76999999996</v>
      </c>
      <c r="E198" s="84">
        <f t="shared" si="67"/>
        <v>287430.76999999996</v>
      </c>
      <c r="F198" s="84">
        <f t="shared" si="67"/>
        <v>287430.76999999996</v>
      </c>
      <c r="G198" s="84">
        <f t="shared" si="67"/>
        <v>287430.76999999996</v>
      </c>
      <c r="H198" s="84">
        <f t="shared" si="67"/>
        <v>287430.76999999996</v>
      </c>
      <c r="I198" s="84">
        <f t="shared" si="67"/>
        <v>287430.76999999996</v>
      </c>
      <c r="J198" s="84">
        <f t="shared" si="67"/>
        <v>287430.76999999996</v>
      </c>
      <c r="K198" s="84">
        <f t="shared" si="67"/>
        <v>287430.76999999996</v>
      </c>
      <c r="L198" s="84">
        <f t="shared" si="67"/>
        <v>287430.76999999996</v>
      </c>
      <c r="M198" s="84">
        <f t="shared" si="67"/>
        <v>287430.76999999996</v>
      </c>
      <c r="N198" s="84">
        <f t="shared" si="67"/>
        <v>287430.76999999996</v>
      </c>
      <c r="O198" s="84">
        <f t="shared" si="67"/>
        <v>287430.76999999996</v>
      </c>
      <c r="P198" s="84">
        <f t="shared" si="67"/>
        <v>287430.76999999996</v>
      </c>
      <c r="Q198" s="84">
        <f t="shared" si="67"/>
        <v>287430.76999999996</v>
      </c>
      <c r="R198" s="85">
        <f t="shared" si="67"/>
        <v>287430.76999999996</v>
      </c>
      <c r="S198" s="84"/>
      <c r="T198" s="84" t="s">
        <v>184</v>
      </c>
    </row>
    <row r="199" spans="1:20" x14ac:dyDescent="0.25">
      <c r="A199" s="79"/>
      <c r="B199" s="80"/>
      <c r="C199" s="80"/>
      <c r="D199" s="80"/>
      <c r="E199" s="80"/>
      <c r="F199" s="80"/>
      <c r="G199" s="80"/>
      <c r="H199" s="80"/>
      <c r="I199" s="80"/>
      <c r="J199" s="80"/>
      <c r="K199" s="80"/>
      <c r="L199" s="80"/>
      <c r="M199" s="80"/>
      <c r="N199" s="80"/>
      <c r="O199" s="80"/>
      <c r="P199" s="80"/>
      <c r="Q199" s="80"/>
      <c r="R199" s="81"/>
      <c r="S199" s="80"/>
      <c r="T199" s="80"/>
    </row>
    <row r="200" spans="1:20" x14ac:dyDescent="0.25">
      <c r="A200" s="47" t="s">
        <v>149</v>
      </c>
      <c r="B200" s="80" t="s">
        <v>195</v>
      </c>
      <c r="C200" s="80">
        <v>46</v>
      </c>
      <c r="D200" s="80">
        <v>46</v>
      </c>
      <c r="E200" s="80">
        <v>46</v>
      </c>
      <c r="F200" s="80">
        <v>46</v>
      </c>
      <c r="G200" s="80">
        <v>46</v>
      </c>
      <c r="H200" s="80">
        <v>46</v>
      </c>
      <c r="I200" s="80">
        <v>46</v>
      </c>
      <c r="J200" s="80">
        <v>46</v>
      </c>
      <c r="K200" s="80">
        <v>46</v>
      </c>
      <c r="L200" s="80">
        <v>46</v>
      </c>
      <c r="M200" s="80">
        <v>46</v>
      </c>
      <c r="N200" s="80">
        <v>46</v>
      </c>
      <c r="O200" s="80">
        <v>46</v>
      </c>
      <c r="P200" s="80">
        <v>46</v>
      </c>
      <c r="Q200" s="80">
        <v>46</v>
      </c>
      <c r="R200" s="81">
        <v>46</v>
      </c>
      <c r="S200" s="84"/>
      <c r="T200" s="84" t="s">
        <v>150</v>
      </c>
    </row>
    <row r="201" spans="1:20" x14ac:dyDescent="0.25">
      <c r="A201" s="79"/>
      <c r="B201" s="80" t="s">
        <v>94</v>
      </c>
      <c r="C201" s="84">
        <f>C200*'Air-side Costs'!$M$101</f>
        <v>461145.39999999997</v>
      </c>
      <c r="D201" s="84">
        <f>D200*'Air-side Costs'!$M$101</f>
        <v>461145.39999999997</v>
      </c>
      <c r="E201" s="84">
        <f>E200*'Air-side Costs'!$M$101</f>
        <v>461145.39999999997</v>
      </c>
      <c r="F201" s="84">
        <f>F200*'Air-side Costs'!$M$101</f>
        <v>461145.39999999997</v>
      </c>
      <c r="G201" s="84">
        <f>G200*'Air-side Costs'!$M$101</f>
        <v>461145.39999999997</v>
      </c>
      <c r="H201" s="84">
        <f>H200*'Air-side Costs'!$M$101</f>
        <v>461145.39999999997</v>
      </c>
      <c r="I201" s="84">
        <f>I200*'Air-side Costs'!$M$101</f>
        <v>461145.39999999997</v>
      </c>
      <c r="J201" s="84">
        <f>J200*'Air-side Costs'!$M$101</f>
        <v>461145.39999999997</v>
      </c>
      <c r="K201" s="84">
        <f>K200*'Air-side Costs'!$M$101</f>
        <v>461145.39999999997</v>
      </c>
      <c r="L201" s="84">
        <f>L200*'Air-side Costs'!$M$101</f>
        <v>461145.39999999997</v>
      </c>
      <c r="M201" s="84">
        <f>M200*'Air-side Costs'!$M$101</f>
        <v>461145.39999999997</v>
      </c>
      <c r="N201" s="84">
        <f>N200*'Air-side Costs'!$M$101</f>
        <v>461145.39999999997</v>
      </c>
      <c r="O201" s="84">
        <f>O200*'Air-side Costs'!$M$101</f>
        <v>461145.39999999997</v>
      </c>
      <c r="P201" s="84">
        <f>P200*'Air-side Costs'!$M$101</f>
        <v>461145.39999999997</v>
      </c>
      <c r="Q201" s="84">
        <f>Q200*'Air-side Costs'!$M$101</f>
        <v>461145.39999999997</v>
      </c>
      <c r="R201" s="85">
        <f>R200*'Air-side Costs'!$M$101</f>
        <v>461145.39999999997</v>
      </c>
      <c r="S201" s="80"/>
      <c r="T201" s="80" t="s">
        <v>196</v>
      </c>
    </row>
    <row r="202" spans="1:20" x14ac:dyDescent="0.25">
      <c r="A202" s="79"/>
      <c r="B202" s="80"/>
      <c r="C202" s="80"/>
      <c r="D202" s="80"/>
      <c r="E202" s="80"/>
      <c r="F202" s="80"/>
      <c r="G202" s="80"/>
      <c r="H202" s="80"/>
      <c r="I202" s="80"/>
      <c r="J202" s="80"/>
      <c r="K202" s="80"/>
      <c r="L202" s="80"/>
      <c r="M202" s="80"/>
      <c r="N202" s="80"/>
      <c r="O202" s="80"/>
      <c r="P202" s="80"/>
      <c r="Q202" s="80"/>
      <c r="R202" s="81"/>
      <c r="S202" s="80"/>
      <c r="T202" s="80"/>
    </row>
    <row r="203" spans="1:20" x14ac:dyDescent="0.25">
      <c r="A203" s="79"/>
      <c r="B203" s="80" t="s">
        <v>152</v>
      </c>
      <c r="C203" s="134">
        <f>ROUNDUP(C168*'Plant-side Costs'!$D$78/2,0)*2</f>
        <v>10</v>
      </c>
      <c r="D203" s="134">
        <f>ROUNDUP(D168*'Plant-side Costs'!$D$78/2,0)*2</f>
        <v>12</v>
      </c>
      <c r="E203" s="134">
        <f>ROUNDUP(E168*'Plant-side Costs'!$D$78/2,0)*2</f>
        <v>10</v>
      </c>
      <c r="F203" s="134">
        <f>ROUNDUP(F168*'Plant-side Costs'!$D$78/2,0)*2</f>
        <v>12</v>
      </c>
      <c r="G203" s="134">
        <f>ROUNDUP(G168*'Plant-side Costs'!$D$78/2,0)*2</f>
        <v>10</v>
      </c>
      <c r="H203" s="134">
        <f>ROUNDUP(H168*'Plant-side Costs'!$D$78/2,0)*2</f>
        <v>8</v>
      </c>
      <c r="I203" s="134">
        <f>ROUNDUP(I168*'Plant-side Costs'!$D$78/2,0)*2</f>
        <v>8</v>
      </c>
      <c r="J203" s="134">
        <f>ROUNDUP(J168*'Plant-side Costs'!$D$78/2,0)*2</f>
        <v>10</v>
      </c>
      <c r="K203" s="134">
        <f>ROUNDUP(K168*'Plant-side Costs'!$D$78/2,0)*2</f>
        <v>8</v>
      </c>
      <c r="L203" s="134">
        <f>ROUNDUP(L168*'Plant-side Costs'!$D$78/2,0)*2</f>
        <v>10</v>
      </c>
      <c r="M203" s="134">
        <f>ROUNDUP(M168*'Plant-side Costs'!$D$78/2,0)*2</f>
        <v>10</v>
      </c>
      <c r="N203" s="134">
        <f>ROUNDUP(N168*'Plant-side Costs'!$D$78/2,0)*2</f>
        <v>10</v>
      </c>
      <c r="O203" s="134">
        <f>ROUNDUP(O168*'Plant-side Costs'!$D$78/2,0)*2</f>
        <v>10</v>
      </c>
      <c r="P203" s="134">
        <f>ROUNDUP(P168*'Plant-side Costs'!$D$78/2,0)*2</f>
        <v>12</v>
      </c>
      <c r="Q203" s="134">
        <f>ROUNDUP(Q168*'Plant-side Costs'!$D$78/2,0)*2</f>
        <v>8</v>
      </c>
      <c r="R203" s="196">
        <f>ROUNDUP(R168*'Plant-side Costs'!$D$78/2,0)*2</f>
        <v>12</v>
      </c>
      <c r="S203" s="134" t="s">
        <v>119</v>
      </c>
      <c r="T203" s="134" t="s">
        <v>153</v>
      </c>
    </row>
    <row r="204" spans="1:20" x14ac:dyDescent="0.25">
      <c r="A204" s="47" t="s">
        <v>117</v>
      </c>
      <c r="B204" s="80" t="s">
        <v>197</v>
      </c>
      <c r="C204" s="82">
        <f>9113.3+750.7*C203</f>
        <v>16620.3</v>
      </c>
      <c r="D204" s="82">
        <f t="shared" ref="D204:R204" si="68">9113.3+750.7*D203</f>
        <v>18121.7</v>
      </c>
      <c r="E204" s="82">
        <f t="shared" si="68"/>
        <v>16620.3</v>
      </c>
      <c r="F204" s="82">
        <f t="shared" si="68"/>
        <v>18121.7</v>
      </c>
      <c r="G204" s="82">
        <f t="shared" si="68"/>
        <v>16620.3</v>
      </c>
      <c r="H204" s="82">
        <f t="shared" si="68"/>
        <v>15118.9</v>
      </c>
      <c r="I204" s="82">
        <f t="shared" si="68"/>
        <v>15118.9</v>
      </c>
      <c r="J204" s="82">
        <f t="shared" si="68"/>
        <v>16620.3</v>
      </c>
      <c r="K204" s="82">
        <f t="shared" si="68"/>
        <v>15118.9</v>
      </c>
      <c r="L204" s="82">
        <f t="shared" si="68"/>
        <v>16620.3</v>
      </c>
      <c r="M204" s="82">
        <f t="shared" si="68"/>
        <v>16620.3</v>
      </c>
      <c r="N204" s="82">
        <f t="shared" si="68"/>
        <v>16620.3</v>
      </c>
      <c r="O204" s="82">
        <f t="shared" si="68"/>
        <v>16620.3</v>
      </c>
      <c r="P204" s="82">
        <f t="shared" si="68"/>
        <v>18121.7</v>
      </c>
      <c r="Q204" s="82">
        <f t="shared" si="68"/>
        <v>15118.9</v>
      </c>
      <c r="R204" s="83">
        <f t="shared" si="68"/>
        <v>18121.7</v>
      </c>
      <c r="S204" s="82"/>
      <c r="T204" s="82" t="s">
        <v>91</v>
      </c>
    </row>
    <row r="205" spans="1:20" x14ac:dyDescent="0.25">
      <c r="A205" s="79"/>
      <c r="B205" s="80"/>
      <c r="C205" s="80"/>
      <c r="D205" s="80"/>
      <c r="E205" s="80"/>
      <c r="F205" s="80"/>
      <c r="G205" s="80"/>
      <c r="H205" s="80"/>
      <c r="I205" s="80"/>
      <c r="J205" s="80"/>
      <c r="K205" s="80"/>
      <c r="L205" s="80"/>
      <c r="M205" s="80"/>
      <c r="N205" s="80"/>
      <c r="O205" s="80"/>
      <c r="P205" s="80"/>
      <c r="Q205" s="80"/>
      <c r="R205" s="81"/>
      <c r="S205" s="80"/>
      <c r="T205" s="84"/>
    </row>
    <row r="206" spans="1:20" x14ac:dyDescent="0.25">
      <c r="A206" s="47" t="s">
        <v>154</v>
      </c>
      <c r="B206" s="80" t="s">
        <v>155</v>
      </c>
      <c r="C206" s="89">
        <f t="shared" ref="C206:R206" si="69">(10*C168)-(C193/21.43)</f>
        <v>1594.1203919738684</v>
      </c>
      <c r="D206" s="89">
        <f t="shared" si="69"/>
        <v>1694.1203919738684</v>
      </c>
      <c r="E206" s="89">
        <f t="shared" si="69"/>
        <v>1394.1203919738684</v>
      </c>
      <c r="F206" s="89">
        <f t="shared" si="69"/>
        <v>1694.1203919738684</v>
      </c>
      <c r="G206" s="89">
        <f t="shared" si="69"/>
        <v>1494.1203919738684</v>
      </c>
      <c r="H206" s="89">
        <f t="shared" si="69"/>
        <v>994.12039197386844</v>
      </c>
      <c r="I206" s="89">
        <f t="shared" si="69"/>
        <v>994.12039197386844</v>
      </c>
      <c r="J206" s="89">
        <f t="shared" si="69"/>
        <v>1294.1203919738684</v>
      </c>
      <c r="K206" s="89">
        <f t="shared" si="69"/>
        <v>1194.1203919738684</v>
      </c>
      <c r="L206" s="89">
        <f t="shared" si="69"/>
        <v>1294.1203919738684</v>
      </c>
      <c r="M206" s="89">
        <f t="shared" si="69"/>
        <v>1594.1203919738684</v>
      </c>
      <c r="N206" s="89">
        <f t="shared" si="69"/>
        <v>1594.1203919738684</v>
      </c>
      <c r="O206" s="89">
        <f t="shared" si="69"/>
        <v>1494.1203919738684</v>
      </c>
      <c r="P206" s="89">
        <f t="shared" si="69"/>
        <v>1694.1203919738684</v>
      </c>
      <c r="Q206" s="89">
        <f t="shared" si="69"/>
        <v>1094.1203919738684</v>
      </c>
      <c r="R206" s="90">
        <f t="shared" si="69"/>
        <v>1694.1203919738684</v>
      </c>
      <c r="S206" s="89" t="s">
        <v>156</v>
      </c>
      <c r="T206" s="89" t="s">
        <v>198</v>
      </c>
    </row>
    <row r="207" spans="1:20" x14ac:dyDescent="0.25">
      <c r="A207" s="79"/>
      <c r="B207" s="80" t="s">
        <v>158</v>
      </c>
      <c r="C207" s="80">
        <f>ROUNDUP(C206/25,0)*25</f>
        <v>1600</v>
      </c>
      <c r="D207" s="80">
        <f t="shared" ref="D207:R207" si="70">ROUNDUP(D206/25,0)*25</f>
        <v>1700</v>
      </c>
      <c r="E207" s="80">
        <f t="shared" si="70"/>
        <v>1400</v>
      </c>
      <c r="F207" s="80">
        <f t="shared" si="70"/>
        <v>1700</v>
      </c>
      <c r="G207" s="80">
        <f t="shared" si="70"/>
        <v>1500</v>
      </c>
      <c r="H207" s="80">
        <f t="shared" si="70"/>
        <v>1000</v>
      </c>
      <c r="I207" s="80">
        <f t="shared" si="70"/>
        <v>1000</v>
      </c>
      <c r="J207" s="80">
        <f t="shared" si="70"/>
        <v>1300</v>
      </c>
      <c r="K207" s="80">
        <f t="shared" si="70"/>
        <v>1200</v>
      </c>
      <c r="L207" s="80">
        <f t="shared" si="70"/>
        <v>1300</v>
      </c>
      <c r="M207" s="80">
        <f t="shared" si="70"/>
        <v>1600</v>
      </c>
      <c r="N207" s="80">
        <f t="shared" si="70"/>
        <v>1600</v>
      </c>
      <c r="O207" s="80">
        <f t="shared" si="70"/>
        <v>1500</v>
      </c>
      <c r="P207" s="80">
        <f t="shared" si="70"/>
        <v>1700</v>
      </c>
      <c r="Q207" s="80">
        <f t="shared" si="70"/>
        <v>1100</v>
      </c>
      <c r="R207" s="81">
        <f t="shared" si="70"/>
        <v>1700</v>
      </c>
      <c r="S207" s="80" t="s">
        <v>156</v>
      </c>
      <c r="T207" s="80" t="s">
        <v>199</v>
      </c>
    </row>
    <row r="208" spans="1:20" x14ac:dyDescent="0.25">
      <c r="A208" s="79"/>
      <c r="B208" s="80" t="s">
        <v>101</v>
      </c>
      <c r="C208" s="80"/>
      <c r="D208" s="80"/>
      <c r="E208" s="80"/>
      <c r="F208" s="80"/>
      <c r="G208" s="80"/>
      <c r="H208" s="80"/>
      <c r="I208" s="80"/>
      <c r="J208" s="80"/>
      <c r="K208" s="80"/>
      <c r="L208" s="80"/>
      <c r="M208" s="80"/>
      <c r="N208" s="80"/>
      <c r="O208" s="80"/>
      <c r="P208" s="80"/>
      <c r="Q208" s="80"/>
      <c r="R208" s="81"/>
      <c r="S208" s="80"/>
      <c r="T208" s="80"/>
    </row>
    <row r="209" spans="1:20" x14ac:dyDescent="0.25">
      <c r="A209" s="79"/>
      <c r="B209" s="80" t="s">
        <v>160</v>
      </c>
      <c r="C209" s="82">
        <f>440.71+20.493*C207</f>
        <v>33229.509999999995</v>
      </c>
      <c r="D209" s="82">
        <f t="shared" ref="D209:R209" si="71">440.71+20.493*D207</f>
        <v>35278.81</v>
      </c>
      <c r="E209" s="82">
        <f t="shared" si="71"/>
        <v>29130.909999999996</v>
      </c>
      <c r="F209" s="82">
        <f t="shared" si="71"/>
        <v>35278.81</v>
      </c>
      <c r="G209" s="82">
        <f t="shared" si="71"/>
        <v>31180.209999999995</v>
      </c>
      <c r="H209" s="82">
        <f t="shared" si="71"/>
        <v>20933.71</v>
      </c>
      <c r="I209" s="82">
        <f t="shared" si="71"/>
        <v>20933.71</v>
      </c>
      <c r="J209" s="82">
        <f t="shared" si="71"/>
        <v>27081.609999999997</v>
      </c>
      <c r="K209" s="82">
        <f t="shared" si="71"/>
        <v>25032.309999999998</v>
      </c>
      <c r="L209" s="82">
        <f t="shared" si="71"/>
        <v>27081.609999999997</v>
      </c>
      <c r="M209" s="82">
        <f t="shared" si="71"/>
        <v>33229.509999999995</v>
      </c>
      <c r="N209" s="82">
        <f t="shared" si="71"/>
        <v>33229.509999999995</v>
      </c>
      <c r="O209" s="82">
        <f t="shared" si="71"/>
        <v>31180.209999999995</v>
      </c>
      <c r="P209" s="82">
        <f t="shared" si="71"/>
        <v>35278.81</v>
      </c>
      <c r="Q209" s="82">
        <f t="shared" si="71"/>
        <v>22983.01</v>
      </c>
      <c r="R209" s="83">
        <f t="shared" si="71"/>
        <v>35278.81</v>
      </c>
      <c r="S209" s="82"/>
      <c r="T209" s="82" t="s">
        <v>200</v>
      </c>
    </row>
    <row r="210" spans="1:20" x14ac:dyDescent="0.25">
      <c r="A210" s="79"/>
      <c r="B210" s="80" t="s">
        <v>162</v>
      </c>
      <c r="C210" s="91"/>
      <c r="D210" s="91"/>
      <c r="E210" s="91"/>
      <c r="F210" s="91"/>
      <c r="G210" s="91"/>
      <c r="H210" s="91"/>
      <c r="I210" s="91"/>
      <c r="J210" s="91"/>
      <c r="K210" s="91"/>
      <c r="L210" s="91"/>
      <c r="M210" s="91"/>
      <c r="N210" s="91"/>
      <c r="O210" s="91"/>
      <c r="P210" s="91"/>
      <c r="Q210" s="91"/>
      <c r="R210" s="92"/>
      <c r="S210" s="91"/>
      <c r="T210" s="91"/>
    </row>
    <row r="211" spans="1:20" x14ac:dyDescent="0.25">
      <c r="A211" s="79"/>
      <c r="B211" s="80" t="s">
        <v>93</v>
      </c>
      <c r="C211" s="86">
        <v>0.15</v>
      </c>
      <c r="D211" s="86">
        <v>0.15</v>
      </c>
      <c r="E211" s="86">
        <v>0.15</v>
      </c>
      <c r="F211" s="86">
        <v>0.15</v>
      </c>
      <c r="G211" s="86">
        <v>0.15</v>
      </c>
      <c r="H211" s="86">
        <v>0.15</v>
      </c>
      <c r="I211" s="86">
        <v>0.15</v>
      </c>
      <c r="J211" s="86">
        <v>0.15</v>
      </c>
      <c r="K211" s="86">
        <v>0.15</v>
      </c>
      <c r="L211" s="86">
        <v>0.15</v>
      </c>
      <c r="M211" s="86">
        <v>0.15</v>
      </c>
      <c r="N211" s="86">
        <v>0.15</v>
      </c>
      <c r="O211" s="86">
        <v>0.15</v>
      </c>
      <c r="P211" s="86">
        <v>0.15</v>
      </c>
      <c r="Q211" s="86">
        <v>0.15</v>
      </c>
      <c r="R211" s="87">
        <v>0.15</v>
      </c>
      <c r="S211" s="86"/>
      <c r="T211" s="86"/>
    </row>
    <row r="212" spans="1:20" x14ac:dyDescent="0.25">
      <c r="A212" s="79"/>
      <c r="B212" s="80" t="s">
        <v>94</v>
      </c>
      <c r="C212" s="82">
        <f>C209*(1+C211)</f>
        <v>38213.936499999989</v>
      </c>
      <c r="D212" s="82">
        <f t="shared" ref="D212:R212" si="72">D209*(1+D211)</f>
        <v>40570.631499999996</v>
      </c>
      <c r="E212" s="82">
        <f t="shared" si="72"/>
        <v>33500.546499999989</v>
      </c>
      <c r="F212" s="82">
        <f t="shared" si="72"/>
        <v>40570.631499999996</v>
      </c>
      <c r="G212" s="82">
        <f t="shared" si="72"/>
        <v>35857.241499999989</v>
      </c>
      <c r="H212" s="82">
        <f t="shared" si="72"/>
        <v>24073.766499999998</v>
      </c>
      <c r="I212" s="82">
        <f t="shared" si="72"/>
        <v>24073.766499999998</v>
      </c>
      <c r="J212" s="82">
        <f t="shared" si="72"/>
        <v>31143.851499999993</v>
      </c>
      <c r="K212" s="82">
        <f t="shared" si="72"/>
        <v>28787.156499999994</v>
      </c>
      <c r="L212" s="82">
        <f t="shared" si="72"/>
        <v>31143.851499999993</v>
      </c>
      <c r="M212" s="82">
        <f t="shared" si="72"/>
        <v>38213.936499999989</v>
      </c>
      <c r="N212" s="82">
        <f t="shared" si="72"/>
        <v>38213.936499999989</v>
      </c>
      <c r="O212" s="82">
        <f t="shared" si="72"/>
        <v>35857.241499999989</v>
      </c>
      <c r="P212" s="82">
        <f t="shared" si="72"/>
        <v>40570.631499999996</v>
      </c>
      <c r="Q212" s="82">
        <f t="shared" si="72"/>
        <v>26430.461499999998</v>
      </c>
      <c r="R212" s="83">
        <f t="shared" si="72"/>
        <v>40570.631499999996</v>
      </c>
      <c r="S212" s="82"/>
      <c r="T212" s="82"/>
    </row>
    <row r="213" spans="1:20" x14ac:dyDescent="0.25">
      <c r="A213" s="79"/>
      <c r="B213" s="80"/>
      <c r="C213" s="80"/>
      <c r="D213" s="80"/>
      <c r="E213" s="80"/>
      <c r="F213" s="80"/>
      <c r="G213" s="80"/>
      <c r="H213" s="80"/>
      <c r="I213" s="80"/>
      <c r="J213" s="80"/>
      <c r="K213" s="80"/>
      <c r="L213" s="80"/>
      <c r="M213" s="80"/>
      <c r="N213" s="80"/>
      <c r="O213" s="80"/>
      <c r="P213" s="80"/>
      <c r="Q213" s="80"/>
      <c r="R213" s="81"/>
      <c r="S213" s="80"/>
      <c r="T213" s="80"/>
    </row>
    <row r="214" spans="1:20" x14ac:dyDescent="0.25">
      <c r="A214" s="47" t="s">
        <v>165</v>
      </c>
      <c r="B214" s="93" t="s">
        <v>166</v>
      </c>
      <c r="C214" s="89">
        <f t="shared" ref="C214:R214" si="73">C168*12000/3412</f>
        <v>633.05978898007038</v>
      </c>
      <c r="D214" s="89">
        <f t="shared" si="73"/>
        <v>668.22977725674093</v>
      </c>
      <c r="E214" s="89">
        <f t="shared" si="73"/>
        <v>562.71981242672916</v>
      </c>
      <c r="F214" s="89">
        <f t="shared" si="73"/>
        <v>668.22977725674093</v>
      </c>
      <c r="G214" s="89">
        <f t="shared" si="73"/>
        <v>597.88980070339971</v>
      </c>
      <c r="H214" s="89">
        <f t="shared" si="73"/>
        <v>422.0398593200469</v>
      </c>
      <c r="I214" s="89">
        <f t="shared" si="73"/>
        <v>422.0398593200469</v>
      </c>
      <c r="J214" s="89">
        <f t="shared" si="73"/>
        <v>527.54982415005861</v>
      </c>
      <c r="K214" s="89">
        <f t="shared" si="73"/>
        <v>492.37983587338806</v>
      </c>
      <c r="L214" s="89">
        <f t="shared" si="73"/>
        <v>527.54982415005861</v>
      </c>
      <c r="M214" s="89">
        <f t="shared" si="73"/>
        <v>633.05978898007038</v>
      </c>
      <c r="N214" s="89">
        <f t="shared" si="73"/>
        <v>633.05978898007038</v>
      </c>
      <c r="O214" s="89">
        <f t="shared" si="73"/>
        <v>597.88980070339971</v>
      </c>
      <c r="P214" s="89">
        <f t="shared" si="73"/>
        <v>668.22977725674093</v>
      </c>
      <c r="Q214" s="89">
        <f t="shared" si="73"/>
        <v>457.20984759671745</v>
      </c>
      <c r="R214" s="90">
        <f t="shared" si="73"/>
        <v>668.22977725674093</v>
      </c>
      <c r="S214" s="89" t="s">
        <v>167</v>
      </c>
      <c r="T214" s="89" t="s">
        <v>201</v>
      </c>
    </row>
    <row r="215" spans="1:20" x14ac:dyDescent="0.25">
      <c r="A215" s="79"/>
      <c r="B215" s="80" t="s">
        <v>89</v>
      </c>
      <c r="C215" s="80">
        <v>1</v>
      </c>
      <c r="D215" s="80">
        <v>1</v>
      </c>
      <c r="E215" s="80">
        <v>1</v>
      </c>
      <c r="F215" s="80">
        <v>1</v>
      </c>
      <c r="G215" s="80">
        <v>1</v>
      </c>
      <c r="H215" s="80">
        <v>1</v>
      </c>
      <c r="I215" s="80">
        <v>1</v>
      </c>
      <c r="J215" s="80">
        <v>1</v>
      </c>
      <c r="K215" s="80">
        <v>1</v>
      </c>
      <c r="L215" s="80">
        <v>1</v>
      </c>
      <c r="M215" s="80">
        <v>1</v>
      </c>
      <c r="N215" s="80">
        <v>1</v>
      </c>
      <c r="O215" s="80">
        <v>1</v>
      </c>
      <c r="P215" s="80">
        <v>1</v>
      </c>
      <c r="Q215" s="80">
        <v>1</v>
      </c>
      <c r="R215" s="81">
        <v>1</v>
      </c>
      <c r="S215" s="80"/>
      <c r="T215" s="80"/>
    </row>
    <row r="216" spans="1:20" x14ac:dyDescent="0.25">
      <c r="A216" s="79"/>
      <c r="B216" s="80" t="s">
        <v>169</v>
      </c>
      <c r="C216" s="82">
        <f>5161.1+40.059*C214</f>
        <v>30520.842086752637</v>
      </c>
      <c r="D216" s="82">
        <f t="shared" ref="D216:R216" si="74">5161.1+40.059*D214</f>
        <v>31929.716647127781</v>
      </c>
      <c r="E216" s="82">
        <f t="shared" si="74"/>
        <v>27703.092966002339</v>
      </c>
      <c r="F216" s="82">
        <f t="shared" si="74"/>
        <v>31929.716647127781</v>
      </c>
      <c r="G216" s="82">
        <f t="shared" si="74"/>
        <v>29111.967526377492</v>
      </c>
      <c r="H216" s="82">
        <f t="shared" si="74"/>
        <v>22067.59472450176</v>
      </c>
      <c r="I216" s="82">
        <f t="shared" si="74"/>
        <v>22067.59472450176</v>
      </c>
      <c r="J216" s="82">
        <f t="shared" si="74"/>
        <v>26294.218405627194</v>
      </c>
      <c r="K216" s="82">
        <f t="shared" si="74"/>
        <v>24885.34384525205</v>
      </c>
      <c r="L216" s="82">
        <f t="shared" si="74"/>
        <v>26294.218405627194</v>
      </c>
      <c r="M216" s="82">
        <f t="shared" si="74"/>
        <v>30520.842086752637</v>
      </c>
      <c r="N216" s="82">
        <f t="shared" si="74"/>
        <v>30520.842086752637</v>
      </c>
      <c r="O216" s="82">
        <f t="shared" si="74"/>
        <v>29111.967526377492</v>
      </c>
      <c r="P216" s="82">
        <f t="shared" si="74"/>
        <v>31929.716647127781</v>
      </c>
      <c r="Q216" s="82">
        <f t="shared" si="74"/>
        <v>23476.469284876905</v>
      </c>
      <c r="R216" s="83">
        <f t="shared" si="74"/>
        <v>31929.716647127781</v>
      </c>
      <c r="S216" s="89"/>
      <c r="T216" s="89" t="s">
        <v>202</v>
      </c>
    </row>
    <row r="217" spans="1:20" x14ac:dyDescent="0.25">
      <c r="A217" s="79"/>
      <c r="B217" s="80" t="s">
        <v>93</v>
      </c>
      <c r="C217" s="86">
        <v>0.15</v>
      </c>
      <c r="D217" s="86">
        <v>0.15</v>
      </c>
      <c r="E217" s="86">
        <v>0.15</v>
      </c>
      <c r="F217" s="86">
        <v>0.15</v>
      </c>
      <c r="G217" s="86">
        <v>0.15</v>
      </c>
      <c r="H217" s="86">
        <v>0.15</v>
      </c>
      <c r="I217" s="86">
        <v>0.15</v>
      </c>
      <c r="J217" s="86">
        <v>0.15</v>
      </c>
      <c r="K217" s="86">
        <v>0.15</v>
      </c>
      <c r="L217" s="86">
        <v>0.15</v>
      </c>
      <c r="M217" s="86">
        <v>0.15</v>
      </c>
      <c r="N217" s="86">
        <v>0.15</v>
      </c>
      <c r="O217" s="86">
        <v>0.15</v>
      </c>
      <c r="P217" s="86">
        <v>0.15</v>
      </c>
      <c r="Q217" s="86">
        <v>0.15</v>
      </c>
      <c r="R217" s="87">
        <v>0.15</v>
      </c>
      <c r="S217" s="86"/>
      <c r="T217" s="86"/>
    </row>
    <row r="218" spans="1:20" x14ac:dyDescent="0.25">
      <c r="A218" s="79"/>
      <c r="B218" s="80" t="s">
        <v>94</v>
      </c>
      <c r="C218" s="82">
        <f>C216*(1+C217)</f>
        <v>35098.96839976553</v>
      </c>
      <c r="D218" s="82">
        <f t="shared" ref="D218:R218" si="75">D216*(1+D217)</f>
        <v>36719.174144196943</v>
      </c>
      <c r="E218" s="82">
        <f t="shared" si="75"/>
        <v>31858.556910902687</v>
      </c>
      <c r="F218" s="82">
        <f t="shared" si="75"/>
        <v>36719.174144196943</v>
      </c>
      <c r="G218" s="82">
        <f t="shared" si="75"/>
        <v>33478.762655334111</v>
      </c>
      <c r="H218" s="82">
        <f t="shared" si="75"/>
        <v>25377.73393317702</v>
      </c>
      <c r="I218" s="82">
        <f t="shared" si="75"/>
        <v>25377.73393317702</v>
      </c>
      <c r="J218" s="82">
        <f t="shared" si="75"/>
        <v>30238.351166471271</v>
      </c>
      <c r="K218" s="82">
        <f t="shared" si="75"/>
        <v>28618.145422039855</v>
      </c>
      <c r="L218" s="82">
        <f t="shared" si="75"/>
        <v>30238.351166471271</v>
      </c>
      <c r="M218" s="82">
        <f t="shared" si="75"/>
        <v>35098.96839976553</v>
      </c>
      <c r="N218" s="82">
        <f t="shared" si="75"/>
        <v>35098.96839976553</v>
      </c>
      <c r="O218" s="82">
        <f t="shared" si="75"/>
        <v>33478.762655334111</v>
      </c>
      <c r="P218" s="82">
        <f t="shared" si="75"/>
        <v>36719.174144196943</v>
      </c>
      <c r="Q218" s="82">
        <f t="shared" si="75"/>
        <v>26997.93967760844</v>
      </c>
      <c r="R218" s="83">
        <f t="shared" si="75"/>
        <v>36719.174144196943</v>
      </c>
      <c r="S218" s="82"/>
      <c r="T218" s="82"/>
    </row>
    <row r="219" spans="1:20" x14ac:dyDescent="0.25">
      <c r="A219" s="79"/>
      <c r="B219" s="80"/>
      <c r="C219" s="80"/>
      <c r="D219" s="80"/>
      <c r="E219" s="80"/>
      <c r="F219" s="80"/>
      <c r="G219" s="80"/>
      <c r="H219" s="80"/>
      <c r="I219" s="80"/>
      <c r="J219" s="80"/>
      <c r="K219" s="80"/>
      <c r="L219" s="80"/>
      <c r="M219" s="80"/>
      <c r="N219" s="80"/>
      <c r="O219" s="80"/>
      <c r="P219" s="80"/>
      <c r="Q219" s="80"/>
      <c r="R219" s="81"/>
      <c r="S219" s="80"/>
      <c r="T219" s="80"/>
    </row>
    <row r="220" spans="1:20" x14ac:dyDescent="0.25">
      <c r="A220" s="47" t="s">
        <v>121</v>
      </c>
      <c r="B220" s="80" t="s">
        <v>122</v>
      </c>
      <c r="C220" s="94">
        <f>SUMIF($B168:$B218,$B$62,C168:C218)</f>
        <v>2372307.3448997652</v>
      </c>
      <c r="D220" s="94">
        <f t="shared" ref="D220:R220" si="76">SUMIF($B168:$B218,$B$62,D168:D218)</f>
        <v>2391004.2456441969</v>
      </c>
      <c r="E220" s="94">
        <f t="shared" si="76"/>
        <v>2334913.5434109028</v>
      </c>
      <c r="F220" s="94">
        <f t="shared" si="76"/>
        <v>2391004.2456441969</v>
      </c>
      <c r="G220" s="94">
        <f t="shared" si="76"/>
        <v>2353610.444155334</v>
      </c>
      <c r="H220" s="94">
        <f t="shared" si="76"/>
        <v>2260125.9404331767</v>
      </c>
      <c r="I220" s="94">
        <f t="shared" si="76"/>
        <v>2260125.9404331767</v>
      </c>
      <c r="J220" s="94">
        <f t="shared" si="76"/>
        <v>2316216.6426664712</v>
      </c>
      <c r="K220" s="94">
        <f t="shared" si="76"/>
        <v>2297519.74192204</v>
      </c>
      <c r="L220" s="94">
        <f t="shared" si="76"/>
        <v>2316216.6426664712</v>
      </c>
      <c r="M220" s="94">
        <f t="shared" si="76"/>
        <v>2372307.3448997652</v>
      </c>
      <c r="N220" s="94">
        <f t="shared" si="76"/>
        <v>2372307.3448997652</v>
      </c>
      <c r="O220" s="94">
        <f t="shared" si="76"/>
        <v>2353610.444155334</v>
      </c>
      <c r="P220" s="94">
        <f t="shared" si="76"/>
        <v>2391004.2456441969</v>
      </c>
      <c r="Q220" s="94">
        <f t="shared" si="76"/>
        <v>2278822.8411776088</v>
      </c>
      <c r="R220" s="95">
        <f t="shared" si="76"/>
        <v>2391004.2456441969</v>
      </c>
      <c r="S220" s="99"/>
      <c r="T220" s="99"/>
    </row>
    <row r="221" spans="1:20" x14ac:dyDescent="0.25">
      <c r="A221" s="79"/>
      <c r="B221" s="80"/>
      <c r="C221" s="80"/>
      <c r="D221" s="80"/>
      <c r="E221" s="80"/>
      <c r="F221" s="80"/>
      <c r="G221" s="80"/>
      <c r="H221" s="80"/>
      <c r="I221" s="80"/>
      <c r="J221" s="80"/>
      <c r="K221" s="80"/>
      <c r="L221" s="80"/>
      <c r="M221" s="80"/>
      <c r="N221" s="80"/>
      <c r="O221" s="80"/>
      <c r="P221" s="80"/>
      <c r="Q221" s="80"/>
      <c r="R221" s="81"/>
      <c r="S221" s="80"/>
      <c r="T221" s="80"/>
    </row>
    <row r="222" spans="1:20" x14ac:dyDescent="0.25">
      <c r="A222" s="79"/>
      <c r="B222" s="80" t="s">
        <v>123</v>
      </c>
      <c r="C222" s="82">
        <f t="shared" ref="C222:R222" si="77">2.5*$C$3</f>
        <v>527215</v>
      </c>
      <c r="D222" s="82">
        <f t="shared" si="77"/>
        <v>527215</v>
      </c>
      <c r="E222" s="82">
        <f t="shared" si="77"/>
        <v>527215</v>
      </c>
      <c r="F222" s="82">
        <f t="shared" si="77"/>
        <v>527215</v>
      </c>
      <c r="G222" s="82">
        <f t="shared" si="77"/>
        <v>527215</v>
      </c>
      <c r="H222" s="82">
        <f t="shared" si="77"/>
        <v>527215</v>
      </c>
      <c r="I222" s="82">
        <f t="shared" si="77"/>
        <v>527215</v>
      </c>
      <c r="J222" s="82">
        <f t="shared" si="77"/>
        <v>527215</v>
      </c>
      <c r="K222" s="82">
        <f t="shared" si="77"/>
        <v>527215</v>
      </c>
      <c r="L222" s="82">
        <f t="shared" si="77"/>
        <v>527215</v>
      </c>
      <c r="M222" s="82">
        <f t="shared" si="77"/>
        <v>527215</v>
      </c>
      <c r="N222" s="82">
        <f t="shared" si="77"/>
        <v>527215</v>
      </c>
      <c r="O222" s="82">
        <f t="shared" si="77"/>
        <v>527215</v>
      </c>
      <c r="P222" s="82">
        <f t="shared" si="77"/>
        <v>527215</v>
      </c>
      <c r="Q222" s="82">
        <f t="shared" si="77"/>
        <v>527215</v>
      </c>
      <c r="R222" s="83">
        <f t="shared" si="77"/>
        <v>527215</v>
      </c>
      <c r="S222" s="82"/>
      <c r="T222" s="82" t="s">
        <v>124</v>
      </c>
    </row>
    <row r="223" spans="1:20" x14ac:dyDescent="0.25">
      <c r="A223" s="79"/>
      <c r="B223" s="80" t="s">
        <v>125</v>
      </c>
      <c r="C223" s="82">
        <f>200*160</f>
        <v>32000</v>
      </c>
      <c r="D223" s="82">
        <f t="shared" ref="D223:R223" si="78">200*160</f>
        <v>32000</v>
      </c>
      <c r="E223" s="82">
        <f t="shared" si="78"/>
        <v>32000</v>
      </c>
      <c r="F223" s="82">
        <f t="shared" si="78"/>
        <v>32000</v>
      </c>
      <c r="G223" s="82">
        <f t="shared" si="78"/>
        <v>32000</v>
      </c>
      <c r="H223" s="82">
        <f t="shared" si="78"/>
        <v>32000</v>
      </c>
      <c r="I223" s="82">
        <f t="shared" si="78"/>
        <v>32000</v>
      </c>
      <c r="J223" s="82">
        <f t="shared" si="78"/>
        <v>32000</v>
      </c>
      <c r="K223" s="82">
        <f t="shared" si="78"/>
        <v>32000</v>
      </c>
      <c r="L223" s="82">
        <f t="shared" si="78"/>
        <v>32000</v>
      </c>
      <c r="M223" s="82">
        <f t="shared" si="78"/>
        <v>32000</v>
      </c>
      <c r="N223" s="82">
        <f t="shared" si="78"/>
        <v>32000</v>
      </c>
      <c r="O223" s="82">
        <f t="shared" si="78"/>
        <v>32000</v>
      </c>
      <c r="P223" s="82">
        <f t="shared" si="78"/>
        <v>32000</v>
      </c>
      <c r="Q223" s="82">
        <f t="shared" si="78"/>
        <v>32000</v>
      </c>
      <c r="R223" s="83">
        <f t="shared" si="78"/>
        <v>32000</v>
      </c>
      <c r="S223" s="82"/>
      <c r="T223" s="82" t="s">
        <v>126</v>
      </c>
    </row>
    <row r="224" spans="1:20" x14ac:dyDescent="0.25">
      <c r="A224" s="79"/>
      <c r="B224" s="80"/>
      <c r="C224" s="80"/>
      <c r="D224" s="80"/>
      <c r="E224" s="80"/>
      <c r="F224" s="80"/>
      <c r="G224" s="80"/>
      <c r="H224" s="80"/>
      <c r="I224" s="80"/>
      <c r="J224" s="80"/>
      <c r="K224" s="80"/>
      <c r="L224" s="80"/>
      <c r="M224" s="80"/>
      <c r="N224" s="80"/>
      <c r="O224" s="80"/>
      <c r="P224" s="80"/>
      <c r="Q224" s="80"/>
      <c r="R224" s="81"/>
      <c r="S224" s="80"/>
      <c r="T224" s="80"/>
    </row>
    <row r="225" spans="1:20" x14ac:dyDescent="0.25">
      <c r="A225" s="47" t="s">
        <v>127</v>
      </c>
      <c r="B225" s="80" t="s">
        <v>128</v>
      </c>
      <c r="C225" s="94">
        <f>SUM(C220,C222,C223)</f>
        <v>2931522.3448997652</v>
      </c>
      <c r="D225" s="94">
        <f t="shared" ref="D225:R225" si="79">SUM(D220,D222,D223)</f>
        <v>2950219.2456441969</v>
      </c>
      <c r="E225" s="94">
        <f t="shared" si="79"/>
        <v>2894128.5434109028</v>
      </c>
      <c r="F225" s="94">
        <f t="shared" si="79"/>
        <v>2950219.2456441969</v>
      </c>
      <c r="G225" s="94">
        <f t="shared" si="79"/>
        <v>2912825.444155334</v>
      </c>
      <c r="H225" s="94">
        <f t="shared" si="79"/>
        <v>2819340.9404331767</v>
      </c>
      <c r="I225" s="94">
        <f t="shared" si="79"/>
        <v>2819340.9404331767</v>
      </c>
      <c r="J225" s="94">
        <f t="shared" si="79"/>
        <v>2875431.6426664712</v>
      </c>
      <c r="K225" s="94">
        <f t="shared" si="79"/>
        <v>2856734.74192204</v>
      </c>
      <c r="L225" s="94">
        <f t="shared" si="79"/>
        <v>2875431.6426664712</v>
      </c>
      <c r="M225" s="94">
        <f t="shared" si="79"/>
        <v>2931522.3448997652</v>
      </c>
      <c r="N225" s="94">
        <f t="shared" si="79"/>
        <v>2931522.3448997652</v>
      </c>
      <c r="O225" s="94">
        <f t="shared" si="79"/>
        <v>2912825.444155334</v>
      </c>
      <c r="P225" s="94">
        <f t="shared" si="79"/>
        <v>2950219.2456441969</v>
      </c>
      <c r="Q225" s="94">
        <f t="shared" si="79"/>
        <v>2838037.8411776088</v>
      </c>
      <c r="R225" s="95">
        <f t="shared" si="79"/>
        <v>2950219.2456441969</v>
      </c>
      <c r="S225" s="99"/>
      <c r="T225" s="99"/>
    </row>
    <row r="226" spans="1:20" x14ac:dyDescent="0.25">
      <c r="A226" s="96"/>
      <c r="B226" s="97"/>
      <c r="C226" s="97"/>
      <c r="D226" s="97"/>
      <c r="E226" s="97"/>
      <c r="F226" s="97"/>
      <c r="G226" s="97"/>
      <c r="H226" s="97"/>
      <c r="I226" s="97"/>
      <c r="J226" s="97"/>
      <c r="K226" s="97"/>
      <c r="L226" s="97"/>
      <c r="M226" s="97"/>
      <c r="N226" s="97"/>
      <c r="O226" s="97"/>
      <c r="P226" s="97"/>
      <c r="Q226" s="97"/>
      <c r="R226" s="98"/>
      <c r="S226" s="80"/>
      <c r="T226" s="80"/>
    </row>
    <row r="228" spans="1:20" x14ac:dyDescent="0.25">
      <c r="D228" s="9"/>
    </row>
    <row r="231" spans="1:20" hidden="1" x14ac:dyDescent="0.25"/>
    <row r="232" spans="1:20" ht="21" hidden="1" x14ac:dyDescent="0.35">
      <c r="A232" s="13"/>
      <c r="B232" s="14" t="s">
        <v>203</v>
      </c>
      <c r="C232" s="15"/>
      <c r="D232" s="15"/>
      <c r="E232" s="15"/>
      <c r="F232" s="15"/>
      <c r="G232" s="15"/>
      <c r="H232" s="15"/>
      <c r="I232" s="15"/>
      <c r="J232" s="15"/>
      <c r="K232" s="15"/>
      <c r="L232" s="15"/>
      <c r="M232" s="15"/>
      <c r="N232" s="15"/>
      <c r="O232" s="15"/>
      <c r="P232" s="15"/>
      <c r="Q232" s="15"/>
      <c r="R232" s="16"/>
      <c r="S232" s="18"/>
      <c r="T232" s="18"/>
    </row>
    <row r="233" spans="1:20" ht="18.75" hidden="1" x14ac:dyDescent="0.3">
      <c r="A233" s="17"/>
      <c r="B233" s="18"/>
      <c r="C233" s="18" t="s">
        <v>49</v>
      </c>
      <c r="D233" s="18" t="s">
        <v>50</v>
      </c>
      <c r="E233" s="18" t="s">
        <v>51</v>
      </c>
      <c r="F233" s="18" t="s">
        <v>52</v>
      </c>
      <c r="G233" s="18" t="s">
        <v>53</v>
      </c>
      <c r="H233" s="18" t="s">
        <v>54</v>
      </c>
      <c r="I233" s="18" t="s">
        <v>55</v>
      </c>
      <c r="J233" s="18" t="s">
        <v>56</v>
      </c>
      <c r="K233" s="18" t="s">
        <v>57</v>
      </c>
      <c r="L233" s="18" t="s">
        <v>58</v>
      </c>
      <c r="M233" s="18" t="s">
        <v>59</v>
      </c>
      <c r="N233" s="18" t="s">
        <v>60</v>
      </c>
      <c r="O233" s="18" t="s">
        <v>61</v>
      </c>
      <c r="P233" s="18" t="s">
        <v>62</v>
      </c>
      <c r="Q233" s="18" t="s">
        <v>63</v>
      </c>
      <c r="R233" s="19" t="s">
        <v>64</v>
      </c>
      <c r="S233" s="170" t="s">
        <v>204</v>
      </c>
      <c r="T233" s="18"/>
    </row>
    <row r="234" spans="1:20" hidden="1" x14ac:dyDescent="0.25">
      <c r="A234" s="35" t="s">
        <v>30</v>
      </c>
      <c r="B234" s="18" t="s">
        <v>86</v>
      </c>
      <c r="C234" s="18">
        <f>ROUNDUP(Sizing!C$5/10,0)*10</f>
        <v>200</v>
      </c>
      <c r="D234" s="18">
        <f>ROUNDUP(Sizing!D$5/10,0)*10</f>
        <v>190</v>
      </c>
      <c r="E234" s="18">
        <f>ROUNDUP(Sizing!E$5/10,0)*10</f>
        <v>170</v>
      </c>
      <c r="F234" s="18">
        <f>ROUNDUP(Sizing!F$5/10,0)*10</f>
        <v>200</v>
      </c>
      <c r="G234" s="18">
        <f>ROUNDUP(Sizing!G$5/10,0)*10</f>
        <v>180</v>
      </c>
      <c r="H234" s="18">
        <f>ROUNDUP(Sizing!H$5/10,0)*10</f>
        <v>130</v>
      </c>
      <c r="I234" s="18">
        <f>ROUNDUP(Sizing!I$5/10,0)*10</f>
        <v>120</v>
      </c>
      <c r="J234" s="18">
        <f>ROUNDUP(Sizing!J$5/10,0)*10</f>
        <v>130</v>
      </c>
      <c r="K234" s="18">
        <f>ROUNDUP(Sizing!K$5/10,0)*10</f>
        <v>140</v>
      </c>
      <c r="L234" s="18">
        <f>ROUNDUP(Sizing!L$5/10,0)*10</f>
        <v>150</v>
      </c>
      <c r="M234" s="18">
        <f>ROUNDUP(Sizing!M$5/10,0)*10</f>
        <v>200</v>
      </c>
      <c r="N234" s="18">
        <f>ROUNDUP(Sizing!N$5/10,0)*10</f>
        <v>190</v>
      </c>
      <c r="O234" s="18">
        <f>ROUNDUP(Sizing!O$5/10,0)*10</f>
        <v>170</v>
      </c>
      <c r="P234" s="18">
        <f>ROUNDUP(Sizing!P$5/10,0)*10</f>
        <v>180</v>
      </c>
      <c r="Q234" s="18">
        <f>ROUNDUP(Sizing!Q$5/10,0)*10</f>
        <v>130</v>
      </c>
      <c r="R234" s="19">
        <f>ROUNDUP(Sizing!R$5/10,0)*10</f>
        <v>200</v>
      </c>
      <c r="S234" s="18" t="s">
        <v>130</v>
      </c>
      <c r="T234" s="18" t="s">
        <v>205</v>
      </c>
    </row>
    <row r="235" spans="1:20" hidden="1" x14ac:dyDescent="0.25">
      <c r="A235" s="17"/>
      <c r="B235" s="18" t="s">
        <v>89</v>
      </c>
      <c r="C235" s="18">
        <v>1</v>
      </c>
      <c r="D235" s="18">
        <v>1</v>
      </c>
      <c r="E235" s="18">
        <v>1</v>
      </c>
      <c r="F235" s="18">
        <v>1</v>
      </c>
      <c r="G235" s="18">
        <v>1</v>
      </c>
      <c r="H235" s="18">
        <v>1</v>
      </c>
      <c r="I235" s="18">
        <v>1</v>
      </c>
      <c r="J235" s="18">
        <v>1</v>
      </c>
      <c r="K235" s="18">
        <v>1</v>
      </c>
      <c r="L235" s="18">
        <v>1</v>
      </c>
      <c r="M235" s="18">
        <v>1</v>
      </c>
      <c r="N235" s="18">
        <v>1</v>
      </c>
      <c r="O235" s="18">
        <v>1</v>
      </c>
      <c r="P235" s="18">
        <v>1</v>
      </c>
      <c r="Q235" s="18">
        <v>1</v>
      </c>
      <c r="R235" s="19">
        <v>1</v>
      </c>
      <c r="S235" s="18"/>
      <c r="T235" s="18"/>
    </row>
    <row r="236" spans="1:20" hidden="1" x14ac:dyDescent="0.25">
      <c r="A236" s="17"/>
      <c r="B236" s="18" t="s">
        <v>101</v>
      </c>
      <c r="C236" s="20">
        <v>1280</v>
      </c>
      <c r="D236" s="20">
        <v>1280</v>
      </c>
      <c r="E236" s="20">
        <v>1280</v>
      </c>
      <c r="F236" s="20">
        <v>1280</v>
      </c>
      <c r="G236" s="20">
        <v>1280</v>
      </c>
      <c r="H236" s="20">
        <v>1280</v>
      </c>
      <c r="I236" s="20">
        <v>1280</v>
      </c>
      <c r="J236" s="20">
        <v>1280</v>
      </c>
      <c r="K236" s="20">
        <v>1280</v>
      </c>
      <c r="L236" s="20">
        <v>1280</v>
      </c>
      <c r="M236" s="20">
        <v>1280</v>
      </c>
      <c r="N236" s="20">
        <v>1280</v>
      </c>
      <c r="O236" s="20">
        <v>1280</v>
      </c>
      <c r="P236" s="20">
        <v>1280</v>
      </c>
      <c r="Q236" s="20">
        <v>1280</v>
      </c>
      <c r="R236" s="21">
        <v>1280</v>
      </c>
      <c r="S236" s="20" t="s">
        <v>132</v>
      </c>
      <c r="T236" s="20" t="s">
        <v>133</v>
      </c>
    </row>
    <row r="237" spans="1:20" hidden="1" x14ac:dyDescent="0.25">
      <c r="A237" s="17"/>
      <c r="B237" s="18" t="s">
        <v>90</v>
      </c>
      <c r="C237" s="20">
        <f>PRODUCT(C234:C236)</f>
        <v>256000</v>
      </c>
      <c r="D237" s="20">
        <f t="shared" ref="D237:R237" si="80">PRODUCT(D234:D236)</f>
        <v>243200</v>
      </c>
      <c r="E237" s="20">
        <f t="shared" si="80"/>
        <v>217600</v>
      </c>
      <c r="F237" s="20">
        <f t="shared" si="80"/>
        <v>256000</v>
      </c>
      <c r="G237" s="20">
        <f t="shared" si="80"/>
        <v>230400</v>
      </c>
      <c r="H237" s="20">
        <f t="shared" si="80"/>
        <v>166400</v>
      </c>
      <c r="I237" s="20">
        <f t="shared" si="80"/>
        <v>153600</v>
      </c>
      <c r="J237" s="20">
        <f t="shared" si="80"/>
        <v>166400</v>
      </c>
      <c r="K237" s="20">
        <f t="shared" si="80"/>
        <v>179200</v>
      </c>
      <c r="L237" s="20">
        <f t="shared" si="80"/>
        <v>192000</v>
      </c>
      <c r="M237" s="20">
        <f t="shared" si="80"/>
        <v>256000</v>
      </c>
      <c r="N237" s="20">
        <f t="shared" si="80"/>
        <v>243200</v>
      </c>
      <c r="O237" s="20">
        <f t="shared" si="80"/>
        <v>217600</v>
      </c>
      <c r="P237" s="20">
        <f t="shared" si="80"/>
        <v>230400</v>
      </c>
      <c r="Q237" s="20">
        <f t="shared" si="80"/>
        <v>166400</v>
      </c>
      <c r="R237" s="21">
        <f t="shared" si="80"/>
        <v>256000</v>
      </c>
      <c r="S237" s="18"/>
      <c r="T237" s="18" t="s">
        <v>134</v>
      </c>
    </row>
    <row r="238" spans="1:20" hidden="1" x14ac:dyDescent="0.25">
      <c r="A238" s="17"/>
      <c r="B238" s="18" t="s">
        <v>92</v>
      </c>
      <c r="C238" s="22">
        <v>10560</v>
      </c>
      <c r="D238" s="22">
        <v>10560</v>
      </c>
      <c r="E238" s="22">
        <v>10560</v>
      </c>
      <c r="F238" s="22">
        <v>10560</v>
      </c>
      <c r="G238" s="22">
        <v>10560</v>
      </c>
      <c r="H238" s="22">
        <v>10560</v>
      </c>
      <c r="I238" s="22">
        <v>10560</v>
      </c>
      <c r="J238" s="22">
        <v>10560</v>
      </c>
      <c r="K238" s="22">
        <v>10560</v>
      </c>
      <c r="L238" s="22">
        <v>10560</v>
      </c>
      <c r="M238" s="22">
        <v>10560</v>
      </c>
      <c r="N238" s="22">
        <v>10560</v>
      </c>
      <c r="O238" s="22">
        <v>10560</v>
      </c>
      <c r="P238" s="22">
        <v>10560</v>
      </c>
      <c r="Q238" s="22">
        <v>10560</v>
      </c>
      <c r="R238" s="23">
        <v>10560</v>
      </c>
      <c r="S238" s="22"/>
      <c r="T238" s="22" t="s">
        <v>135</v>
      </c>
    </row>
    <row r="239" spans="1:20" hidden="1" x14ac:dyDescent="0.25">
      <c r="A239" s="17"/>
      <c r="B239" s="18" t="s">
        <v>93</v>
      </c>
      <c r="C239" s="24">
        <v>0.15</v>
      </c>
      <c r="D239" s="24">
        <v>0.15</v>
      </c>
      <c r="E239" s="24">
        <v>0.15</v>
      </c>
      <c r="F239" s="24">
        <v>0.15</v>
      </c>
      <c r="G239" s="24">
        <v>0.15</v>
      </c>
      <c r="H239" s="24">
        <v>0.15</v>
      </c>
      <c r="I239" s="24">
        <v>0.15</v>
      </c>
      <c r="J239" s="24">
        <v>0.15</v>
      </c>
      <c r="K239" s="24">
        <v>0.15</v>
      </c>
      <c r="L239" s="24">
        <v>0.15</v>
      </c>
      <c r="M239" s="24">
        <v>0.15</v>
      </c>
      <c r="N239" s="24">
        <v>0.15</v>
      </c>
      <c r="O239" s="24">
        <v>0.15</v>
      </c>
      <c r="P239" s="24">
        <v>0.15</v>
      </c>
      <c r="Q239" s="24">
        <v>0.15</v>
      </c>
      <c r="R239" s="25">
        <v>0.15</v>
      </c>
      <c r="S239" s="24"/>
      <c r="T239" s="24"/>
    </row>
    <row r="240" spans="1:20" hidden="1" x14ac:dyDescent="0.25">
      <c r="A240" s="17"/>
      <c r="B240" s="18" t="s">
        <v>94</v>
      </c>
      <c r="C240" s="22">
        <f>(C237+C238)*(1+C239)</f>
        <v>306544</v>
      </c>
      <c r="D240" s="22">
        <f t="shared" ref="D240:R240" si="81">(D237+D238)*(1+D239)</f>
        <v>291824</v>
      </c>
      <c r="E240" s="22">
        <f t="shared" si="81"/>
        <v>262384</v>
      </c>
      <c r="F240" s="22">
        <f t="shared" si="81"/>
        <v>306544</v>
      </c>
      <c r="G240" s="22">
        <f t="shared" si="81"/>
        <v>277104</v>
      </c>
      <c r="H240" s="22">
        <f t="shared" si="81"/>
        <v>203503.99999999997</v>
      </c>
      <c r="I240" s="22">
        <f t="shared" si="81"/>
        <v>188783.99999999997</v>
      </c>
      <c r="J240" s="22">
        <f t="shared" si="81"/>
        <v>203503.99999999997</v>
      </c>
      <c r="K240" s="22">
        <f t="shared" si="81"/>
        <v>218223.99999999997</v>
      </c>
      <c r="L240" s="22">
        <f t="shared" si="81"/>
        <v>232943.99999999997</v>
      </c>
      <c r="M240" s="22">
        <f t="shared" si="81"/>
        <v>306544</v>
      </c>
      <c r="N240" s="22">
        <f t="shared" si="81"/>
        <v>291824</v>
      </c>
      <c r="O240" s="22">
        <f t="shared" si="81"/>
        <v>262384</v>
      </c>
      <c r="P240" s="22">
        <f t="shared" si="81"/>
        <v>277104</v>
      </c>
      <c r="Q240" s="22">
        <f t="shared" si="81"/>
        <v>203503.99999999997</v>
      </c>
      <c r="R240" s="23">
        <f t="shared" si="81"/>
        <v>306544</v>
      </c>
      <c r="S240" s="22"/>
      <c r="T240" s="22"/>
    </row>
    <row r="241" spans="1:20" hidden="1" x14ac:dyDescent="0.25">
      <c r="A241" s="17"/>
      <c r="B241" s="18"/>
      <c r="C241" s="18"/>
      <c r="D241" s="18"/>
      <c r="E241" s="18"/>
      <c r="F241" s="18"/>
      <c r="G241" s="18"/>
      <c r="H241" s="18"/>
      <c r="I241" s="18"/>
      <c r="J241" s="18"/>
      <c r="K241" s="18"/>
      <c r="L241" s="18"/>
      <c r="M241" s="18"/>
      <c r="N241" s="18"/>
      <c r="O241" s="18"/>
      <c r="P241" s="18"/>
      <c r="Q241" s="18"/>
      <c r="R241" s="19"/>
      <c r="S241" s="18"/>
      <c r="T241" s="18"/>
    </row>
    <row r="242" spans="1:20" hidden="1" x14ac:dyDescent="0.25">
      <c r="A242" s="47" t="s">
        <v>96</v>
      </c>
      <c r="B242" s="18" t="s">
        <v>86</v>
      </c>
      <c r="C242" s="18"/>
      <c r="D242" s="18"/>
      <c r="E242" s="18"/>
      <c r="F242" s="18"/>
      <c r="G242" s="18"/>
      <c r="H242" s="18"/>
      <c r="I242" s="18"/>
      <c r="J242" s="18"/>
      <c r="K242" s="18"/>
      <c r="L242" s="18"/>
      <c r="M242" s="18"/>
      <c r="N242" s="18"/>
      <c r="O242" s="18"/>
      <c r="P242" s="18"/>
      <c r="Q242" s="18"/>
      <c r="R242" s="19"/>
      <c r="S242" s="18"/>
      <c r="T242" s="18"/>
    </row>
    <row r="243" spans="1:20" hidden="1" x14ac:dyDescent="0.25">
      <c r="A243" s="17"/>
      <c r="B243" s="18" t="s">
        <v>98</v>
      </c>
      <c r="C243" s="190">
        <f>Sizing!C$6</f>
        <v>354536</v>
      </c>
      <c r="D243" s="190">
        <f>Sizing!D$6</f>
        <v>367002</v>
      </c>
      <c r="E243" s="190">
        <f>Sizing!E$6</f>
        <v>384753</v>
      </c>
      <c r="F243" s="190">
        <f>Sizing!F$6</f>
        <v>380072</v>
      </c>
      <c r="G243" s="190">
        <f>Sizing!G$6</f>
        <v>367742</v>
      </c>
      <c r="H243" s="190">
        <f>Sizing!H$6</f>
        <v>385061</v>
      </c>
      <c r="I243" s="190">
        <f>Sizing!I$6</f>
        <v>393487</v>
      </c>
      <c r="J243" s="190">
        <f>Sizing!J$6</f>
        <v>392366</v>
      </c>
      <c r="K243" s="190">
        <f>Sizing!K$6</f>
        <v>409809</v>
      </c>
      <c r="L243" s="190">
        <f>Sizing!L$6</f>
        <v>394760</v>
      </c>
      <c r="M243" s="190">
        <f>Sizing!M$6</f>
        <v>413973</v>
      </c>
      <c r="N243" s="190">
        <f>Sizing!N$6</f>
        <v>379320</v>
      </c>
      <c r="O243" s="190">
        <f>Sizing!O$6</f>
        <v>403572</v>
      </c>
      <c r="P243" s="190">
        <f>Sizing!P$6</f>
        <v>430583</v>
      </c>
      <c r="Q243" s="190">
        <f>Sizing!Q$6</f>
        <v>432427</v>
      </c>
      <c r="R243" s="197">
        <f>Sizing!R$6</f>
        <v>464923</v>
      </c>
      <c r="S243" s="18" t="s">
        <v>99</v>
      </c>
      <c r="T243" s="18" t="s">
        <v>206</v>
      </c>
    </row>
    <row r="244" spans="1:20" hidden="1" x14ac:dyDescent="0.25">
      <c r="A244" s="17"/>
      <c r="B244" s="18" t="s">
        <v>101</v>
      </c>
      <c r="C244" s="74" t="s">
        <v>194</v>
      </c>
      <c r="D244" s="74" t="s">
        <v>194</v>
      </c>
      <c r="E244" s="74" t="s">
        <v>194</v>
      </c>
      <c r="F244" s="74" t="s">
        <v>194</v>
      </c>
      <c r="G244" s="74" t="s">
        <v>194</v>
      </c>
      <c r="H244" s="74" t="s">
        <v>194</v>
      </c>
      <c r="I244" s="74" t="s">
        <v>194</v>
      </c>
      <c r="J244" s="74" t="s">
        <v>194</v>
      </c>
      <c r="K244" s="74" t="s">
        <v>194</v>
      </c>
      <c r="L244" s="74" t="s">
        <v>194</v>
      </c>
      <c r="M244" s="74" t="s">
        <v>194</v>
      </c>
      <c r="N244" s="74" t="s">
        <v>194</v>
      </c>
      <c r="O244" s="74" t="s">
        <v>194</v>
      </c>
      <c r="P244" s="74" t="s">
        <v>194</v>
      </c>
      <c r="Q244" s="74" t="s">
        <v>194</v>
      </c>
      <c r="R244" s="169" t="s">
        <v>194</v>
      </c>
      <c r="S244" s="74"/>
      <c r="T244" s="74"/>
    </row>
    <row r="245" spans="1:20" hidden="1" x14ac:dyDescent="0.25">
      <c r="A245" s="17"/>
      <c r="B245" s="18" t="s">
        <v>90</v>
      </c>
      <c r="C245" s="20">
        <f>8489.2+2.1333*C243</f>
        <v>764820.84880000004</v>
      </c>
      <c r="D245" s="20">
        <f t="shared" ref="D245:R245" si="82">8489.2+2.1333*D243</f>
        <v>791414.56660000002</v>
      </c>
      <c r="E245" s="20">
        <f t="shared" si="82"/>
        <v>829282.77490000008</v>
      </c>
      <c r="F245" s="20">
        <f t="shared" si="82"/>
        <v>819296.79760000005</v>
      </c>
      <c r="G245" s="20">
        <f t="shared" si="82"/>
        <v>792993.20860000001</v>
      </c>
      <c r="H245" s="20">
        <f t="shared" si="82"/>
        <v>829939.83130000008</v>
      </c>
      <c r="I245" s="20">
        <f t="shared" si="82"/>
        <v>847915.01710000006</v>
      </c>
      <c r="J245" s="20">
        <f t="shared" si="82"/>
        <v>845523.58779999998</v>
      </c>
      <c r="K245" s="20">
        <f t="shared" si="82"/>
        <v>882734.73970000003</v>
      </c>
      <c r="L245" s="20">
        <f t="shared" si="82"/>
        <v>850630.70799999998</v>
      </c>
      <c r="M245" s="20">
        <f t="shared" si="82"/>
        <v>891617.80090000003</v>
      </c>
      <c r="N245" s="20">
        <f t="shared" si="82"/>
        <v>817692.55599999998</v>
      </c>
      <c r="O245" s="20">
        <f t="shared" si="82"/>
        <v>869429.34759999998</v>
      </c>
      <c r="P245" s="20">
        <f t="shared" si="82"/>
        <v>927051.91390000004</v>
      </c>
      <c r="Q245" s="20">
        <f t="shared" si="82"/>
        <v>930985.71909999999</v>
      </c>
      <c r="R245" s="21">
        <f t="shared" si="82"/>
        <v>1000309.4359</v>
      </c>
      <c r="S245" s="20"/>
      <c r="T245" s="20" t="s">
        <v>207</v>
      </c>
    </row>
    <row r="246" spans="1:20" hidden="1" x14ac:dyDescent="0.25">
      <c r="A246" s="17"/>
      <c r="B246" s="18" t="s">
        <v>92</v>
      </c>
      <c r="C246" s="18">
        <v>0</v>
      </c>
      <c r="D246" s="18">
        <v>0</v>
      </c>
      <c r="E246" s="18">
        <v>0</v>
      </c>
      <c r="F246" s="18">
        <v>0</v>
      </c>
      <c r="G246" s="18">
        <v>0</v>
      </c>
      <c r="H246" s="18">
        <v>0</v>
      </c>
      <c r="I246" s="18">
        <v>0</v>
      </c>
      <c r="J246" s="18">
        <v>0</v>
      </c>
      <c r="K246" s="18">
        <v>0</v>
      </c>
      <c r="L246" s="18">
        <v>0</v>
      </c>
      <c r="M246" s="18">
        <v>0</v>
      </c>
      <c r="N246" s="18">
        <v>0</v>
      </c>
      <c r="O246" s="18">
        <v>0</v>
      </c>
      <c r="P246" s="18">
        <v>0</v>
      </c>
      <c r="Q246" s="18">
        <v>0</v>
      </c>
      <c r="R246" s="19">
        <v>0</v>
      </c>
      <c r="S246" s="18"/>
      <c r="T246" s="18"/>
    </row>
    <row r="247" spans="1:20" hidden="1" x14ac:dyDescent="0.25">
      <c r="A247" s="17"/>
      <c r="B247" s="18" t="s">
        <v>93</v>
      </c>
      <c r="C247" s="24">
        <v>0.15</v>
      </c>
      <c r="D247" s="24">
        <v>0.15</v>
      </c>
      <c r="E247" s="24">
        <v>0.15</v>
      </c>
      <c r="F247" s="24">
        <v>0.15</v>
      </c>
      <c r="G247" s="24">
        <v>0.15</v>
      </c>
      <c r="H247" s="24">
        <v>0.15</v>
      </c>
      <c r="I247" s="24">
        <v>0.15</v>
      </c>
      <c r="J247" s="24">
        <v>0.15</v>
      </c>
      <c r="K247" s="24">
        <v>0.15</v>
      </c>
      <c r="L247" s="24">
        <v>0.15</v>
      </c>
      <c r="M247" s="24">
        <v>0.15</v>
      </c>
      <c r="N247" s="24">
        <v>0.15</v>
      </c>
      <c r="O247" s="24">
        <v>0.15</v>
      </c>
      <c r="P247" s="24">
        <v>0.15</v>
      </c>
      <c r="Q247" s="24">
        <v>0.15</v>
      </c>
      <c r="R247" s="25">
        <v>0.15</v>
      </c>
      <c r="S247" s="24"/>
      <c r="T247" s="24"/>
    </row>
    <row r="248" spans="1:20" hidden="1" x14ac:dyDescent="0.25">
      <c r="A248" s="17"/>
      <c r="B248" s="18" t="s">
        <v>94</v>
      </c>
      <c r="C248" s="22">
        <f>(C245+C246)*(1+C247)</f>
        <v>879543.97612000001</v>
      </c>
      <c r="D248" s="22">
        <f t="shared" ref="D248:R248" si="83">(D245+D246)*(1+D247)</f>
        <v>910126.75159</v>
      </c>
      <c r="E248" s="22">
        <f t="shared" si="83"/>
        <v>953675.19113499997</v>
      </c>
      <c r="F248" s="22">
        <f t="shared" si="83"/>
        <v>942191.31724</v>
      </c>
      <c r="G248" s="22">
        <f t="shared" si="83"/>
        <v>911942.18988999992</v>
      </c>
      <c r="H248" s="22">
        <f t="shared" si="83"/>
        <v>954430.80599500006</v>
      </c>
      <c r="I248" s="22">
        <f t="shared" si="83"/>
        <v>975102.26966500003</v>
      </c>
      <c r="J248" s="22">
        <f t="shared" si="83"/>
        <v>972352.12596999994</v>
      </c>
      <c r="K248" s="22">
        <f t="shared" si="83"/>
        <v>1015144.9506549999</v>
      </c>
      <c r="L248" s="22">
        <f t="shared" si="83"/>
        <v>978225.31419999991</v>
      </c>
      <c r="M248" s="22">
        <f t="shared" si="83"/>
        <v>1025360.4710349999</v>
      </c>
      <c r="N248" s="22">
        <f t="shared" si="83"/>
        <v>940346.43939999992</v>
      </c>
      <c r="O248" s="22">
        <f t="shared" si="83"/>
        <v>999843.74973999988</v>
      </c>
      <c r="P248" s="22">
        <f t="shared" si="83"/>
        <v>1066109.700985</v>
      </c>
      <c r="Q248" s="22">
        <f t="shared" si="83"/>
        <v>1070633.576965</v>
      </c>
      <c r="R248" s="23">
        <f t="shared" si="83"/>
        <v>1150355.8512849999</v>
      </c>
      <c r="S248" s="22"/>
      <c r="T248" s="22"/>
    </row>
    <row r="249" spans="1:20" hidden="1" x14ac:dyDescent="0.25">
      <c r="A249" s="17"/>
      <c r="B249" s="18"/>
      <c r="C249" s="18"/>
      <c r="D249" s="18"/>
      <c r="E249" s="18"/>
      <c r="F249" s="18"/>
      <c r="G249" s="18"/>
      <c r="H249" s="18"/>
      <c r="I249" s="18"/>
      <c r="J249" s="18"/>
      <c r="K249" s="18"/>
      <c r="L249" s="18"/>
      <c r="M249" s="18"/>
      <c r="N249" s="18"/>
      <c r="O249" s="18"/>
      <c r="P249" s="18"/>
      <c r="Q249" s="18"/>
      <c r="R249" s="19"/>
      <c r="S249" s="18"/>
      <c r="T249" s="18"/>
    </row>
    <row r="250" spans="1:20" hidden="1" x14ac:dyDescent="0.25">
      <c r="A250" s="35" t="s">
        <v>103</v>
      </c>
      <c r="B250" s="18" t="s">
        <v>86</v>
      </c>
      <c r="C250" s="18"/>
      <c r="D250" s="18"/>
      <c r="E250" s="18"/>
      <c r="F250" s="18"/>
      <c r="G250" s="18"/>
      <c r="H250" s="18"/>
      <c r="I250" s="18"/>
      <c r="J250" s="18"/>
      <c r="K250" s="18"/>
      <c r="L250" s="18"/>
      <c r="M250" s="18"/>
      <c r="N250" s="18"/>
      <c r="O250" s="18"/>
      <c r="P250" s="18"/>
      <c r="Q250" s="18"/>
      <c r="R250" s="19"/>
      <c r="S250" s="18"/>
      <c r="T250" s="18"/>
    </row>
    <row r="251" spans="1:20" hidden="1" x14ac:dyDescent="0.25">
      <c r="A251" s="17"/>
      <c r="B251" s="18" t="s">
        <v>104</v>
      </c>
      <c r="C251" s="18">
        <v>8600</v>
      </c>
      <c r="D251" s="18">
        <v>8600</v>
      </c>
      <c r="E251" s="18">
        <v>8600</v>
      </c>
      <c r="F251" s="18">
        <v>8600</v>
      </c>
      <c r="G251" s="18">
        <v>8600</v>
      </c>
      <c r="H251" s="18">
        <v>8600</v>
      </c>
      <c r="I251" s="18">
        <v>8600</v>
      </c>
      <c r="J251" s="18">
        <v>8600</v>
      </c>
      <c r="K251" s="18">
        <v>8600</v>
      </c>
      <c r="L251" s="18">
        <v>8600</v>
      </c>
      <c r="M251" s="18">
        <v>8600</v>
      </c>
      <c r="N251" s="18">
        <v>8600</v>
      </c>
      <c r="O251" s="18">
        <v>8600</v>
      </c>
      <c r="P251" s="18">
        <v>8600</v>
      </c>
      <c r="Q251" s="18">
        <v>8600</v>
      </c>
      <c r="R251" s="19">
        <v>8600</v>
      </c>
      <c r="S251" s="18" t="s">
        <v>105</v>
      </c>
      <c r="T251" s="18" t="s">
        <v>143</v>
      </c>
    </row>
    <row r="252" spans="1:20" hidden="1" x14ac:dyDescent="0.25">
      <c r="A252" s="17"/>
      <c r="B252" s="18" t="s">
        <v>101</v>
      </c>
      <c r="C252" s="20">
        <f>'Air-side Costs'!$E87</f>
        <v>270.93</v>
      </c>
      <c r="D252" s="20">
        <f>'Air-side Costs'!$E87</f>
        <v>270.93</v>
      </c>
      <c r="E252" s="20">
        <f>'Air-side Costs'!$E87</f>
        <v>270.93</v>
      </c>
      <c r="F252" s="20">
        <f>'Air-side Costs'!$E87</f>
        <v>270.93</v>
      </c>
      <c r="G252" s="20">
        <f>'Air-side Costs'!$E87</f>
        <v>270.93</v>
      </c>
      <c r="H252" s="20">
        <f>'Air-side Costs'!$E87</f>
        <v>270.93</v>
      </c>
      <c r="I252" s="20">
        <f>'Air-side Costs'!$E87</f>
        <v>270.93</v>
      </c>
      <c r="J252" s="20">
        <f>'Air-side Costs'!$E87</f>
        <v>270.93</v>
      </c>
      <c r="K252" s="20">
        <f>'Air-side Costs'!$E87</f>
        <v>270.93</v>
      </c>
      <c r="L252" s="20">
        <f>'Air-side Costs'!$E87</f>
        <v>270.93</v>
      </c>
      <c r="M252" s="20">
        <f>'Air-side Costs'!$E87</f>
        <v>270.93</v>
      </c>
      <c r="N252" s="20">
        <f>'Air-side Costs'!$E87</f>
        <v>270.93</v>
      </c>
      <c r="O252" s="20">
        <f>'Air-side Costs'!$E87</f>
        <v>270.93</v>
      </c>
      <c r="P252" s="20">
        <f>'Air-side Costs'!$E87</f>
        <v>270.93</v>
      </c>
      <c r="Q252" s="20">
        <f>'Air-side Costs'!$E87</f>
        <v>270.93</v>
      </c>
      <c r="R252" s="21">
        <f>'Air-side Costs'!$E87</f>
        <v>270.93</v>
      </c>
      <c r="S252" s="18" t="s">
        <v>208</v>
      </c>
      <c r="T252" s="18" t="s">
        <v>145</v>
      </c>
    </row>
    <row r="253" spans="1:20" hidden="1" x14ac:dyDescent="0.25">
      <c r="A253" s="17"/>
      <c r="B253" s="18" t="s">
        <v>90</v>
      </c>
      <c r="C253" s="20">
        <f>C251*C252</f>
        <v>2329998</v>
      </c>
      <c r="D253" s="20">
        <f t="shared" ref="D253:R253" si="84">D251*D252</f>
        <v>2329998</v>
      </c>
      <c r="E253" s="20">
        <f t="shared" si="84"/>
        <v>2329998</v>
      </c>
      <c r="F253" s="20">
        <f t="shared" si="84"/>
        <v>2329998</v>
      </c>
      <c r="G253" s="20">
        <f t="shared" si="84"/>
        <v>2329998</v>
      </c>
      <c r="H253" s="20">
        <f t="shared" si="84"/>
        <v>2329998</v>
      </c>
      <c r="I253" s="20">
        <f t="shared" si="84"/>
        <v>2329998</v>
      </c>
      <c r="J253" s="20">
        <f t="shared" si="84"/>
        <v>2329998</v>
      </c>
      <c r="K253" s="20">
        <f t="shared" si="84"/>
        <v>2329998</v>
      </c>
      <c r="L253" s="20">
        <f t="shared" si="84"/>
        <v>2329998</v>
      </c>
      <c r="M253" s="20">
        <f t="shared" si="84"/>
        <v>2329998</v>
      </c>
      <c r="N253" s="20">
        <f t="shared" si="84"/>
        <v>2329998</v>
      </c>
      <c r="O253" s="20">
        <f t="shared" si="84"/>
        <v>2329998</v>
      </c>
      <c r="P253" s="20">
        <f t="shared" si="84"/>
        <v>2329998</v>
      </c>
      <c r="Q253" s="20">
        <f t="shared" si="84"/>
        <v>2329998</v>
      </c>
      <c r="R253" s="21">
        <f t="shared" si="84"/>
        <v>2329998</v>
      </c>
      <c r="S253" s="18"/>
      <c r="T253" s="18"/>
    </row>
    <row r="254" spans="1:20" hidden="1" x14ac:dyDescent="0.25">
      <c r="A254" s="17"/>
      <c r="B254" s="18" t="s">
        <v>92</v>
      </c>
      <c r="C254" s="20">
        <v>0</v>
      </c>
      <c r="D254" s="20">
        <v>0</v>
      </c>
      <c r="E254" s="20">
        <v>0</v>
      </c>
      <c r="F254" s="20">
        <v>0</v>
      </c>
      <c r="G254" s="20">
        <v>0</v>
      </c>
      <c r="H254" s="20">
        <v>0</v>
      </c>
      <c r="I254" s="20">
        <v>0</v>
      </c>
      <c r="J254" s="20">
        <v>0</v>
      </c>
      <c r="K254" s="20">
        <v>0</v>
      </c>
      <c r="L254" s="20">
        <v>0</v>
      </c>
      <c r="M254" s="20">
        <v>0</v>
      </c>
      <c r="N254" s="20">
        <v>0</v>
      </c>
      <c r="O254" s="20">
        <v>0</v>
      </c>
      <c r="P254" s="20">
        <v>0</v>
      </c>
      <c r="Q254" s="20">
        <v>0</v>
      </c>
      <c r="R254" s="21">
        <v>0</v>
      </c>
      <c r="S254" s="18"/>
      <c r="T254" s="18"/>
    </row>
    <row r="255" spans="1:20" hidden="1" x14ac:dyDescent="0.25">
      <c r="A255" s="17"/>
      <c r="B255" s="18" t="s">
        <v>93</v>
      </c>
      <c r="C255" s="24">
        <v>0.15</v>
      </c>
      <c r="D255" s="24">
        <v>0.15</v>
      </c>
      <c r="E255" s="24">
        <v>0.15</v>
      </c>
      <c r="F255" s="24">
        <v>0.15</v>
      </c>
      <c r="G255" s="24">
        <v>0.15</v>
      </c>
      <c r="H255" s="24">
        <v>0.15</v>
      </c>
      <c r="I255" s="24">
        <v>0.15</v>
      </c>
      <c r="J255" s="24">
        <v>0.15</v>
      </c>
      <c r="K255" s="24">
        <v>0.15</v>
      </c>
      <c r="L255" s="24">
        <v>0.15</v>
      </c>
      <c r="M255" s="24">
        <v>0.15</v>
      </c>
      <c r="N255" s="24">
        <v>0.15</v>
      </c>
      <c r="O255" s="24">
        <v>0.15</v>
      </c>
      <c r="P255" s="24">
        <v>0.15</v>
      </c>
      <c r="Q255" s="24">
        <v>0.15</v>
      </c>
      <c r="R255" s="25">
        <v>0.15</v>
      </c>
      <c r="S255" s="24"/>
      <c r="T255" s="24"/>
    </row>
    <row r="256" spans="1:20" hidden="1" x14ac:dyDescent="0.25">
      <c r="A256" s="17"/>
      <c r="B256" s="18" t="s">
        <v>94</v>
      </c>
      <c r="C256" s="22">
        <f>(C253+C254)*(1+C255)</f>
        <v>2679497.6999999997</v>
      </c>
      <c r="D256" s="22">
        <f t="shared" ref="D256:R256" si="85">(D253+D254)*(1+D255)</f>
        <v>2679497.6999999997</v>
      </c>
      <c r="E256" s="22">
        <f t="shared" si="85"/>
        <v>2679497.6999999997</v>
      </c>
      <c r="F256" s="22">
        <f t="shared" si="85"/>
        <v>2679497.6999999997</v>
      </c>
      <c r="G256" s="22">
        <f t="shared" si="85"/>
        <v>2679497.6999999997</v>
      </c>
      <c r="H256" s="22">
        <f t="shared" si="85"/>
        <v>2679497.6999999997</v>
      </c>
      <c r="I256" s="22">
        <f t="shared" si="85"/>
        <v>2679497.6999999997</v>
      </c>
      <c r="J256" s="22">
        <f t="shared" si="85"/>
        <v>2679497.6999999997</v>
      </c>
      <c r="K256" s="22">
        <f t="shared" si="85"/>
        <v>2679497.6999999997</v>
      </c>
      <c r="L256" s="22">
        <f t="shared" si="85"/>
        <v>2679497.6999999997</v>
      </c>
      <c r="M256" s="22">
        <f t="shared" si="85"/>
        <v>2679497.6999999997</v>
      </c>
      <c r="N256" s="22">
        <f t="shared" si="85"/>
        <v>2679497.6999999997</v>
      </c>
      <c r="O256" s="22">
        <f t="shared" si="85"/>
        <v>2679497.6999999997</v>
      </c>
      <c r="P256" s="22">
        <f t="shared" si="85"/>
        <v>2679497.6999999997</v>
      </c>
      <c r="Q256" s="22">
        <f t="shared" si="85"/>
        <v>2679497.6999999997</v>
      </c>
      <c r="R256" s="23">
        <f t="shared" si="85"/>
        <v>2679497.6999999997</v>
      </c>
      <c r="S256" s="22"/>
      <c r="T256" s="22"/>
    </row>
    <row r="257" spans="1:20" hidden="1" x14ac:dyDescent="0.25">
      <c r="A257" s="17"/>
      <c r="B257" s="18"/>
      <c r="C257" s="18"/>
      <c r="D257" s="18"/>
      <c r="E257" s="18"/>
      <c r="F257" s="18"/>
      <c r="G257" s="18"/>
      <c r="H257" s="18"/>
      <c r="I257" s="18"/>
      <c r="J257" s="18"/>
      <c r="K257" s="18"/>
      <c r="L257" s="18"/>
      <c r="M257" s="18"/>
      <c r="N257" s="18"/>
      <c r="O257" s="18"/>
      <c r="P257" s="18"/>
      <c r="Q257" s="18"/>
      <c r="R257" s="19"/>
      <c r="S257" s="18"/>
      <c r="T257" s="18"/>
    </row>
    <row r="258" spans="1:20" hidden="1" x14ac:dyDescent="0.25">
      <c r="A258" s="35" t="s">
        <v>110</v>
      </c>
      <c r="B258" s="18" t="s">
        <v>86</v>
      </c>
      <c r="C258" s="18"/>
      <c r="D258" s="18"/>
      <c r="E258" s="18"/>
      <c r="F258" s="18"/>
      <c r="G258" s="18"/>
      <c r="H258" s="18"/>
      <c r="I258" s="18"/>
      <c r="J258" s="18"/>
      <c r="K258" s="18"/>
      <c r="L258" s="18"/>
      <c r="M258" s="18"/>
      <c r="N258" s="18"/>
      <c r="O258" s="18"/>
      <c r="P258" s="18"/>
      <c r="Q258" s="18"/>
      <c r="R258" s="19"/>
      <c r="S258" s="18"/>
      <c r="T258" s="18"/>
    </row>
    <row r="259" spans="1:20" hidden="1" x14ac:dyDescent="0.25">
      <c r="A259" s="17"/>
      <c r="B259" s="18" t="s">
        <v>104</v>
      </c>
      <c r="C259" s="18">
        <v>11600</v>
      </c>
      <c r="D259" s="18">
        <v>11600</v>
      </c>
      <c r="E259" s="18">
        <v>11600</v>
      </c>
      <c r="F259" s="18">
        <v>11600</v>
      </c>
      <c r="G259" s="18">
        <v>11600</v>
      </c>
      <c r="H259" s="18">
        <v>11600</v>
      </c>
      <c r="I259" s="18">
        <v>11600</v>
      </c>
      <c r="J259" s="18">
        <v>11600</v>
      </c>
      <c r="K259" s="18">
        <v>11600</v>
      </c>
      <c r="L259" s="18">
        <v>11600</v>
      </c>
      <c r="M259" s="18">
        <v>11600</v>
      </c>
      <c r="N259" s="18">
        <v>11600</v>
      </c>
      <c r="O259" s="18">
        <v>11600</v>
      </c>
      <c r="P259" s="18">
        <v>11600</v>
      </c>
      <c r="Q259" s="18">
        <v>11600</v>
      </c>
      <c r="R259" s="19">
        <v>11600</v>
      </c>
      <c r="S259" s="18" t="s">
        <v>105</v>
      </c>
      <c r="T259" s="18" t="s">
        <v>147</v>
      </c>
    </row>
    <row r="260" spans="1:20" hidden="1" x14ac:dyDescent="0.25">
      <c r="A260" s="17"/>
      <c r="B260" s="18" t="s">
        <v>101</v>
      </c>
      <c r="C260" s="20">
        <f>'Air-side Costs'!$E88</f>
        <v>56.65</v>
      </c>
      <c r="D260" s="20">
        <f>'Air-side Costs'!$E88</f>
        <v>56.65</v>
      </c>
      <c r="E260" s="20">
        <f>'Air-side Costs'!$E88</f>
        <v>56.65</v>
      </c>
      <c r="F260" s="20">
        <f>'Air-side Costs'!$E88</f>
        <v>56.65</v>
      </c>
      <c r="G260" s="20">
        <f>'Air-side Costs'!$E88</f>
        <v>56.65</v>
      </c>
      <c r="H260" s="20">
        <f>'Air-side Costs'!$E88</f>
        <v>56.65</v>
      </c>
      <c r="I260" s="20">
        <f>'Air-side Costs'!$E88</f>
        <v>56.65</v>
      </c>
      <c r="J260" s="20">
        <f>'Air-side Costs'!$E88</f>
        <v>56.65</v>
      </c>
      <c r="K260" s="20">
        <f>'Air-side Costs'!$E88</f>
        <v>56.65</v>
      </c>
      <c r="L260" s="20">
        <f>'Air-side Costs'!$E88</f>
        <v>56.65</v>
      </c>
      <c r="M260" s="20">
        <f>'Air-side Costs'!$E88</f>
        <v>56.65</v>
      </c>
      <c r="N260" s="20">
        <f>'Air-side Costs'!$E88</f>
        <v>56.65</v>
      </c>
      <c r="O260" s="20">
        <f>'Air-side Costs'!$E88</f>
        <v>56.65</v>
      </c>
      <c r="P260" s="20">
        <f>'Air-side Costs'!$E88</f>
        <v>56.65</v>
      </c>
      <c r="Q260" s="20">
        <f>'Air-side Costs'!$E88</f>
        <v>56.65</v>
      </c>
      <c r="R260" s="21">
        <f>'Air-side Costs'!$E88</f>
        <v>56.65</v>
      </c>
      <c r="S260" s="18" t="s">
        <v>208</v>
      </c>
      <c r="T260" s="18" t="s">
        <v>148</v>
      </c>
    </row>
    <row r="261" spans="1:20" hidden="1" x14ac:dyDescent="0.25">
      <c r="A261" s="17"/>
      <c r="B261" s="18" t="s">
        <v>90</v>
      </c>
      <c r="C261" s="20">
        <f>C259*C260</f>
        <v>657140</v>
      </c>
      <c r="D261" s="20">
        <f t="shared" ref="D261:R261" si="86">D259*D260</f>
        <v>657140</v>
      </c>
      <c r="E261" s="20">
        <f t="shared" si="86"/>
        <v>657140</v>
      </c>
      <c r="F261" s="20">
        <f t="shared" si="86"/>
        <v>657140</v>
      </c>
      <c r="G261" s="20">
        <f t="shared" si="86"/>
        <v>657140</v>
      </c>
      <c r="H261" s="20">
        <f t="shared" si="86"/>
        <v>657140</v>
      </c>
      <c r="I261" s="20">
        <f t="shared" si="86"/>
        <v>657140</v>
      </c>
      <c r="J261" s="20">
        <f t="shared" si="86"/>
        <v>657140</v>
      </c>
      <c r="K261" s="20">
        <f t="shared" si="86"/>
        <v>657140</v>
      </c>
      <c r="L261" s="20">
        <f t="shared" si="86"/>
        <v>657140</v>
      </c>
      <c r="M261" s="20">
        <f t="shared" si="86"/>
        <v>657140</v>
      </c>
      <c r="N261" s="20">
        <f t="shared" si="86"/>
        <v>657140</v>
      </c>
      <c r="O261" s="20">
        <f t="shared" si="86"/>
        <v>657140</v>
      </c>
      <c r="P261" s="20">
        <f t="shared" si="86"/>
        <v>657140</v>
      </c>
      <c r="Q261" s="20">
        <f t="shared" si="86"/>
        <v>657140</v>
      </c>
      <c r="R261" s="21">
        <f t="shared" si="86"/>
        <v>657140</v>
      </c>
      <c r="S261" s="18"/>
      <c r="T261" s="18"/>
    </row>
    <row r="262" spans="1:20" hidden="1" x14ac:dyDescent="0.25">
      <c r="A262" s="17"/>
      <c r="B262" s="18" t="s">
        <v>92</v>
      </c>
      <c r="C262" s="20">
        <v>0</v>
      </c>
      <c r="D262" s="20">
        <v>0</v>
      </c>
      <c r="E262" s="20">
        <v>0</v>
      </c>
      <c r="F262" s="20">
        <v>0</v>
      </c>
      <c r="G262" s="20">
        <v>0</v>
      </c>
      <c r="H262" s="20">
        <v>0</v>
      </c>
      <c r="I262" s="20">
        <v>0</v>
      </c>
      <c r="J262" s="20">
        <v>0</v>
      </c>
      <c r="K262" s="20">
        <v>0</v>
      </c>
      <c r="L262" s="20">
        <v>0</v>
      </c>
      <c r="M262" s="20">
        <v>0</v>
      </c>
      <c r="N262" s="20">
        <v>0</v>
      </c>
      <c r="O262" s="20">
        <v>0</v>
      </c>
      <c r="P262" s="20">
        <v>0</v>
      </c>
      <c r="Q262" s="20">
        <v>0</v>
      </c>
      <c r="R262" s="21">
        <v>0</v>
      </c>
      <c r="S262" s="18"/>
      <c r="T262" s="18"/>
    </row>
    <row r="263" spans="1:20" hidden="1" x14ac:dyDescent="0.25">
      <c r="A263" s="17"/>
      <c r="B263" s="18" t="s">
        <v>93</v>
      </c>
      <c r="C263" s="24">
        <v>0.15</v>
      </c>
      <c r="D263" s="24">
        <v>0.15</v>
      </c>
      <c r="E263" s="24">
        <v>0.15</v>
      </c>
      <c r="F263" s="24">
        <v>0.15</v>
      </c>
      <c r="G263" s="24">
        <v>0.15</v>
      </c>
      <c r="H263" s="24">
        <v>0.15</v>
      </c>
      <c r="I263" s="24">
        <v>0.15</v>
      </c>
      <c r="J263" s="24">
        <v>0.15</v>
      </c>
      <c r="K263" s="24">
        <v>0.15</v>
      </c>
      <c r="L263" s="24">
        <v>0.15</v>
      </c>
      <c r="M263" s="24">
        <v>0.15</v>
      </c>
      <c r="N263" s="24">
        <v>0.15</v>
      </c>
      <c r="O263" s="24">
        <v>0.15</v>
      </c>
      <c r="P263" s="24">
        <v>0.15</v>
      </c>
      <c r="Q263" s="24">
        <v>0.15</v>
      </c>
      <c r="R263" s="25">
        <v>0.15</v>
      </c>
      <c r="S263" s="24"/>
      <c r="T263" s="24"/>
    </row>
    <row r="264" spans="1:20" hidden="1" x14ac:dyDescent="0.25">
      <c r="A264" s="17"/>
      <c r="B264" s="18" t="s">
        <v>94</v>
      </c>
      <c r="C264" s="22">
        <f>(C261+C262)*(1+C263)</f>
        <v>755710.99999999988</v>
      </c>
      <c r="D264" s="22">
        <f t="shared" ref="D264:R264" si="87">(D261+D262)*(1+D263)</f>
        <v>755710.99999999988</v>
      </c>
      <c r="E264" s="22">
        <f t="shared" si="87"/>
        <v>755710.99999999988</v>
      </c>
      <c r="F264" s="22">
        <f t="shared" si="87"/>
        <v>755710.99999999988</v>
      </c>
      <c r="G264" s="22">
        <f t="shared" si="87"/>
        <v>755710.99999999988</v>
      </c>
      <c r="H264" s="22">
        <f t="shared" si="87"/>
        <v>755710.99999999988</v>
      </c>
      <c r="I264" s="22">
        <f t="shared" si="87"/>
        <v>755710.99999999988</v>
      </c>
      <c r="J264" s="22">
        <f t="shared" si="87"/>
        <v>755710.99999999988</v>
      </c>
      <c r="K264" s="22">
        <f t="shared" si="87"/>
        <v>755710.99999999988</v>
      </c>
      <c r="L264" s="22">
        <f t="shared" si="87"/>
        <v>755710.99999999988</v>
      </c>
      <c r="M264" s="22">
        <f t="shared" si="87"/>
        <v>755710.99999999988</v>
      </c>
      <c r="N264" s="22">
        <f t="shared" si="87"/>
        <v>755710.99999999988</v>
      </c>
      <c r="O264" s="22">
        <f t="shared" si="87"/>
        <v>755710.99999999988</v>
      </c>
      <c r="P264" s="22">
        <f t="shared" si="87"/>
        <v>755710.99999999988</v>
      </c>
      <c r="Q264" s="22">
        <f t="shared" si="87"/>
        <v>755710.99999999988</v>
      </c>
      <c r="R264" s="23">
        <f t="shared" si="87"/>
        <v>755710.99999999988</v>
      </c>
      <c r="S264" s="22"/>
      <c r="T264" s="22"/>
    </row>
    <row r="265" spans="1:20" hidden="1" x14ac:dyDescent="0.25">
      <c r="A265" s="17"/>
      <c r="B265" s="18"/>
      <c r="C265" s="18"/>
      <c r="D265" s="18"/>
      <c r="E265" s="18"/>
      <c r="F265" s="18"/>
      <c r="G265" s="18"/>
      <c r="H265" s="18"/>
      <c r="I265" s="18"/>
      <c r="J265" s="18"/>
      <c r="K265" s="18"/>
      <c r="L265" s="18"/>
      <c r="M265" s="18"/>
      <c r="N265" s="18"/>
      <c r="O265" s="18"/>
      <c r="P265" s="18"/>
      <c r="Q265" s="18"/>
      <c r="R265" s="19"/>
      <c r="S265" s="18"/>
      <c r="T265" s="18"/>
    </row>
    <row r="266" spans="1:20" hidden="1" x14ac:dyDescent="0.25">
      <c r="A266" s="35" t="s">
        <v>114</v>
      </c>
      <c r="B266" s="18" t="s">
        <v>94</v>
      </c>
      <c r="C266" s="22">
        <f>120*'Air-side Costs'!$M$100</f>
        <v>389435.99999999994</v>
      </c>
      <c r="D266" s="22">
        <f>120*'Air-side Costs'!$M$100</f>
        <v>389435.99999999994</v>
      </c>
      <c r="E266" s="22">
        <f>120*'Air-side Costs'!$M$100</f>
        <v>389435.99999999994</v>
      </c>
      <c r="F266" s="22">
        <f>120*'Air-side Costs'!$M$100</f>
        <v>389435.99999999994</v>
      </c>
      <c r="G266" s="22">
        <f>120*'Air-side Costs'!$M$100</f>
        <v>389435.99999999994</v>
      </c>
      <c r="H266" s="22">
        <f>120*'Air-side Costs'!$M$100</f>
        <v>389435.99999999994</v>
      </c>
      <c r="I266" s="22">
        <f>120*'Air-side Costs'!$M$100</f>
        <v>389435.99999999994</v>
      </c>
      <c r="J266" s="22">
        <f>120*'Air-side Costs'!$M$100</f>
        <v>389435.99999999994</v>
      </c>
      <c r="K266" s="22">
        <f>120*'Air-side Costs'!$M$100</f>
        <v>389435.99999999994</v>
      </c>
      <c r="L266" s="22">
        <f>120*'Air-side Costs'!$M$100</f>
        <v>389435.99999999994</v>
      </c>
      <c r="M266" s="22">
        <f>120*'Air-side Costs'!$M$100</f>
        <v>389435.99999999994</v>
      </c>
      <c r="N266" s="22">
        <f>120*'Air-side Costs'!$M$100</f>
        <v>389435.99999999994</v>
      </c>
      <c r="O266" s="22">
        <f>120*'Air-side Costs'!$M$100</f>
        <v>389435.99999999994</v>
      </c>
      <c r="P266" s="22">
        <f>120*'Air-side Costs'!$M$100</f>
        <v>389435.99999999994</v>
      </c>
      <c r="Q266" s="22">
        <f>120*'Air-side Costs'!$M$100</f>
        <v>389435.99999999994</v>
      </c>
      <c r="R266" s="23">
        <f>120*'Air-side Costs'!$M$100</f>
        <v>389435.99999999994</v>
      </c>
      <c r="S266" s="22"/>
      <c r="T266" s="22"/>
    </row>
    <row r="267" spans="1:20" hidden="1" x14ac:dyDescent="0.25">
      <c r="A267" s="17" t="s">
        <v>209</v>
      </c>
      <c r="B267" s="18"/>
      <c r="C267" s="18"/>
      <c r="D267" s="18"/>
      <c r="E267" s="18"/>
      <c r="F267" s="18"/>
      <c r="G267" s="18"/>
      <c r="H267" s="18"/>
      <c r="I267" s="18"/>
      <c r="J267" s="18"/>
      <c r="K267" s="18"/>
      <c r="L267" s="18"/>
      <c r="M267" s="18"/>
      <c r="N267" s="18"/>
      <c r="O267" s="18"/>
      <c r="P267" s="18"/>
      <c r="Q267" s="18"/>
      <c r="R267" s="19"/>
      <c r="S267" s="18"/>
      <c r="T267" s="18"/>
    </row>
    <row r="268" spans="1:20" hidden="1" x14ac:dyDescent="0.25">
      <c r="B268" s="18" t="s">
        <v>152</v>
      </c>
      <c r="C268" s="60">
        <f>ROUNDUP(C234*'Plant-side Costs'!$D$78/2,0)*2</f>
        <v>12</v>
      </c>
      <c r="D268" s="60">
        <f>ROUNDUP(D234*'Plant-side Costs'!$D$78/2,0)*2</f>
        <v>12</v>
      </c>
      <c r="E268" s="60">
        <f>ROUNDUP(E234*'Plant-side Costs'!$D$78/2,0)*2</f>
        <v>10</v>
      </c>
      <c r="F268" s="60">
        <f>ROUNDUP(F234*'Plant-side Costs'!$D$78/2,0)*2</f>
        <v>12</v>
      </c>
      <c r="G268" s="60">
        <f>ROUNDUP(G234*'Plant-side Costs'!$D$78/2,0)*2</f>
        <v>10</v>
      </c>
      <c r="H268" s="60">
        <f>ROUNDUP(H234*'Plant-side Costs'!$D$78/2,0)*2</f>
        <v>8</v>
      </c>
      <c r="I268" s="60">
        <f>ROUNDUP(I234*'Plant-side Costs'!$D$78/2,0)*2</f>
        <v>8</v>
      </c>
      <c r="J268" s="60">
        <f>ROUNDUP(J234*'Plant-side Costs'!$D$78/2,0)*2</f>
        <v>8</v>
      </c>
      <c r="K268" s="60">
        <f>ROUNDUP(K234*'Plant-side Costs'!$D$78/2,0)*2</f>
        <v>8</v>
      </c>
      <c r="L268" s="60">
        <f>ROUNDUP(L234*'Plant-side Costs'!$D$78/2,0)*2</f>
        <v>10</v>
      </c>
      <c r="M268" s="60">
        <f>ROUNDUP(M234*'Plant-side Costs'!$D$78/2,0)*2</f>
        <v>12</v>
      </c>
      <c r="N268" s="60">
        <f>ROUNDUP(N234*'Plant-side Costs'!$D$78/2,0)*2</f>
        <v>12</v>
      </c>
      <c r="O268" s="60">
        <f>ROUNDUP(O234*'Plant-side Costs'!$D$78/2,0)*2</f>
        <v>10</v>
      </c>
      <c r="P268" s="60">
        <f>ROUNDUP(P234*'Plant-side Costs'!$D$78/2,0)*2</f>
        <v>10</v>
      </c>
      <c r="Q268" s="60">
        <f>ROUNDUP(Q234*'Plant-side Costs'!$D$78/2,0)*2</f>
        <v>8</v>
      </c>
      <c r="R268" s="105">
        <f>ROUNDUP(R234*'Plant-side Costs'!$D$78/2,0)*2</f>
        <v>12</v>
      </c>
      <c r="S268" s="60"/>
      <c r="T268" s="133" t="s">
        <v>153</v>
      </c>
    </row>
    <row r="269" spans="1:20" hidden="1" x14ac:dyDescent="0.25">
      <c r="A269" s="35" t="s">
        <v>117</v>
      </c>
      <c r="B269" s="18" t="s">
        <v>94</v>
      </c>
      <c r="C269" s="20">
        <f>9113.3+750.7*C268</f>
        <v>18121.7</v>
      </c>
      <c r="D269" s="20">
        <f t="shared" ref="D269:R269" si="88">9113.3+750.7*D268</f>
        <v>18121.7</v>
      </c>
      <c r="E269" s="20">
        <f t="shared" si="88"/>
        <v>16620.3</v>
      </c>
      <c r="F269" s="20">
        <f t="shared" si="88"/>
        <v>18121.7</v>
      </c>
      <c r="G269" s="20">
        <f t="shared" si="88"/>
        <v>16620.3</v>
      </c>
      <c r="H269" s="20">
        <f t="shared" si="88"/>
        <v>15118.9</v>
      </c>
      <c r="I269" s="20">
        <f t="shared" si="88"/>
        <v>15118.9</v>
      </c>
      <c r="J269" s="20">
        <f t="shared" si="88"/>
        <v>15118.9</v>
      </c>
      <c r="K269" s="20">
        <f t="shared" si="88"/>
        <v>15118.9</v>
      </c>
      <c r="L269" s="20">
        <f t="shared" si="88"/>
        <v>16620.3</v>
      </c>
      <c r="M269" s="20">
        <f t="shared" si="88"/>
        <v>18121.7</v>
      </c>
      <c r="N269" s="20">
        <f t="shared" si="88"/>
        <v>18121.7</v>
      </c>
      <c r="O269" s="20">
        <f t="shared" si="88"/>
        <v>16620.3</v>
      </c>
      <c r="P269" s="20">
        <f t="shared" si="88"/>
        <v>16620.3</v>
      </c>
      <c r="Q269" s="20">
        <f t="shared" si="88"/>
        <v>15118.9</v>
      </c>
      <c r="R269" s="21">
        <f t="shared" si="88"/>
        <v>18121.7</v>
      </c>
      <c r="S269" s="20"/>
      <c r="T269" s="20" t="s">
        <v>91</v>
      </c>
    </row>
    <row r="270" spans="1:20" hidden="1" x14ac:dyDescent="0.25">
      <c r="A270" s="17"/>
      <c r="B270" s="18"/>
      <c r="C270" s="18"/>
      <c r="D270" s="18"/>
      <c r="E270" s="18"/>
      <c r="F270" s="18"/>
      <c r="G270" s="18"/>
      <c r="H270" s="18"/>
      <c r="I270" s="18"/>
      <c r="J270" s="18"/>
      <c r="K270" s="18"/>
      <c r="L270" s="18"/>
      <c r="M270" s="18"/>
      <c r="N270" s="18"/>
      <c r="O270" s="18"/>
      <c r="P270" s="18"/>
      <c r="Q270" s="18"/>
      <c r="R270" s="19"/>
      <c r="S270" s="18"/>
      <c r="T270" s="18"/>
    </row>
    <row r="271" spans="1:20" hidden="1" x14ac:dyDescent="0.25">
      <c r="A271" s="35" t="s">
        <v>154</v>
      </c>
      <c r="B271" s="18" t="s">
        <v>155</v>
      </c>
      <c r="C271" s="26">
        <f>(10*C234)-(C259/21.43)</f>
        <v>1458.7027531497902</v>
      </c>
      <c r="D271" s="26">
        <f t="shared" ref="D271:R271" si="89">(10*D234)-(D259/21.43)</f>
        <v>1358.7027531497902</v>
      </c>
      <c r="E271" s="26">
        <f t="shared" si="89"/>
        <v>1158.7027531497902</v>
      </c>
      <c r="F271" s="26">
        <f t="shared" si="89"/>
        <v>1458.7027531497902</v>
      </c>
      <c r="G271" s="26">
        <f t="shared" si="89"/>
        <v>1258.7027531497902</v>
      </c>
      <c r="H271" s="26">
        <f t="shared" si="89"/>
        <v>758.70275314979006</v>
      </c>
      <c r="I271" s="26">
        <f t="shared" si="89"/>
        <v>658.70275314979006</v>
      </c>
      <c r="J271" s="26">
        <f t="shared" si="89"/>
        <v>758.70275314979006</v>
      </c>
      <c r="K271" s="26">
        <f t="shared" si="89"/>
        <v>858.70275314979006</v>
      </c>
      <c r="L271" s="26">
        <f t="shared" si="89"/>
        <v>958.70275314979006</v>
      </c>
      <c r="M271" s="26">
        <f t="shared" si="89"/>
        <v>1458.7027531497902</v>
      </c>
      <c r="N271" s="26">
        <f t="shared" si="89"/>
        <v>1358.7027531497902</v>
      </c>
      <c r="O271" s="26">
        <f t="shared" si="89"/>
        <v>1158.7027531497902</v>
      </c>
      <c r="P271" s="26">
        <f t="shared" si="89"/>
        <v>1258.7027531497902</v>
      </c>
      <c r="Q271" s="26">
        <f t="shared" si="89"/>
        <v>758.70275314979006</v>
      </c>
      <c r="R271" s="27">
        <f t="shared" si="89"/>
        <v>1458.7027531497902</v>
      </c>
      <c r="S271" s="26" t="s">
        <v>156</v>
      </c>
      <c r="T271" s="26" t="s">
        <v>157</v>
      </c>
    </row>
    <row r="272" spans="1:20" hidden="1" x14ac:dyDescent="0.25">
      <c r="A272" s="17"/>
      <c r="B272" s="18" t="s">
        <v>158</v>
      </c>
      <c r="C272" s="18">
        <f>ROUNDUP(C271/25,0)*25</f>
        <v>1475</v>
      </c>
      <c r="D272" s="18">
        <f t="shared" ref="D272:R272" si="90">ROUNDUP(D271/25,0)*25</f>
        <v>1375</v>
      </c>
      <c r="E272" s="18">
        <f t="shared" si="90"/>
        <v>1175</v>
      </c>
      <c r="F272" s="18">
        <f t="shared" si="90"/>
        <v>1475</v>
      </c>
      <c r="G272" s="18">
        <f t="shared" si="90"/>
        <v>1275</v>
      </c>
      <c r="H272" s="18">
        <f t="shared" si="90"/>
        <v>775</v>
      </c>
      <c r="I272" s="18">
        <f t="shared" si="90"/>
        <v>675</v>
      </c>
      <c r="J272" s="18">
        <f t="shared" si="90"/>
        <v>775</v>
      </c>
      <c r="K272" s="18">
        <f t="shared" si="90"/>
        <v>875</v>
      </c>
      <c r="L272" s="18">
        <f t="shared" si="90"/>
        <v>975</v>
      </c>
      <c r="M272" s="18">
        <f t="shared" si="90"/>
        <v>1475</v>
      </c>
      <c r="N272" s="18">
        <f t="shared" si="90"/>
        <v>1375</v>
      </c>
      <c r="O272" s="18">
        <f t="shared" si="90"/>
        <v>1175</v>
      </c>
      <c r="P272" s="18">
        <f t="shared" si="90"/>
        <v>1275</v>
      </c>
      <c r="Q272" s="18">
        <f t="shared" si="90"/>
        <v>775</v>
      </c>
      <c r="R272" s="19">
        <f t="shared" si="90"/>
        <v>1475</v>
      </c>
      <c r="S272" s="18" t="s">
        <v>156</v>
      </c>
      <c r="T272" s="18" t="s">
        <v>159</v>
      </c>
    </row>
    <row r="273" spans="1:20" hidden="1" x14ac:dyDescent="0.25">
      <c r="A273" s="17"/>
      <c r="B273" s="18" t="s">
        <v>101</v>
      </c>
      <c r="C273" s="18"/>
      <c r="D273" s="18"/>
      <c r="E273" s="18"/>
      <c r="F273" s="18"/>
      <c r="G273" s="18"/>
      <c r="H273" s="18"/>
      <c r="I273" s="18"/>
      <c r="J273" s="18"/>
      <c r="K273" s="18"/>
      <c r="L273" s="18"/>
      <c r="M273" s="18"/>
      <c r="N273" s="18"/>
      <c r="O273" s="18"/>
      <c r="P273" s="18"/>
      <c r="Q273" s="18"/>
      <c r="R273" s="19"/>
      <c r="S273" s="18"/>
      <c r="T273" s="18"/>
    </row>
    <row r="274" spans="1:20" hidden="1" x14ac:dyDescent="0.25">
      <c r="A274" s="17"/>
      <c r="B274" s="18" t="s">
        <v>90</v>
      </c>
      <c r="C274" s="20">
        <f>440.71+20.493*C272</f>
        <v>30667.884999999998</v>
      </c>
      <c r="D274" s="20">
        <f t="shared" ref="D274:Q274" si="91">440.71+20.493*D272</f>
        <v>28618.584999999995</v>
      </c>
      <c r="E274" s="20">
        <f t="shared" si="91"/>
        <v>24519.984999999997</v>
      </c>
      <c r="F274" s="20">
        <f t="shared" si="91"/>
        <v>30667.884999999998</v>
      </c>
      <c r="G274" s="20">
        <f t="shared" si="91"/>
        <v>26569.284999999996</v>
      </c>
      <c r="H274" s="20">
        <f t="shared" si="91"/>
        <v>16322.784999999998</v>
      </c>
      <c r="I274" s="20">
        <f t="shared" si="91"/>
        <v>14273.484999999999</v>
      </c>
      <c r="J274" s="20">
        <f t="shared" si="91"/>
        <v>16322.784999999998</v>
      </c>
      <c r="K274" s="20">
        <f t="shared" si="91"/>
        <v>18372.084999999999</v>
      </c>
      <c r="L274" s="20">
        <f t="shared" si="91"/>
        <v>20421.384999999998</v>
      </c>
      <c r="M274" s="20">
        <f t="shared" si="91"/>
        <v>30667.884999999998</v>
      </c>
      <c r="N274" s="20">
        <f t="shared" si="91"/>
        <v>28618.584999999995</v>
      </c>
      <c r="O274" s="20">
        <f t="shared" si="91"/>
        <v>24519.984999999997</v>
      </c>
      <c r="P274" s="20">
        <f t="shared" si="91"/>
        <v>26569.284999999996</v>
      </c>
      <c r="Q274" s="20">
        <f t="shared" si="91"/>
        <v>16322.784999999998</v>
      </c>
      <c r="R274" s="21">
        <f>440.71+20.493*R272</f>
        <v>30667.884999999998</v>
      </c>
      <c r="S274" s="20"/>
      <c r="T274" s="20" t="s">
        <v>91</v>
      </c>
    </row>
    <row r="275" spans="1:20" hidden="1" x14ac:dyDescent="0.25">
      <c r="A275" s="17"/>
      <c r="B275" s="18" t="s">
        <v>92</v>
      </c>
      <c r="C275" s="28" t="s">
        <v>210</v>
      </c>
      <c r="D275" s="28" t="s">
        <v>210</v>
      </c>
      <c r="E275" s="28" t="s">
        <v>210</v>
      </c>
      <c r="F275" s="28" t="s">
        <v>210</v>
      </c>
      <c r="G275" s="28" t="s">
        <v>210</v>
      </c>
      <c r="H275" s="28" t="s">
        <v>210</v>
      </c>
      <c r="I275" s="28" t="s">
        <v>210</v>
      </c>
      <c r="J275" s="28" t="s">
        <v>210</v>
      </c>
      <c r="K275" s="28" t="s">
        <v>210</v>
      </c>
      <c r="L275" s="28" t="s">
        <v>210</v>
      </c>
      <c r="M275" s="28" t="s">
        <v>210</v>
      </c>
      <c r="N275" s="28" t="s">
        <v>210</v>
      </c>
      <c r="O275" s="28" t="s">
        <v>210</v>
      </c>
      <c r="P275" s="28" t="s">
        <v>210</v>
      </c>
      <c r="Q275" s="28" t="s">
        <v>210</v>
      </c>
      <c r="R275" s="48" t="s">
        <v>210</v>
      </c>
      <c r="S275" s="28"/>
      <c r="T275" s="28"/>
    </row>
    <row r="276" spans="1:20" hidden="1" x14ac:dyDescent="0.25">
      <c r="A276" s="17"/>
      <c r="B276" s="18" t="s">
        <v>93</v>
      </c>
      <c r="C276" s="24">
        <v>0.15</v>
      </c>
      <c r="D276" s="24">
        <v>0.15</v>
      </c>
      <c r="E276" s="24">
        <v>0.15</v>
      </c>
      <c r="F276" s="24">
        <v>0.15</v>
      </c>
      <c r="G276" s="24">
        <v>0.15</v>
      </c>
      <c r="H276" s="24">
        <v>0.15</v>
      </c>
      <c r="I276" s="24">
        <v>0.15</v>
      </c>
      <c r="J276" s="24">
        <v>0.15</v>
      </c>
      <c r="K276" s="24">
        <v>0.15</v>
      </c>
      <c r="L276" s="24">
        <v>0.15</v>
      </c>
      <c r="M276" s="24">
        <v>0.15</v>
      </c>
      <c r="N276" s="24">
        <v>0.15</v>
      </c>
      <c r="O276" s="24">
        <v>0.15</v>
      </c>
      <c r="P276" s="24">
        <v>0.15</v>
      </c>
      <c r="Q276" s="24">
        <v>0.15</v>
      </c>
      <c r="R276" s="25">
        <v>0.15</v>
      </c>
      <c r="S276" s="24"/>
      <c r="T276" s="24"/>
    </row>
    <row r="277" spans="1:20" hidden="1" x14ac:dyDescent="0.25">
      <c r="A277" s="17"/>
      <c r="B277" s="18" t="s">
        <v>94</v>
      </c>
      <c r="C277" s="20">
        <f>C274*(1+C276)</f>
        <v>35268.067749999995</v>
      </c>
      <c r="D277" s="20">
        <f t="shared" ref="D277:R277" si="92">D274*(1+D276)</f>
        <v>32911.372749999995</v>
      </c>
      <c r="E277" s="20">
        <f t="shared" si="92"/>
        <v>28197.982749999996</v>
      </c>
      <c r="F277" s="20">
        <f t="shared" si="92"/>
        <v>35268.067749999995</v>
      </c>
      <c r="G277" s="20">
        <f t="shared" si="92"/>
        <v>30554.677749999992</v>
      </c>
      <c r="H277" s="20">
        <f t="shared" si="92"/>
        <v>18771.202749999997</v>
      </c>
      <c r="I277" s="20">
        <f t="shared" si="92"/>
        <v>16414.507749999997</v>
      </c>
      <c r="J277" s="20">
        <f t="shared" si="92"/>
        <v>18771.202749999997</v>
      </c>
      <c r="K277" s="20">
        <f t="shared" si="92"/>
        <v>21127.897749999996</v>
      </c>
      <c r="L277" s="20">
        <f t="shared" si="92"/>
        <v>23484.592749999996</v>
      </c>
      <c r="M277" s="20">
        <f t="shared" si="92"/>
        <v>35268.067749999995</v>
      </c>
      <c r="N277" s="20">
        <f t="shared" si="92"/>
        <v>32911.372749999995</v>
      </c>
      <c r="O277" s="20">
        <f t="shared" si="92"/>
        <v>28197.982749999996</v>
      </c>
      <c r="P277" s="20">
        <f t="shared" si="92"/>
        <v>30554.677749999992</v>
      </c>
      <c r="Q277" s="20">
        <f t="shared" si="92"/>
        <v>18771.202749999997</v>
      </c>
      <c r="R277" s="21">
        <f t="shared" si="92"/>
        <v>35268.067749999995</v>
      </c>
      <c r="S277" s="20"/>
      <c r="T277" s="20" t="s">
        <v>163</v>
      </c>
    </row>
    <row r="278" spans="1:20" hidden="1" x14ac:dyDescent="0.25">
      <c r="A278" s="17"/>
      <c r="B278" s="18"/>
      <c r="C278" s="18"/>
      <c r="D278" s="18"/>
      <c r="E278" s="18"/>
      <c r="F278" s="18"/>
      <c r="G278" s="18"/>
      <c r="H278" s="18"/>
      <c r="I278" s="18"/>
      <c r="J278" s="18"/>
      <c r="K278" s="18"/>
      <c r="L278" s="18"/>
      <c r="M278" s="18"/>
      <c r="N278" s="18"/>
      <c r="O278" s="18"/>
      <c r="P278" s="18"/>
      <c r="Q278" s="18"/>
      <c r="R278" s="19"/>
      <c r="S278" s="18"/>
      <c r="T278" s="18"/>
    </row>
    <row r="279" spans="1:20" hidden="1" x14ac:dyDescent="0.25">
      <c r="A279" s="35" t="s">
        <v>165</v>
      </c>
      <c r="B279" s="29" t="s">
        <v>166</v>
      </c>
      <c r="C279" s="26">
        <f t="shared" ref="C279:R279" si="93">C234*12000/3412</f>
        <v>703.39976553341148</v>
      </c>
      <c r="D279" s="26">
        <f t="shared" si="93"/>
        <v>668.22977725674093</v>
      </c>
      <c r="E279" s="26">
        <f t="shared" si="93"/>
        <v>597.88980070339971</v>
      </c>
      <c r="F279" s="26">
        <f t="shared" si="93"/>
        <v>703.39976553341148</v>
      </c>
      <c r="G279" s="26">
        <f t="shared" si="93"/>
        <v>633.05978898007038</v>
      </c>
      <c r="H279" s="26">
        <f t="shared" si="93"/>
        <v>457.20984759671745</v>
      </c>
      <c r="I279" s="26">
        <f t="shared" si="93"/>
        <v>422.0398593200469</v>
      </c>
      <c r="J279" s="26">
        <f t="shared" si="93"/>
        <v>457.20984759671745</v>
      </c>
      <c r="K279" s="26">
        <f t="shared" si="93"/>
        <v>492.37983587338806</v>
      </c>
      <c r="L279" s="26">
        <f t="shared" si="93"/>
        <v>527.54982415005861</v>
      </c>
      <c r="M279" s="26">
        <f t="shared" si="93"/>
        <v>703.39976553341148</v>
      </c>
      <c r="N279" s="26">
        <f t="shared" si="93"/>
        <v>668.22977725674093</v>
      </c>
      <c r="O279" s="26">
        <f t="shared" si="93"/>
        <v>597.88980070339971</v>
      </c>
      <c r="P279" s="26">
        <f t="shared" si="93"/>
        <v>633.05978898007038</v>
      </c>
      <c r="Q279" s="26">
        <f t="shared" si="93"/>
        <v>457.20984759671745</v>
      </c>
      <c r="R279" s="27">
        <f t="shared" si="93"/>
        <v>703.39976553341148</v>
      </c>
      <c r="S279" s="26" t="s">
        <v>167</v>
      </c>
      <c r="T279" s="26" t="s">
        <v>168</v>
      </c>
    </row>
    <row r="280" spans="1:20" hidden="1" x14ac:dyDescent="0.25">
      <c r="A280" s="17"/>
      <c r="B280" s="18" t="s">
        <v>89</v>
      </c>
      <c r="C280" s="18">
        <v>1</v>
      </c>
      <c r="D280" s="18">
        <v>1</v>
      </c>
      <c r="E280" s="18">
        <v>1</v>
      </c>
      <c r="F280" s="18">
        <v>1</v>
      </c>
      <c r="G280" s="18">
        <v>1</v>
      </c>
      <c r="H280" s="18">
        <v>1</v>
      </c>
      <c r="I280" s="18">
        <v>1</v>
      </c>
      <c r="J280" s="18">
        <v>1</v>
      </c>
      <c r="K280" s="18">
        <v>1</v>
      </c>
      <c r="L280" s="18">
        <v>1</v>
      </c>
      <c r="M280" s="18">
        <v>1</v>
      </c>
      <c r="N280" s="18">
        <v>1</v>
      </c>
      <c r="O280" s="18">
        <v>1</v>
      </c>
      <c r="P280" s="18">
        <v>1</v>
      </c>
      <c r="Q280" s="18">
        <v>1</v>
      </c>
      <c r="R280" s="19">
        <v>1</v>
      </c>
      <c r="S280" s="18"/>
      <c r="T280" s="18"/>
    </row>
    <row r="281" spans="1:20" hidden="1" x14ac:dyDescent="0.25">
      <c r="A281" s="17"/>
      <c r="B281" s="18" t="s">
        <v>169</v>
      </c>
      <c r="C281" s="20">
        <f>5161.1+40.059*C279</f>
        <v>33338.591207502926</v>
      </c>
      <c r="D281" s="20">
        <f t="shared" ref="D281:R281" si="94">5161.1+40.059*D279</f>
        <v>31929.716647127781</v>
      </c>
      <c r="E281" s="20">
        <f t="shared" si="94"/>
        <v>29111.967526377492</v>
      </c>
      <c r="F281" s="20">
        <f t="shared" si="94"/>
        <v>33338.591207502926</v>
      </c>
      <c r="G281" s="20">
        <f t="shared" si="94"/>
        <v>30520.842086752637</v>
      </c>
      <c r="H281" s="20">
        <f t="shared" si="94"/>
        <v>23476.469284876905</v>
      </c>
      <c r="I281" s="20">
        <f t="shared" si="94"/>
        <v>22067.59472450176</v>
      </c>
      <c r="J281" s="20">
        <f t="shared" si="94"/>
        <v>23476.469284876905</v>
      </c>
      <c r="K281" s="20">
        <f t="shared" si="94"/>
        <v>24885.34384525205</v>
      </c>
      <c r="L281" s="20">
        <f t="shared" si="94"/>
        <v>26294.218405627194</v>
      </c>
      <c r="M281" s="20">
        <f t="shared" si="94"/>
        <v>33338.591207502926</v>
      </c>
      <c r="N281" s="20">
        <f t="shared" si="94"/>
        <v>31929.716647127781</v>
      </c>
      <c r="O281" s="20">
        <f t="shared" si="94"/>
        <v>29111.967526377492</v>
      </c>
      <c r="P281" s="20">
        <f t="shared" si="94"/>
        <v>30520.842086752637</v>
      </c>
      <c r="Q281" s="20">
        <f t="shared" si="94"/>
        <v>23476.469284876905</v>
      </c>
      <c r="R281" s="21">
        <f t="shared" si="94"/>
        <v>33338.591207502926</v>
      </c>
      <c r="S281" s="26"/>
      <c r="T281" s="20" t="s">
        <v>91</v>
      </c>
    </row>
    <row r="282" spans="1:20" hidden="1" x14ac:dyDescent="0.25">
      <c r="A282" s="17"/>
      <c r="B282" s="18" t="s">
        <v>93</v>
      </c>
      <c r="C282" s="24">
        <v>0.15</v>
      </c>
      <c r="D282" s="24">
        <v>0.15</v>
      </c>
      <c r="E282" s="24">
        <v>0.15</v>
      </c>
      <c r="F282" s="24">
        <v>0.15</v>
      </c>
      <c r="G282" s="24">
        <v>0.15</v>
      </c>
      <c r="H282" s="24">
        <v>0.15</v>
      </c>
      <c r="I282" s="24">
        <v>0.15</v>
      </c>
      <c r="J282" s="24">
        <v>0.15</v>
      </c>
      <c r="K282" s="24">
        <v>0.15</v>
      </c>
      <c r="L282" s="24">
        <v>0.15</v>
      </c>
      <c r="M282" s="24">
        <v>0.15</v>
      </c>
      <c r="N282" s="24">
        <v>0.15</v>
      </c>
      <c r="O282" s="24">
        <v>0.15</v>
      </c>
      <c r="P282" s="24">
        <v>0.15</v>
      </c>
      <c r="Q282" s="24">
        <v>0.15</v>
      </c>
      <c r="R282" s="25">
        <v>0.15</v>
      </c>
      <c r="S282" s="24"/>
      <c r="T282" s="24"/>
    </row>
    <row r="283" spans="1:20" hidden="1" x14ac:dyDescent="0.25">
      <c r="A283" s="17"/>
      <c r="B283" s="18" t="s">
        <v>94</v>
      </c>
      <c r="C283" s="20">
        <f>C281*(1+C282)</f>
        <v>38339.379888628362</v>
      </c>
      <c r="D283" s="20">
        <f t="shared" ref="D283:R283" si="95">D281*(1+D282)</f>
        <v>36719.174144196943</v>
      </c>
      <c r="E283" s="20">
        <f t="shared" si="95"/>
        <v>33478.762655334111</v>
      </c>
      <c r="F283" s="20">
        <f t="shared" si="95"/>
        <v>38339.379888628362</v>
      </c>
      <c r="G283" s="20">
        <f t="shared" si="95"/>
        <v>35098.96839976553</v>
      </c>
      <c r="H283" s="20">
        <f t="shared" si="95"/>
        <v>26997.93967760844</v>
      </c>
      <c r="I283" s="20">
        <f t="shared" si="95"/>
        <v>25377.73393317702</v>
      </c>
      <c r="J283" s="20">
        <f t="shared" si="95"/>
        <v>26997.93967760844</v>
      </c>
      <c r="K283" s="20">
        <f t="shared" si="95"/>
        <v>28618.145422039855</v>
      </c>
      <c r="L283" s="20">
        <f t="shared" si="95"/>
        <v>30238.351166471271</v>
      </c>
      <c r="M283" s="20">
        <f t="shared" si="95"/>
        <v>38339.379888628362</v>
      </c>
      <c r="N283" s="20">
        <f t="shared" si="95"/>
        <v>36719.174144196943</v>
      </c>
      <c r="O283" s="20">
        <f t="shared" si="95"/>
        <v>33478.762655334111</v>
      </c>
      <c r="P283" s="20">
        <f t="shared" si="95"/>
        <v>35098.96839976553</v>
      </c>
      <c r="Q283" s="20">
        <f t="shared" si="95"/>
        <v>26997.93967760844</v>
      </c>
      <c r="R283" s="21">
        <f t="shared" si="95"/>
        <v>38339.379888628362</v>
      </c>
      <c r="S283" s="20"/>
      <c r="T283" s="20" t="s">
        <v>170</v>
      </c>
    </row>
    <row r="284" spans="1:20" hidden="1" x14ac:dyDescent="0.25">
      <c r="A284" s="17"/>
      <c r="B284" s="18"/>
      <c r="C284" s="18"/>
      <c r="D284" s="18"/>
      <c r="E284" s="18"/>
      <c r="F284" s="18"/>
      <c r="G284" s="18"/>
      <c r="H284" s="18"/>
      <c r="I284" s="18"/>
      <c r="J284" s="18"/>
      <c r="K284" s="18"/>
      <c r="L284" s="18"/>
      <c r="M284" s="18"/>
      <c r="N284" s="18"/>
      <c r="O284" s="18"/>
      <c r="P284" s="18"/>
      <c r="Q284" s="18"/>
      <c r="R284" s="19"/>
      <c r="S284" s="18"/>
      <c r="T284" s="18"/>
    </row>
    <row r="285" spans="1:20" hidden="1" x14ac:dyDescent="0.25">
      <c r="A285" s="35" t="s">
        <v>121</v>
      </c>
      <c r="B285" s="18" t="s">
        <v>122</v>
      </c>
      <c r="C285" s="30">
        <f t="shared" ref="C285:R285" si="96">SUMIF($B234:$B285,"Subtotal",C234:C285)</f>
        <v>5102461.8237586292</v>
      </c>
      <c r="D285" s="30">
        <f t="shared" si="96"/>
        <v>5114347.6984841973</v>
      </c>
      <c r="E285" s="30">
        <f t="shared" si="96"/>
        <v>5119000.9365403345</v>
      </c>
      <c r="F285" s="30">
        <f t="shared" si="96"/>
        <v>5165109.1648786291</v>
      </c>
      <c r="G285" s="30">
        <f t="shared" si="96"/>
        <v>5095964.8360397648</v>
      </c>
      <c r="H285" s="30">
        <f t="shared" si="96"/>
        <v>5043467.5484226085</v>
      </c>
      <c r="I285" s="30">
        <f t="shared" si="96"/>
        <v>5045442.1113481764</v>
      </c>
      <c r="J285" s="30">
        <f t="shared" si="96"/>
        <v>5061388.8683976084</v>
      </c>
      <c r="K285" s="30">
        <f t="shared" si="96"/>
        <v>5122878.593827039</v>
      </c>
      <c r="L285" s="30">
        <f t="shared" si="96"/>
        <v>5106157.2581164697</v>
      </c>
      <c r="M285" s="30">
        <f t="shared" si="96"/>
        <v>5248278.3186736284</v>
      </c>
      <c r="N285" s="30">
        <f t="shared" si="96"/>
        <v>5144567.3862941973</v>
      </c>
      <c r="O285" s="30">
        <f t="shared" si="96"/>
        <v>5165169.4951453339</v>
      </c>
      <c r="P285" s="30">
        <f t="shared" si="96"/>
        <v>5250132.3471347652</v>
      </c>
      <c r="Q285" s="30">
        <f t="shared" si="96"/>
        <v>5159670.3193926085</v>
      </c>
      <c r="R285" s="31">
        <f t="shared" si="96"/>
        <v>5373273.6989236288</v>
      </c>
      <c r="S285" s="73"/>
      <c r="T285" s="73"/>
    </row>
    <row r="286" spans="1:20" hidden="1" x14ac:dyDescent="0.25">
      <c r="A286" s="17"/>
      <c r="B286" s="18"/>
      <c r="C286" s="18"/>
      <c r="D286" s="18"/>
      <c r="E286" s="18"/>
      <c r="F286" s="18"/>
      <c r="G286" s="18"/>
      <c r="H286" s="18"/>
      <c r="I286" s="18"/>
      <c r="J286" s="18"/>
      <c r="K286" s="18"/>
      <c r="L286" s="18"/>
      <c r="M286" s="18"/>
      <c r="N286" s="18"/>
      <c r="O286" s="18"/>
      <c r="P286" s="18"/>
      <c r="Q286" s="18"/>
      <c r="R286" s="19"/>
      <c r="S286" s="18"/>
      <c r="T286" s="18"/>
    </row>
    <row r="287" spans="1:20" hidden="1" x14ac:dyDescent="0.25">
      <c r="A287" s="17"/>
      <c r="B287" s="18" t="s">
        <v>123</v>
      </c>
      <c r="C287" s="20">
        <f t="shared" ref="C287:R287" si="97">2.5*$C$2</f>
        <v>1246472.5</v>
      </c>
      <c r="D287" s="20">
        <f t="shared" si="97"/>
        <v>1246472.5</v>
      </c>
      <c r="E287" s="20">
        <f t="shared" si="97"/>
        <v>1246472.5</v>
      </c>
      <c r="F287" s="20">
        <f t="shared" si="97"/>
        <v>1246472.5</v>
      </c>
      <c r="G287" s="20">
        <f t="shared" si="97"/>
        <v>1246472.5</v>
      </c>
      <c r="H287" s="20">
        <f t="shared" si="97"/>
        <v>1246472.5</v>
      </c>
      <c r="I287" s="20">
        <f t="shared" si="97"/>
        <v>1246472.5</v>
      </c>
      <c r="J287" s="20">
        <f t="shared" si="97"/>
        <v>1246472.5</v>
      </c>
      <c r="K287" s="20">
        <f t="shared" si="97"/>
        <v>1246472.5</v>
      </c>
      <c r="L287" s="20">
        <f t="shared" si="97"/>
        <v>1246472.5</v>
      </c>
      <c r="M287" s="20">
        <f t="shared" si="97"/>
        <v>1246472.5</v>
      </c>
      <c r="N287" s="20">
        <f t="shared" si="97"/>
        <v>1246472.5</v>
      </c>
      <c r="O287" s="20">
        <f t="shared" si="97"/>
        <v>1246472.5</v>
      </c>
      <c r="P287" s="20">
        <f t="shared" si="97"/>
        <v>1246472.5</v>
      </c>
      <c r="Q287" s="20">
        <f t="shared" si="97"/>
        <v>1246472.5</v>
      </c>
      <c r="R287" s="21">
        <f t="shared" si="97"/>
        <v>1246472.5</v>
      </c>
      <c r="S287" s="20"/>
      <c r="T287" s="20" t="s">
        <v>124</v>
      </c>
    </row>
    <row r="288" spans="1:20" hidden="1" x14ac:dyDescent="0.25">
      <c r="A288" s="17"/>
      <c r="B288" s="18" t="s">
        <v>125</v>
      </c>
      <c r="C288" s="20">
        <f>200*160</f>
        <v>32000</v>
      </c>
      <c r="D288" s="20">
        <f t="shared" ref="D288:R288" si="98">200*160</f>
        <v>32000</v>
      </c>
      <c r="E288" s="20">
        <f t="shared" si="98"/>
        <v>32000</v>
      </c>
      <c r="F288" s="20">
        <f t="shared" si="98"/>
        <v>32000</v>
      </c>
      <c r="G288" s="20">
        <f t="shared" si="98"/>
        <v>32000</v>
      </c>
      <c r="H288" s="20">
        <f t="shared" si="98"/>
        <v>32000</v>
      </c>
      <c r="I288" s="20">
        <f t="shared" si="98"/>
        <v>32000</v>
      </c>
      <c r="J288" s="20">
        <f t="shared" si="98"/>
        <v>32000</v>
      </c>
      <c r="K288" s="20">
        <f t="shared" si="98"/>
        <v>32000</v>
      </c>
      <c r="L288" s="20">
        <f t="shared" si="98"/>
        <v>32000</v>
      </c>
      <c r="M288" s="20">
        <f t="shared" si="98"/>
        <v>32000</v>
      </c>
      <c r="N288" s="20">
        <f t="shared" si="98"/>
        <v>32000</v>
      </c>
      <c r="O288" s="20">
        <f t="shared" si="98"/>
        <v>32000</v>
      </c>
      <c r="P288" s="20">
        <f t="shared" si="98"/>
        <v>32000</v>
      </c>
      <c r="Q288" s="20">
        <f t="shared" si="98"/>
        <v>32000</v>
      </c>
      <c r="R288" s="21">
        <f t="shared" si="98"/>
        <v>32000</v>
      </c>
      <c r="S288" s="20"/>
      <c r="T288" s="20" t="s">
        <v>126</v>
      </c>
    </row>
    <row r="289" spans="1:20" hidden="1" x14ac:dyDescent="0.25">
      <c r="A289" s="17"/>
      <c r="B289" s="18"/>
      <c r="C289" s="18"/>
      <c r="D289" s="18"/>
      <c r="E289" s="18"/>
      <c r="F289" s="18"/>
      <c r="G289" s="18"/>
      <c r="H289" s="18"/>
      <c r="I289" s="18"/>
      <c r="J289" s="18"/>
      <c r="K289" s="18"/>
      <c r="L289" s="18"/>
      <c r="M289" s="18"/>
      <c r="N289" s="18"/>
      <c r="O289" s="18"/>
      <c r="P289" s="18"/>
      <c r="Q289" s="18"/>
      <c r="R289" s="19"/>
      <c r="S289" s="18"/>
      <c r="T289" s="18"/>
    </row>
    <row r="290" spans="1:20" hidden="1" x14ac:dyDescent="0.25">
      <c r="A290" s="35" t="s">
        <v>127</v>
      </c>
      <c r="B290" s="18" t="s">
        <v>128</v>
      </c>
      <c r="C290" s="30">
        <f>SUM(C285,C287,C288)</f>
        <v>6380934.3237586292</v>
      </c>
      <c r="D290" s="30">
        <f t="shared" ref="D290:R290" si="99">SUM(D285,D287,D288)</f>
        <v>6392820.1984841973</v>
      </c>
      <c r="E290" s="30">
        <f t="shared" si="99"/>
        <v>6397473.4365403345</v>
      </c>
      <c r="F290" s="30">
        <f t="shared" si="99"/>
        <v>6443581.6648786291</v>
      </c>
      <c r="G290" s="30">
        <f t="shared" si="99"/>
        <v>6374437.3360397648</v>
      </c>
      <c r="H290" s="30">
        <f t="shared" si="99"/>
        <v>6321940.0484226085</v>
      </c>
      <c r="I290" s="30">
        <f t="shared" si="99"/>
        <v>6323914.6113481764</v>
      </c>
      <c r="J290" s="30">
        <f t="shared" si="99"/>
        <v>6339861.3683976084</v>
      </c>
      <c r="K290" s="30">
        <f t="shared" si="99"/>
        <v>6401351.093827039</v>
      </c>
      <c r="L290" s="30">
        <f t="shared" si="99"/>
        <v>6384629.7581164697</v>
      </c>
      <c r="M290" s="30">
        <f t="shared" si="99"/>
        <v>6526750.8186736284</v>
      </c>
      <c r="N290" s="30">
        <f t="shared" si="99"/>
        <v>6423039.8862941973</v>
      </c>
      <c r="O290" s="30">
        <f t="shared" si="99"/>
        <v>6443641.9951453339</v>
      </c>
      <c r="P290" s="30">
        <f t="shared" si="99"/>
        <v>6528604.8471347652</v>
      </c>
      <c r="Q290" s="30">
        <f t="shared" si="99"/>
        <v>6438142.8193926085</v>
      </c>
      <c r="R290" s="31">
        <f t="shared" si="99"/>
        <v>6651746.1989236288</v>
      </c>
      <c r="S290" s="73"/>
      <c r="T290" s="73"/>
    </row>
    <row r="291" spans="1:20" hidden="1" x14ac:dyDescent="0.25">
      <c r="A291" s="17"/>
      <c r="B291" s="18"/>
      <c r="C291" s="18"/>
      <c r="D291" s="18"/>
      <c r="E291" s="18"/>
      <c r="F291" s="18"/>
      <c r="G291" s="18"/>
      <c r="H291" s="18"/>
      <c r="I291" s="18"/>
      <c r="J291" s="18"/>
      <c r="K291" s="18"/>
      <c r="L291" s="18"/>
      <c r="M291" s="18"/>
      <c r="N291" s="18"/>
      <c r="O291" s="18"/>
      <c r="P291" s="18"/>
      <c r="Q291" s="18"/>
      <c r="R291" s="19"/>
      <c r="S291" s="18"/>
      <c r="T291" s="18"/>
    </row>
    <row r="292" spans="1:20" hidden="1" x14ac:dyDescent="0.25">
      <c r="A292" s="32"/>
      <c r="B292" s="33"/>
      <c r="C292" s="33"/>
      <c r="D292" s="33"/>
      <c r="E292" s="33"/>
      <c r="F292" s="33"/>
      <c r="G292" s="33"/>
      <c r="H292" s="33"/>
      <c r="I292" s="33"/>
      <c r="J292" s="33"/>
      <c r="K292" s="33"/>
      <c r="L292" s="33"/>
      <c r="M292" s="33"/>
      <c r="N292" s="33"/>
      <c r="O292" s="33"/>
      <c r="P292" s="33"/>
      <c r="Q292" s="33"/>
      <c r="R292" s="34"/>
      <c r="S292" s="18"/>
      <c r="T292" s="18"/>
    </row>
    <row r="293" spans="1:20" hidden="1" x14ac:dyDescent="0.25"/>
    <row r="294" spans="1:20" hidden="1" x14ac:dyDescent="0.25"/>
    <row r="295" spans="1:20" ht="21" hidden="1" x14ac:dyDescent="0.35">
      <c r="A295" s="75"/>
      <c r="B295" s="76" t="s">
        <v>211</v>
      </c>
      <c r="C295" s="77"/>
      <c r="D295" s="77"/>
      <c r="E295" s="77"/>
      <c r="F295" s="77"/>
      <c r="G295" s="77"/>
      <c r="H295" s="77"/>
      <c r="I295" s="77"/>
      <c r="J295" s="77"/>
      <c r="K295" s="77"/>
      <c r="L295" s="77"/>
      <c r="M295" s="77"/>
      <c r="N295" s="77"/>
      <c r="O295" s="77"/>
      <c r="P295" s="77"/>
      <c r="Q295" s="77"/>
      <c r="R295" s="78"/>
      <c r="S295" s="80"/>
      <c r="T295" s="80"/>
    </row>
    <row r="296" spans="1:20" hidden="1" x14ac:dyDescent="0.25">
      <c r="A296" s="79"/>
      <c r="B296" s="80"/>
      <c r="C296" s="80" t="s">
        <v>49</v>
      </c>
      <c r="D296" s="80" t="s">
        <v>50</v>
      </c>
      <c r="E296" s="80" t="s">
        <v>51</v>
      </c>
      <c r="F296" s="80" t="s">
        <v>52</v>
      </c>
      <c r="G296" s="80" t="s">
        <v>53</v>
      </c>
      <c r="H296" s="80" t="s">
        <v>54</v>
      </c>
      <c r="I296" s="80" t="s">
        <v>55</v>
      </c>
      <c r="J296" s="80" t="s">
        <v>56</v>
      </c>
      <c r="K296" s="80" t="s">
        <v>57</v>
      </c>
      <c r="L296" s="80" t="s">
        <v>58</v>
      </c>
      <c r="M296" s="80" t="s">
        <v>59</v>
      </c>
      <c r="N296" s="80" t="s">
        <v>60</v>
      </c>
      <c r="O296" s="80" t="s">
        <v>61</v>
      </c>
      <c r="P296" s="80" t="s">
        <v>62</v>
      </c>
      <c r="Q296" s="80" t="s">
        <v>63</v>
      </c>
      <c r="R296" s="81" t="s">
        <v>64</v>
      </c>
      <c r="S296" s="80"/>
      <c r="T296" s="80"/>
    </row>
    <row r="297" spans="1:20" hidden="1" x14ac:dyDescent="0.25">
      <c r="A297" s="47" t="s">
        <v>30</v>
      </c>
      <c r="B297" s="80" t="s">
        <v>86</v>
      </c>
      <c r="C297" s="80">
        <f>Sizing!C$11</f>
        <v>180</v>
      </c>
      <c r="D297" s="80">
        <f>Sizing!D$11</f>
        <v>190</v>
      </c>
      <c r="E297" s="80">
        <f>Sizing!E$11</f>
        <v>160</v>
      </c>
      <c r="F297" s="80">
        <f>Sizing!F$11</f>
        <v>190</v>
      </c>
      <c r="G297" s="80">
        <f>Sizing!G$11</f>
        <v>170</v>
      </c>
      <c r="H297" s="80">
        <f>Sizing!H$11</f>
        <v>120</v>
      </c>
      <c r="I297" s="80">
        <f>Sizing!I$11</f>
        <v>120</v>
      </c>
      <c r="J297" s="80">
        <f>Sizing!J$11</f>
        <v>150</v>
      </c>
      <c r="K297" s="80">
        <f>Sizing!K$11</f>
        <v>140</v>
      </c>
      <c r="L297" s="80">
        <f>Sizing!L$11</f>
        <v>150</v>
      </c>
      <c r="M297" s="80">
        <f>Sizing!M$11</f>
        <v>180</v>
      </c>
      <c r="N297" s="80">
        <f>Sizing!N$11</f>
        <v>180</v>
      </c>
      <c r="O297" s="80">
        <f>Sizing!O$11</f>
        <v>170</v>
      </c>
      <c r="P297" s="80">
        <f>Sizing!P$11</f>
        <v>190</v>
      </c>
      <c r="Q297" s="80">
        <f>Sizing!Q$11</f>
        <v>130</v>
      </c>
      <c r="R297" s="81">
        <f>Sizing!R$11</f>
        <v>190</v>
      </c>
      <c r="S297" s="86" t="s">
        <v>189</v>
      </c>
      <c r="T297" s="80" t="s">
        <v>131</v>
      </c>
    </row>
    <row r="298" spans="1:20" hidden="1" x14ac:dyDescent="0.25">
      <c r="A298" s="79"/>
      <c r="B298" s="80" t="s">
        <v>89</v>
      </c>
      <c r="C298" s="80">
        <v>1</v>
      </c>
      <c r="D298" s="80">
        <v>1</v>
      </c>
      <c r="E298" s="80">
        <v>1</v>
      </c>
      <c r="F298" s="80">
        <v>1</v>
      </c>
      <c r="G298" s="80">
        <v>1</v>
      </c>
      <c r="H298" s="80">
        <v>1</v>
      </c>
      <c r="I298" s="80">
        <v>1</v>
      </c>
      <c r="J298" s="80">
        <v>1</v>
      </c>
      <c r="K298" s="80">
        <v>1</v>
      </c>
      <c r="L298" s="80">
        <v>1</v>
      </c>
      <c r="M298" s="80">
        <v>1</v>
      </c>
      <c r="N298" s="80">
        <v>1</v>
      </c>
      <c r="O298" s="80">
        <v>1</v>
      </c>
      <c r="P298" s="80">
        <v>1</v>
      </c>
      <c r="Q298" s="80">
        <v>1</v>
      </c>
      <c r="R298" s="81">
        <v>1</v>
      </c>
      <c r="S298" s="80"/>
      <c r="T298" s="80"/>
    </row>
    <row r="299" spans="1:20" hidden="1" x14ac:dyDescent="0.25">
      <c r="A299" s="79"/>
      <c r="B299" s="80" t="s">
        <v>101</v>
      </c>
      <c r="C299" s="82">
        <v>1280</v>
      </c>
      <c r="D299" s="82">
        <v>1280</v>
      </c>
      <c r="E299" s="82">
        <v>1280</v>
      </c>
      <c r="F299" s="82">
        <v>1280</v>
      </c>
      <c r="G299" s="82">
        <v>1280</v>
      </c>
      <c r="H299" s="82">
        <v>1280</v>
      </c>
      <c r="I299" s="82">
        <v>1280</v>
      </c>
      <c r="J299" s="82">
        <v>1280</v>
      </c>
      <c r="K299" s="82">
        <v>1280</v>
      </c>
      <c r="L299" s="82">
        <v>1280</v>
      </c>
      <c r="M299" s="82">
        <v>1280</v>
      </c>
      <c r="N299" s="82">
        <v>1280</v>
      </c>
      <c r="O299" s="82">
        <v>1280</v>
      </c>
      <c r="P299" s="82">
        <v>1280</v>
      </c>
      <c r="Q299" s="82">
        <v>1280</v>
      </c>
      <c r="R299" s="83">
        <v>1280</v>
      </c>
      <c r="S299" s="82" t="s">
        <v>132</v>
      </c>
      <c r="T299" s="82" t="s">
        <v>133</v>
      </c>
    </row>
    <row r="300" spans="1:20" hidden="1" x14ac:dyDescent="0.25">
      <c r="A300" s="79"/>
      <c r="B300" s="80" t="s">
        <v>90</v>
      </c>
      <c r="C300" s="82">
        <f>PRODUCT(C297:C299)</f>
        <v>230400</v>
      </c>
      <c r="D300" s="82">
        <f t="shared" ref="D300:R300" si="100">PRODUCT(D297:D299)</f>
        <v>243200</v>
      </c>
      <c r="E300" s="82">
        <f t="shared" si="100"/>
        <v>204800</v>
      </c>
      <c r="F300" s="82">
        <f t="shared" si="100"/>
        <v>243200</v>
      </c>
      <c r="G300" s="82">
        <f t="shared" si="100"/>
        <v>217600</v>
      </c>
      <c r="H300" s="82">
        <f t="shared" si="100"/>
        <v>153600</v>
      </c>
      <c r="I300" s="82">
        <f t="shared" si="100"/>
        <v>153600</v>
      </c>
      <c r="J300" s="82">
        <f t="shared" si="100"/>
        <v>192000</v>
      </c>
      <c r="K300" s="82">
        <f t="shared" si="100"/>
        <v>179200</v>
      </c>
      <c r="L300" s="82">
        <f t="shared" si="100"/>
        <v>192000</v>
      </c>
      <c r="M300" s="82">
        <f t="shared" si="100"/>
        <v>230400</v>
      </c>
      <c r="N300" s="82">
        <f t="shared" si="100"/>
        <v>230400</v>
      </c>
      <c r="O300" s="82">
        <f t="shared" si="100"/>
        <v>217600</v>
      </c>
      <c r="P300" s="82">
        <f t="shared" si="100"/>
        <v>243200</v>
      </c>
      <c r="Q300" s="82">
        <f t="shared" si="100"/>
        <v>166400</v>
      </c>
      <c r="R300" s="83">
        <f t="shared" si="100"/>
        <v>243200</v>
      </c>
      <c r="S300" s="80"/>
      <c r="T300" s="80" t="s">
        <v>134</v>
      </c>
    </row>
    <row r="301" spans="1:20" hidden="1" x14ac:dyDescent="0.25">
      <c r="A301" s="79"/>
      <c r="B301" s="80" t="s">
        <v>92</v>
      </c>
      <c r="C301" s="84">
        <v>10560</v>
      </c>
      <c r="D301" s="84">
        <v>10560</v>
      </c>
      <c r="E301" s="84">
        <v>10560</v>
      </c>
      <c r="F301" s="84">
        <v>10560</v>
      </c>
      <c r="G301" s="84">
        <v>10560</v>
      </c>
      <c r="H301" s="84">
        <v>10560</v>
      </c>
      <c r="I301" s="84">
        <v>10560</v>
      </c>
      <c r="J301" s="84">
        <v>10560</v>
      </c>
      <c r="K301" s="84">
        <v>10560</v>
      </c>
      <c r="L301" s="84">
        <v>10560</v>
      </c>
      <c r="M301" s="84">
        <v>10560</v>
      </c>
      <c r="N301" s="84">
        <v>10560</v>
      </c>
      <c r="O301" s="84">
        <v>10560</v>
      </c>
      <c r="P301" s="84">
        <v>10560</v>
      </c>
      <c r="Q301" s="84">
        <v>10560</v>
      </c>
      <c r="R301" s="85">
        <v>10560</v>
      </c>
      <c r="S301" s="84"/>
      <c r="T301" s="84" t="s">
        <v>135</v>
      </c>
    </row>
    <row r="302" spans="1:20" hidden="1" x14ac:dyDescent="0.25">
      <c r="A302" s="79"/>
      <c r="B302" s="80" t="s">
        <v>93</v>
      </c>
      <c r="C302" s="86">
        <v>0.15</v>
      </c>
      <c r="D302" s="86">
        <v>0.15</v>
      </c>
      <c r="E302" s="86">
        <v>0.15</v>
      </c>
      <c r="F302" s="86">
        <v>0.15</v>
      </c>
      <c r="G302" s="86">
        <v>0.15</v>
      </c>
      <c r="H302" s="86">
        <v>0.15</v>
      </c>
      <c r="I302" s="86">
        <v>0.15</v>
      </c>
      <c r="J302" s="86">
        <v>0.15</v>
      </c>
      <c r="K302" s="86">
        <v>0.15</v>
      </c>
      <c r="L302" s="86">
        <v>0.15</v>
      </c>
      <c r="M302" s="86">
        <v>0.15</v>
      </c>
      <c r="N302" s="86">
        <v>0.15</v>
      </c>
      <c r="O302" s="86">
        <v>0.15</v>
      </c>
      <c r="P302" s="86">
        <v>0.15</v>
      </c>
      <c r="Q302" s="86">
        <v>0.15</v>
      </c>
      <c r="R302" s="87">
        <v>0.15</v>
      </c>
      <c r="S302" s="86"/>
      <c r="T302" s="86"/>
    </row>
    <row r="303" spans="1:20" hidden="1" x14ac:dyDescent="0.25">
      <c r="A303" s="79"/>
      <c r="B303" s="80" t="s">
        <v>94</v>
      </c>
      <c r="C303" s="84">
        <f>(C300+C301)*(1+C302)</f>
        <v>277104</v>
      </c>
      <c r="D303" s="84">
        <f t="shared" ref="D303:R303" si="101">(D300+D301)*(1+D302)</f>
        <v>291824</v>
      </c>
      <c r="E303" s="84">
        <f t="shared" si="101"/>
        <v>247663.99999999997</v>
      </c>
      <c r="F303" s="84">
        <f t="shared" si="101"/>
        <v>291824</v>
      </c>
      <c r="G303" s="84">
        <f t="shared" si="101"/>
        <v>262384</v>
      </c>
      <c r="H303" s="84">
        <f t="shared" si="101"/>
        <v>188783.99999999997</v>
      </c>
      <c r="I303" s="84">
        <f t="shared" si="101"/>
        <v>188783.99999999997</v>
      </c>
      <c r="J303" s="84">
        <f t="shared" si="101"/>
        <v>232943.99999999997</v>
      </c>
      <c r="K303" s="84">
        <f t="shared" si="101"/>
        <v>218223.99999999997</v>
      </c>
      <c r="L303" s="84">
        <f t="shared" si="101"/>
        <v>232943.99999999997</v>
      </c>
      <c r="M303" s="84">
        <f t="shared" si="101"/>
        <v>277104</v>
      </c>
      <c r="N303" s="84">
        <f t="shared" si="101"/>
        <v>277104</v>
      </c>
      <c r="O303" s="84">
        <f t="shared" si="101"/>
        <v>262384</v>
      </c>
      <c r="P303" s="84">
        <f t="shared" si="101"/>
        <v>291824</v>
      </c>
      <c r="Q303" s="84">
        <f t="shared" si="101"/>
        <v>203503.99999999997</v>
      </c>
      <c r="R303" s="85">
        <f t="shared" si="101"/>
        <v>291824</v>
      </c>
      <c r="S303" s="84"/>
      <c r="T303" s="84"/>
    </row>
    <row r="304" spans="1:20" hidden="1" x14ac:dyDescent="0.25">
      <c r="A304" s="79"/>
      <c r="B304" s="80"/>
      <c r="C304" s="80"/>
      <c r="D304" s="80"/>
      <c r="E304" s="80"/>
      <c r="F304" s="80"/>
      <c r="G304" s="80"/>
      <c r="H304" s="80"/>
      <c r="I304" s="80"/>
      <c r="J304" s="80"/>
      <c r="K304" s="80"/>
      <c r="L304" s="80"/>
      <c r="M304" s="80"/>
      <c r="N304" s="80"/>
      <c r="O304" s="80"/>
      <c r="P304" s="80"/>
      <c r="Q304" s="80"/>
      <c r="R304" s="81"/>
      <c r="S304" s="80"/>
      <c r="T304" s="80"/>
    </row>
    <row r="305" spans="1:20" hidden="1" x14ac:dyDescent="0.25">
      <c r="A305" s="47" t="s">
        <v>96</v>
      </c>
      <c r="B305" s="80" t="s">
        <v>86</v>
      </c>
      <c r="C305" s="80"/>
      <c r="D305" s="80"/>
      <c r="E305" s="80"/>
      <c r="F305" s="80"/>
      <c r="G305" s="80"/>
      <c r="H305" s="80"/>
      <c r="I305" s="80"/>
      <c r="J305" s="80"/>
      <c r="K305" s="80"/>
      <c r="L305" s="80"/>
      <c r="M305" s="80"/>
      <c r="N305" s="80"/>
      <c r="O305" s="80"/>
      <c r="P305" s="80"/>
      <c r="Q305" s="80"/>
      <c r="R305" s="81"/>
      <c r="S305" s="80"/>
      <c r="T305" s="80" t="s">
        <v>212</v>
      </c>
    </row>
    <row r="306" spans="1:20" hidden="1" x14ac:dyDescent="0.25">
      <c r="A306" s="79"/>
      <c r="B306" s="80" t="s">
        <v>98</v>
      </c>
      <c r="C306" s="191">
        <f>Sizing!C$12</f>
        <v>166505</v>
      </c>
      <c r="D306" s="191">
        <f>Sizing!D$12</f>
        <v>176558</v>
      </c>
      <c r="E306" s="191">
        <f>Sizing!E$12</f>
        <v>180164</v>
      </c>
      <c r="F306" s="191">
        <f>Sizing!F$12</f>
        <v>181289</v>
      </c>
      <c r="G306" s="191">
        <f>Sizing!G$12</f>
        <v>174266</v>
      </c>
      <c r="H306" s="191">
        <f>Sizing!H$12</f>
        <v>181210</v>
      </c>
      <c r="I306" s="191">
        <f>Sizing!I$12</f>
        <v>182303</v>
      </c>
      <c r="J306" s="191">
        <f>Sizing!J$12</f>
        <v>184254</v>
      </c>
      <c r="K306" s="191">
        <f>Sizing!K$12</f>
        <v>186954</v>
      </c>
      <c r="L306" s="191">
        <f>Sizing!L$12</f>
        <v>187210</v>
      </c>
      <c r="M306" s="191">
        <f>Sizing!M$12</f>
        <v>190144</v>
      </c>
      <c r="N306" s="191">
        <f>Sizing!N$12</f>
        <v>180573</v>
      </c>
      <c r="O306" s="191">
        <f>Sizing!O$12</f>
        <v>188519</v>
      </c>
      <c r="P306" s="191">
        <f>Sizing!P$12</f>
        <v>200049</v>
      </c>
      <c r="Q306" s="191">
        <f>Sizing!Q$12</f>
        <v>200596</v>
      </c>
      <c r="R306" s="199">
        <f>Sizing!R$12</f>
        <v>208718</v>
      </c>
      <c r="S306" s="80" t="s">
        <v>177</v>
      </c>
      <c r="T306" s="80" t="s">
        <v>178</v>
      </c>
    </row>
    <row r="307" spans="1:20" hidden="1" x14ac:dyDescent="0.25">
      <c r="A307" s="79"/>
      <c r="B307" s="80" t="s">
        <v>213</v>
      </c>
      <c r="C307" s="88"/>
      <c r="D307" s="88"/>
      <c r="E307" s="88"/>
      <c r="F307" s="88"/>
      <c r="G307" s="88"/>
      <c r="H307" s="88"/>
      <c r="I307" s="88"/>
      <c r="J307" s="88"/>
      <c r="K307" s="88"/>
      <c r="L307" s="88"/>
      <c r="M307" s="88"/>
      <c r="N307" s="88"/>
      <c r="O307" s="88"/>
      <c r="P307" s="88"/>
      <c r="Q307" s="88"/>
      <c r="R307" s="183"/>
      <c r="S307" s="88"/>
      <c r="T307" s="82"/>
    </row>
    <row r="308" spans="1:20" hidden="1" x14ac:dyDescent="0.25">
      <c r="A308" s="79"/>
      <c r="B308" s="80" t="s">
        <v>90</v>
      </c>
      <c r="C308" s="82">
        <f>8489.2+2.1333*C306</f>
        <v>363694.31650000002</v>
      </c>
      <c r="D308" s="82">
        <f t="shared" ref="D308:R308" si="102">8489.2+2.1333*D306</f>
        <v>385140.38140000007</v>
      </c>
      <c r="E308" s="82">
        <f t="shared" si="102"/>
        <v>392833.06120000005</v>
      </c>
      <c r="F308" s="82">
        <f t="shared" si="102"/>
        <v>395233.02370000002</v>
      </c>
      <c r="G308" s="82">
        <f t="shared" si="102"/>
        <v>380250.85780000006</v>
      </c>
      <c r="H308" s="82">
        <f t="shared" si="102"/>
        <v>395064.49300000007</v>
      </c>
      <c r="I308" s="82">
        <f t="shared" si="102"/>
        <v>397396.18990000006</v>
      </c>
      <c r="J308" s="82">
        <f t="shared" si="102"/>
        <v>401558.25820000004</v>
      </c>
      <c r="K308" s="82">
        <f t="shared" si="102"/>
        <v>407318.16820000007</v>
      </c>
      <c r="L308" s="82">
        <f t="shared" si="102"/>
        <v>407864.29300000006</v>
      </c>
      <c r="M308" s="82">
        <f t="shared" si="102"/>
        <v>414123.39520000003</v>
      </c>
      <c r="N308" s="82">
        <f t="shared" si="102"/>
        <v>393705.58090000006</v>
      </c>
      <c r="O308" s="82">
        <f t="shared" si="102"/>
        <v>410656.78270000004</v>
      </c>
      <c r="P308" s="82">
        <f t="shared" si="102"/>
        <v>435253.73170000006</v>
      </c>
      <c r="Q308" s="82">
        <f t="shared" si="102"/>
        <v>436420.64680000005</v>
      </c>
      <c r="R308" s="83">
        <f t="shared" si="102"/>
        <v>453747.30940000003</v>
      </c>
      <c r="S308" s="82"/>
      <c r="T308" s="80" t="s">
        <v>179</v>
      </c>
    </row>
    <row r="309" spans="1:20" hidden="1" x14ac:dyDescent="0.25">
      <c r="A309" s="79"/>
      <c r="B309" s="80" t="s">
        <v>92</v>
      </c>
      <c r="C309" s="80">
        <v>0</v>
      </c>
      <c r="D309" s="80">
        <v>0</v>
      </c>
      <c r="E309" s="80">
        <v>0</v>
      </c>
      <c r="F309" s="80">
        <v>0</v>
      </c>
      <c r="G309" s="80">
        <v>0</v>
      </c>
      <c r="H309" s="80">
        <v>0</v>
      </c>
      <c r="I309" s="80">
        <v>0</v>
      </c>
      <c r="J309" s="80">
        <v>0</v>
      </c>
      <c r="K309" s="80">
        <v>0</v>
      </c>
      <c r="L309" s="80">
        <v>0</v>
      </c>
      <c r="M309" s="80">
        <v>0</v>
      </c>
      <c r="N309" s="80">
        <v>0</v>
      </c>
      <c r="O309" s="80">
        <v>0</v>
      </c>
      <c r="P309" s="80">
        <v>0</v>
      </c>
      <c r="Q309" s="80">
        <v>0</v>
      </c>
      <c r="R309" s="81">
        <v>0</v>
      </c>
      <c r="S309" s="80"/>
      <c r="T309" s="80"/>
    </row>
    <row r="310" spans="1:20" hidden="1" x14ac:dyDescent="0.25">
      <c r="A310" s="79"/>
      <c r="B310" s="80" t="s">
        <v>93</v>
      </c>
      <c r="C310" s="86">
        <v>0.15</v>
      </c>
      <c r="D310" s="86">
        <v>0.15</v>
      </c>
      <c r="E310" s="86">
        <v>0.15</v>
      </c>
      <c r="F310" s="86">
        <v>0.15</v>
      </c>
      <c r="G310" s="86">
        <v>0.15</v>
      </c>
      <c r="H310" s="86">
        <v>0.15</v>
      </c>
      <c r="I310" s="86">
        <v>0.15</v>
      </c>
      <c r="J310" s="86">
        <v>0.15</v>
      </c>
      <c r="K310" s="86">
        <v>0.15</v>
      </c>
      <c r="L310" s="86">
        <v>0.15</v>
      </c>
      <c r="M310" s="86">
        <v>0.15</v>
      </c>
      <c r="N310" s="86">
        <v>0.15</v>
      </c>
      <c r="O310" s="86">
        <v>0.15</v>
      </c>
      <c r="P310" s="86">
        <v>0.15</v>
      </c>
      <c r="Q310" s="86">
        <v>0.15</v>
      </c>
      <c r="R310" s="87">
        <v>0.15</v>
      </c>
      <c r="S310" s="86"/>
      <c r="T310" s="86"/>
    </row>
    <row r="311" spans="1:20" hidden="1" x14ac:dyDescent="0.25">
      <c r="A311" s="79"/>
      <c r="B311" s="80" t="s">
        <v>94</v>
      </c>
      <c r="C311" s="84">
        <f>(C308+C309)*(1+C310)</f>
        <v>418248.46397499996</v>
      </c>
      <c r="D311" s="84">
        <f t="shared" ref="D311:R311" si="103">(D308+D309)*(1+D310)</f>
        <v>442911.43861000007</v>
      </c>
      <c r="E311" s="84">
        <f t="shared" si="103"/>
        <v>451758.02038</v>
      </c>
      <c r="F311" s="84">
        <f t="shared" si="103"/>
        <v>454517.97725499998</v>
      </c>
      <c r="G311" s="84">
        <f t="shared" si="103"/>
        <v>437288.48647</v>
      </c>
      <c r="H311" s="84">
        <f t="shared" si="103"/>
        <v>454324.16695000004</v>
      </c>
      <c r="I311" s="84">
        <f t="shared" si="103"/>
        <v>457005.61838500004</v>
      </c>
      <c r="J311" s="84">
        <f t="shared" si="103"/>
        <v>461791.99693000002</v>
      </c>
      <c r="K311" s="84">
        <f t="shared" si="103"/>
        <v>468415.89343000005</v>
      </c>
      <c r="L311" s="84">
        <f t="shared" si="103"/>
        <v>469043.93695000006</v>
      </c>
      <c r="M311" s="84">
        <f t="shared" si="103"/>
        <v>476241.90447999997</v>
      </c>
      <c r="N311" s="84">
        <f t="shared" si="103"/>
        <v>452761.41803500004</v>
      </c>
      <c r="O311" s="84">
        <f t="shared" si="103"/>
        <v>472255.30010500003</v>
      </c>
      <c r="P311" s="84">
        <f t="shared" si="103"/>
        <v>500541.79145500006</v>
      </c>
      <c r="Q311" s="84">
        <f t="shared" si="103"/>
        <v>501883.74382000003</v>
      </c>
      <c r="R311" s="85">
        <f t="shared" si="103"/>
        <v>521809.40580999997</v>
      </c>
      <c r="S311" s="84"/>
      <c r="T311" s="84" t="s">
        <v>180</v>
      </c>
    </row>
    <row r="312" spans="1:20" hidden="1" x14ac:dyDescent="0.25">
      <c r="A312" s="79"/>
      <c r="B312" s="80"/>
      <c r="C312" s="80"/>
      <c r="D312" s="80"/>
      <c r="E312" s="80"/>
      <c r="F312" s="80"/>
      <c r="G312" s="80"/>
      <c r="H312" s="80"/>
      <c r="I312" s="80"/>
      <c r="J312" s="80"/>
      <c r="K312" s="80"/>
      <c r="L312" s="80"/>
      <c r="M312" s="80"/>
      <c r="N312" s="80"/>
      <c r="O312" s="80"/>
      <c r="P312" s="80"/>
      <c r="Q312" s="80"/>
      <c r="R312" s="81"/>
      <c r="S312" s="80"/>
      <c r="T312" s="80"/>
    </row>
    <row r="313" spans="1:20" hidden="1" x14ac:dyDescent="0.25">
      <c r="A313" s="47" t="s">
        <v>103</v>
      </c>
      <c r="B313" s="80"/>
      <c r="C313" s="80"/>
      <c r="D313" s="80"/>
      <c r="E313" s="80"/>
      <c r="F313" s="80"/>
      <c r="G313" s="80"/>
      <c r="H313" s="80"/>
      <c r="I313" s="80"/>
      <c r="J313" s="80"/>
      <c r="K313" s="80"/>
      <c r="L313" s="80"/>
      <c r="M313" s="80"/>
      <c r="N313" s="80"/>
      <c r="O313" s="80"/>
      <c r="P313" s="80"/>
      <c r="Q313" s="80"/>
      <c r="R313" s="81"/>
      <c r="S313" s="80"/>
      <c r="T313" s="80"/>
    </row>
    <row r="314" spans="1:20" hidden="1" x14ac:dyDescent="0.25">
      <c r="A314" s="79"/>
      <c r="B314" s="80" t="s">
        <v>104</v>
      </c>
      <c r="C314" s="80">
        <f t="shared" ref="C314:R314" si="104">$H117</f>
        <v>4412</v>
      </c>
      <c r="D314" s="80">
        <f t="shared" si="104"/>
        <v>4412</v>
      </c>
      <c r="E314" s="80">
        <f t="shared" si="104"/>
        <v>4412</v>
      </c>
      <c r="F314" s="80">
        <f t="shared" si="104"/>
        <v>4412</v>
      </c>
      <c r="G314" s="80">
        <f t="shared" si="104"/>
        <v>4412</v>
      </c>
      <c r="H314" s="80">
        <f t="shared" si="104"/>
        <v>4412</v>
      </c>
      <c r="I314" s="80">
        <f t="shared" si="104"/>
        <v>4412</v>
      </c>
      <c r="J314" s="80">
        <f t="shared" si="104"/>
        <v>4412</v>
      </c>
      <c r="K314" s="80">
        <f t="shared" si="104"/>
        <v>4412</v>
      </c>
      <c r="L314" s="80">
        <f t="shared" si="104"/>
        <v>4412</v>
      </c>
      <c r="M314" s="80">
        <f t="shared" si="104"/>
        <v>4412</v>
      </c>
      <c r="N314" s="80">
        <f t="shared" si="104"/>
        <v>4412</v>
      </c>
      <c r="O314" s="80">
        <f t="shared" si="104"/>
        <v>4412</v>
      </c>
      <c r="P314" s="80">
        <f t="shared" si="104"/>
        <v>4412</v>
      </c>
      <c r="Q314" s="80">
        <f t="shared" si="104"/>
        <v>4412</v>
      </c>
      <c r="R314" s="81">
        <f t="shared" si="104"/>
        <v>4412</v>
      </c>
      <c r="S314" s="80" t="s">
        <v>181</v>
      </c>
      <c r="T314" s="80" t="s">
        <v>143</v>
      </c>
    </row>
    <row r="315" spans="1:20" hidden="1" x14ac:dyDescent="0.25">
      <c r="A315" s="79"/>
      <c r="B315" s="80" t="s">
        <v>101</v>
      </c>
      <c r="C315" s="82">
        <f>'Air-side Costs'!$E87</f>
        <v>270.93</v>
      </c>
      <c r="D315" s="82">
        <f>'Air-side Costs'!$E87</f>
        <v>270.93</v>
      </c>
      <c r="E315" s="82">
        <f>'Air-side Costs'!$E87</f>
        <v>270.93</v>
      </c>
      <c r="F315" s="82">
        <f>'Air-side Costs'!$E87</f>
        <v>270.93</v>
      </c>
      <c r="G315" s="82">
        <f>'Air-side Costs'!$E87</f>
        <v>270.93</v>
      </c>
      <c r="H315" s="82">
        <f>'Air-side Costs'!$E87</f>
        <v>270.93</v>
      </c>
      <c r="I315" s="82">
        <f>'Air-side Costs'!$E87</f>
        <v>270.93</v>
      </c>
      <c r="J315" s="82">
        <f>'Air-side Costs'!$E87</f>
        <v>270.93</v>
      </c>
      <c r="K315" s="82">
        <f>'Air-side Costs'!$E87</f>
        <v>270.93</v>
      </c>
      <c r="L315" s="82">
        <f>'Air-side Costs'!$E87</f>
        <v>270.93</v>
      </c>
      <c r="M315" s="82">
        <f>'Air-side Costs'!$E87</f>
        <v>270.93</v>
      </c>
      <c r="N315" s="82">
        <f>'Air-side Costs'!$E87</f>
        <v>270.93</v>
      </c>
      <c r="O315" s="82">
        <f>'Air-side Costs'!$E87</f>
        <v>270.93</v>
      </c>
      <c r="P315" s="82">
        <f>'Air-side Costs'!$E87</f>
        <v>270.93</v>
      </c>
      <c r="Q315" s="82">
        <f>'Air-side Costs'!$E87</f>
        <v>270.93</v>
      </c>
      <c r="R315" s="83">
        <f>'Air-side Costs'!$E87</f>
        <v>270.93</v>
      </c>
      <c r="S315" s="80" t="s">
        <v>144</v>
      </c>
      <c r="T315" s="80" t="s">
        <v>145</v>
      </c>
    </row>
    <row r="316" spans="1:20" hidden="1" x14ac:dyDescent="0.25">
      <c r="A316" s="79"/>
      <c r="B316" s="80" t="s">
        <v>90</v>
      </c>
      <c r="C316" s="82">
        <f>C314*C315</f>
        <v>1195343.1599999999</v>
      </c>
      <c r="D316" s="82">
        <f t="shared" ref="D316:R316" si="105">D314*D315</f>
        <v>1195343.1599999999</v>
      </c>
      <c r="E316" s="82">
        <f t="shared" si="105"/>
        <v>1195343.1599999999</v>
      </c>
      <c r="F316" s="82">
        <f t="shared" si="105"/>
        <v>1195343.1599999999</v>
      </c>
      <c r="G316" s="82">
        <f t="shared" si="105"/>
        <v>1195343.1599999999</v>
      </c>
      <c r="H316" s="82">
        <f t="shared" si="105"/>
        <v>1195343.1599999999</v>
      </c>
      <c r="I316" s="82">
        <f t="shared" si="105"/>
        <v>1195343.1599999999</v>
      </c>
      <c r="J316" s="82">
        <f t="shared" si="105"/>
        <v>1195343.1599999999</v>
      </c>
      <c r="K316" s="82">
        <f t="shared" si="105"/>
        <v>1195343.1599999999</v>
      </c>
      <c r="L316" s="82">
        <f t="shared" si="105"/>
        <v>1195343.1599999999</v>
      </c>
      <c r="M316" s="82">
        <f t="shared" si="105"/>
        <v>1195343.1599999999</v>
      </c>
      <c r="N316" s="82">
        <f t="shared" si="105"/>
        <v>1195343.1599999999</v>
      </c>
      <c r="O316" s="82">
        <f t="shared" si="105"/>
        <v>1195343.1599999999</v>
      </c>
      <c r="P316" s="82">
        <f t="shared" si="105"/>
        <v>1195343.1599999999</v>
      </c>
      <c r="Q316" s="82">
        <f t="shared" si="105"/>
        <v>1195343.1599999999</v>
      </c>
      <c r="R316" s="83">
        <f t="shared" si="105"/>
        <v>1195343.1599999999</v>
      </c>
      <c r="S316" s="80"/>
      <c r="T316" s="80" t="s">
        <v>182</v>
      </c>
    </row>
    <row r="317" spans="1:20" hidden="1" x14ac:dyDescent="0.25">
      <c r="A317" s="79"/>
      <c r="B317" s="80" t="s">
        <v>92</v>
      </c>
      <c r="C317" s="82">
        <v>0</v>
      </c>
      <c r="D317" s="82">
        <v>0</v>
      </c>
      <c r="E317" s="82">
        <v>0</v>
      </c>
      <c r="F317" s="82">
        <v>0</v>
      </c>
      <c r="G317" s="82">
        <v>0</v>
      </c>
      <c r="H317" s="82">
        <v>0</v>
      </c>
      <c r="I317" s="82">
        <v>0</v>
      </c>
      <c r="J317" s="82">
        <v>0</v>
      </c>
      <c r="K317" s="82">
        <v>0</v>
      </c>
      <c r="L317" s="82">
        <v>0</v>
      </c>
      <c r="M317" s="82">
        <v>0</v>
      </c>
      <c r="N317" s="82">
        <v>0</v>
      </c>
      <c r="O317" s="82">
        <v>0</v>
      </c>
      <c r="P317" s="82">
        <v>0</v>
      </c>
      <c r="Q317" s="82">
        <v>0</v>
      </c>
      <c r="R317" s="83">
        <v>0</v>
      </c>
      <c r="S317" s="80"/>
      <c r="T317" s="80"/>
    </row>
    <row r="318" spans="1:20" hidden="1" x14ac:dyDescent="0.25">
      <c r="A318" s="79"/>
      <c r="B318" s="80" t="s">
        <v>93</v>
      </c>
      <c r="C318" s="86">
        <v>0.15</v>
      </c>
      <c r="D318" s="86">
        <v>0.15</v>
      </c>
      <c r="E318" s="86">
        <v>0.15</v>
      </c>
      <c r="F318" s="86">
        <v>0.15</v>
      </c>
      <c r="G318" s="86">
        <v>0.15</v>
      </c>
      <c r="H318" s="86">
        <v>0.15</v>
      </c>
      <c r="I318" s="86">
        <v>0.15</v>
      </c>
      <c r="J318" s="86">
        <v>0.15</v>
      </c>
      <c r="K318" s="86">
        <v>0.15</v>
      </c>
      <c r="L318" s="86">
        <v>0.15</v>
      </c>
      <c r="M318" s="86">
        <v>0.15</v>
      </c>
      <c r="N318" s="86">
        <v>0.15</v>
      </c>
      <c r="O318" s="86">
        <v>0.15</v>
      </c>
      <c r="P318" s="86">
        <v>0.15</v>
      </c>
      <c r="Q318" s="86">
        <v>0.15</v>
      </c>
      <c r="R318" s="87">
        <v>0.15</v>
      </c>
      <c r="S318" s="86"/>
      <c r="T318" s="86"/>
    </row>
    <row r="319" spans="1:20" hidden="1" x14ac:dyDescent="0.25">
      <c r="A319" s="79"/>
      <c r="B319" s="80" t="s">
        <v>94</v>
      </c>
      <c r="C319" s="84">
        <f>(C316+C317)*(1+C318)</f>
        <v>1374644.6339999998</v>
      </c>
      <c r="D319" s="84">
        <f t="shared" ref="D319:R319" si="106">(D316+D317)*(1+D318)</f>
        <v>1374644.6339999998</v>
      </c>
      <c r="E319" s="84">
        <f t="shared" si="106"/>
        <v>1374644.6339999998</v>
      </c>
      <c r="F319" s="84">
        <f t="shared" si="106"/>
        <v>1374644.6339999998</v>
      </c>
      <c r="G319" s="84">
        <f t="shared" si="106"/>
        <v>1374644.6339999998</v>
      </c>
      <c r="H319" s="84">
        <f t="shared" si="106"/>
        <v>1374644.6339999998</v>
      </c>
      <c r="I319" s="84">
        <f t="shared" si="106"/>
        <v>1374644.6339999998</v>
      </c>
      <c r="J319" s="84">
        <f t="shared" si="106"/>
        <v>1374644.6339999998</v>
      </c>
      <c r="K319" s="84">
        <f t="shared" si="106"/>
        <v>1374644.6339999998</v>
      </c>
      <c r="L319" s="84">
        <f t="shared" si="106"/>
        <v>1374644.6339999998</v>
      </c>
      <c r="M319" s="84">
        <f t="shared" si="106"/>
        <v>1374644.6339999998</v>
      </c>
      <c r="N319" s="84">
        <f t="shared" si="106"/>
        <v>1374644.6339999998</v>
      </c>
      <c r="O319" s="84">
        <f t="shared" si="106"/>
        <v>1374644.6339999998</v>
      </c>
      <c r="P319" s="84">
        <f t="shared" si="106"/>
        <v>1374644.6339999998</v>
      </c>
      <c r="Q319" s="84">
        <f t="shared" si="106"/>
        <v>1374644.6339999998</v>
      </c>
      <c r="R319" s="85">
        <f t="shared" si="106"/>
        <v>1374644.6339999998</v>
      </c>
      <c r="S319" s="84"/>
      <c r="T319" s="84" t="s">
        <v>183</v>
      </c>
    </row>
    <row r="320" spans="1:20" hidden="1" x14ac:dyDescent="0.25">
      <c r="A320" s="79"/>
      <c r="B320" s="80"/>
      <c r="C320" s="80"/>
      <c r="D320" s="80"/>
      <c r="E320" s="80"/>
      <c r="F320" s="80"/>
      <c r="G320" s="80"/>
      <c r="H320" s="80"/>
      <c r="I320" s="80"/>
      <c r="J320" s="80"/>
      <c r="K320" s="80"/>
      <c r="L320" s="80"/>
      <c r="M320" s="80"/>
      <c r="N320" s="80"/>
      <c r="O320" s="80"/>
      <c r="P320" s="80"/>
      <c r="Q320" s="80"/>
      <c r="R320" s="81"/>
      <c r="S320" s="80"/>
      <c r="T320" s="80"/>
    </row>
    <row r="321" spans="1:20" hidden="1" x14ac:dyDescent="0.25">
      <c r="A321" s="47" t="s">
        <v>110</v>
      </c>
      <c r="B321" s="80"/>
      <c r="C321" s="80"/>
      <c r="D321" s="80"/>
      <c r="E321" s="80"/>
      <c r="F321" s="80"/>
      <c r="G321" s="80"/>
      <c r="H321" s="80"/>
      <c r="I321" s="80"/>
      <c r="J321" s="80"/>
      <c r="K321" s="80"/>
      <c r="L321" s="80"/>
      <c r="M321" s="80"/>
      <c r="N321" s="80"/>
      <c r="O321" s="80"/>
      <c r="P321" s="80"/>
      <c r="Q321" s="80"/>
      <c r="R321" s="81"/>
      <c r="S321" s="80"/>
      <c r="T321" s="80"/>
    </row>
    <row r="322" spans="1:20" hidden="1" x14ac:dyDescent="0.25">
      <c r="A322" s="79"/>
      <c r="B322" s="80" t="s">
        <v>104</v>
      </c>
      <c r="C322" s="80">
        <f>$H$117</f>
        <v>4412</v>
      </c>
      <c r="D322" s="80">
        <f t="shared" ref="D322:R322" si="107">$H$117</f>
        <v>4412</v>
      </c>
      <c r="E322" s="80">
        <f t="shared" si="107"/>
        <v>4412</v>
      </c>
      <c r="F322" s="80">
        <f t="shared" si="107"/>
        <v>4412</v>
      </c>
      <c r="G322" s="80">
        <f t="shared" si="107"/>
        <v>4412</v>
      </c>
      <c r="H322" s="80">
        <f t="shared" si="107"/>
        <v>4412</v>
      </c>
      <c r="I322" s="80">
        <f t="shared" si="107"/>
        <v>4412</v>
      </c>
      <c r="J322" s="80">
        <f t="shared" si="107"/>
        <v>4412</v>
      </c>
      <c r="K322" s="80">
        <f t="shared" si="107"/>
        <v>4412</v>
      </c>
      <c r="L322" s="80">
        <f t="shared" si="107"/>
        <v>4412</v>
      </c>
      <c r="M322" s="80">
        <f t="shared" si="107"/>
        <v>4412</v>
      </c>
      <c r="N322" s="80">
        <f t="shared" si="107"/>
        <v>4412</v>
      </c>
      <c r="O322" s="80">
        <f t="shared" si="107"/>
        <v>4412</v>
      </c>
      <c r="P322" s="80">
        <f t="shared" si="107"/>
        <v>4412</v>
      </c>
      <c r="Q322" s="80">
        <f t="shared" si="107"/>
        <v>4412</v>
      </c>
      <c r="R322" s="81">
        <f t="shared" si="107"/>
        <v>4412</v>
      </c>
      <c r="S322" s="80" t="s">
        <v>181</v>
      </c>
      <c r="T322" s="80" t="s">
        <v>147</v>
      </c>
    </row>
    <row r="323" spans="1:20" hidden="1" x14ac:dyDescent="0.25">
      <c r="A323" s="79"/>
      <c r="B323" s="80" t="s">
        <v>101</v>
      </c>
      <c r="C323" s="82">
        <f>'Air-side Costs'!$E88</f>
        <v>56.65</v>
      </c>
      <c r="D323" s="82">
        <f>'Air-side Costs'!$E88</f>
        <v>56.65</v>
      </c>
      <c r="E323" s="82">
        <f>'Air-side Costs'!$E88</f>
        <v>56.65</v>
      </c>
      <c r="F323" s="82">
        <f>'Air-side Costs'!$E88</f>
        <v>56.65</v>
      </c>
      <c r="G323" s="82">
        <f>'Air-side Costs'!$E88</f>
        <v>56.65</v>
      </c>
      <c r="H323" s="82">
        <f>'Air-side Costs'!$E88</f>
        <v>56.65</v>
      </c>
      <c r="I323" s="82">
        <f>'Air-side Costs'!$E88</f>
        <v>56.65</v>
      </c>
      <c r="J323" s="82">
        <f>'Air-side Costs'!$E88</f>
        <v>56.65</v>
      </c>
      <c r="K323" s="82">
        <f>'Air-side Costs'!$E88</f>
        <v>56.65</v>
      </c>
      <c r="L323" s="82">
        <f>'Air-side Costs'!$E88</f>
        <v>56.65</v>
      </c>
      <c r="M323" s="82">
        <f>'Air-side Costs'!$E88</f>
        <v>56.65</v>
      </c>
      <c r="N323" s="82">
        <f>'Air-side Costs'!$E88</f>
        <v>56.65</v>
      </c>
      <c r="O323" s="82">
        <f>'Air-side Costs'!$E88</f>
        <v>56.65</v>
      </c>
      <c r="P323" s="82">
        <f>'Air-side Costs'!$E88</f>
        <v>56.65</v>
      </c>
      <c r="Q323" s="82">
        <f>'Air-side Costs'!$E88</f>
        <v>56.65</v>
      </c>
      <c r="R323" s="83">
        <f>'Air-side Costs'!$E88</f>
        <v>56.65</v>
      </c>
      <c r="S323" s="80" t="s">
        <v>144</v>
      </c>
      <c r="T323" s="80" t="s">
        <v>148</v>
      </c>
    </row>
    <row r="324" spans="1:20" hidden="1" x14ac:dyDescent="0.25">
      <c r="A324" s="79"/>
      <c r="B324" s="80" t="s">
        <v>90</v>
      </c>
      <c r="C324" s="82">
        <f>C322*C323</f>
        <v>249939.8</v>
      </c>
      <c r="D324" s="82">
        <f t="shared" ref="D324:R324" si="108">D322*D323</f>
        <v>249939.8</v>
      </c>
      <c r="E324" s="82">
        <f t="shared" si="108"/>
        <v>249939.8</v>
      </c>
      <c r="F324" s="82">
        <f t="shared" si="108"/>
        <v>249939.8</v>
      </c>
      <c r="G324" s="82">
        <f t="shared" si="108"/>
        <v>249939.8</v>
      </c>
      <c r="H324" s="82">
        <f t="shared" si="108"/>
        <v>249939.8</v>
      </c>
      <c r="I324" s="82">
        <f t="shared" si="108"/>
        <v>249939.8</v>
      </c>
      <c r="J324" s="82">
        <f t="shared" si="108"/>
        <v>249939.8</v>
      </c>
      <c r="K324" s="82">
        <f t="shared" si="108"/>
        <v>249939.8</v>
      </c>
      <c r="L324" s="82">
        <f t="shared" si="108"/>
        <v>249939.8</v>
      </c>
      <c r="M324" s="82">
        <f t="shared" si="108"/>
        <v>249939.8</v>
      </c>
      <c r="N324" s="82">
        <f t="shared" si="108"/>
        <v>249939.8</v>
      </c>
      <c r="O324" s="82">
        <f t="shared" si="108"/>
        <v>249939.8</v>
      </c>
      <c r="P324" s="82">
        <f t="shared" si="108"/>
        <v>249939.8</v>
      </c>
      <c r="Q324" s="82">
        <f t="shared" si="108"/>
        <v>249939.8</v>
      </c>
      <c r="R324" s="83">
        <f t="shared" si="108"/>
        <v>249939.8</v>
      </c>
      <c r="S324" s="80"/>
      <c r="T324" s="80"/>
    </row>
    <row r="325" spans="1:20" hidden="1" x14ac:dyDescent="0.25">
      <c r="A325" s="79"/>
      <c r="B325" s="80" t="s">
        <v>92</v>
      </c>
      <c r="C325" s="82">
        <v>0</v>
      </c>
      <c r="D325" s="82">
        <v>0</v>
      </c>
      <c r="E325" s="82">
        <v>0</v>
      </c>
      <c r="F325" s="82">
        <v>0</v>
      </c>
      <c r="G325" s="82">
        <v>0</v>
      </c>
      <c r="H325" s="82">
        <v>0</v>
      </c>
      <c r="I325" s="82">
        <v>0</v>
      </c>
      <c r="J325" s="82">
        <v>0</v>
      </c>
      <c r="K325" s="82">
        <v>0</v>
      </c>
      <c r="L325" s="82">
        <v>0</v>
      </c>
      <c r="M325" s="82">
        <v>0</v>
      </c>
      <c r="N325" s="82">
        <v>0</v>
      </c>
      <c r="O325" s="82">
        <v>0</v>
      </c>
      <c r="P325" s="82">
        <v>0</v>
      </c>
      <c r="Q325" s="82">
        <v>0</v>
      </c>
      <c r="R325" s="83">
        <v>0</v>
      </c>
      <c r="S325" s="80"/>
      <c r="T325" s="80"/>
    </row>
    <row r="326" spans="1:20" hidden="1" x14ac:dyDescent="0.25">
      <c r="A326" s="79"/>
      <c r="B326" s="80" t="s">
        <v>93</v>
      </c>
      <c r="C326" s="86">
        <v>0.15</v>
      </c>
      <c r="D326" s="86">
        <v>0.15</v>
      </c>
      <c r="E326" s="86">
        <v>0.15</v>
      </c>
      <c r="F326" s="86">
        <v>0.15</v>
      </c>
      <c r="G326" s="86">
        <v>0.15</v>
      </c>
      <c r="H326" s="86">
        <v>0.15</v>
      </c>
      <c r="I326" s="86">
        <v>0.15</v>
      </c>
      <c r="J326" s="86">
        <v>0.15</v>
      </c>
      <c r="K326" s="86">
        <v>0.15</v>
      </c>
      <c r="L326" s="86">
        <v>0.15</v>
      </c>
      <c r="M326" s="86">
        <v>0.15</v>
      </c>
      <c r="N326" s="86">
        <v>0.15</v>
      </c>
      <c r="O326" s="86">
        <v>0.15</v>
      </c>
      <c r="P326" s="86">
        <v>0.15</v>
      </c>
      <c r="Q326" s="86">
        <v>0.15</v>
      </c>
      <c r="R326" s="87">
        <v>0.15</v>
      </c>
      <c r="S326" s="86"/>
      <c r="T326" s="86"/>
    </row>
    <row r="327" spans="1:20" hidden="1" x14ac:dyDescent="0.25">
      <c r="A327" s="79"/>
      <c r="B327" s="80" t="s">
        <v>94</v>
      </c>
      <c r="C327" s="84">
        <f>(C324+C325)*(1+C326)</f>
        <v>287430.76999999996</v>
      </c>
      <c r="D327" s="84">
        <f t="shared" ref="D327:R327" si="109">(D324+D325)*(1+D326)</f>
        <v>287430.76999999996</v>
      </c>
      <c r="E327" s="84">
        <f t="shared" si="109"/>
        <v>287430.76999999996</v>
      </c>
      <c r="F327" s="84">
        <f t="shared" si="109"/>
        <v>287430.76999999996</v>
      </c>
      <c r="G327" s="84">
        <f t="shared" si="109"/>
        <v>287430.76999999996</v>
      </c>
      <c r="H327" s="84">
        <f t="shared" si="109"/>
        <v>287430.76999999996</v>
      </c>
      <c r="I327" s="84">
        <f t="shared" si="109"/>
        <v>287430.76999999996</v>
      </c>
      <c r="J327" s="84">
        <f t="shared" si="109"/>
        <v>287430.76999999996</v>
      </c>
      <c r="K327" s="84">
        <f t="shared" si="109"/>
        <v>287430.76999999996</v>
      </c>
      <c r="L327" s="84">
        <f t="shared" si="109"/>
        <v>287430.76999999996</v>
      </c>
      <c r="M327" s="84">
        <f t="shared" si="109"/>
        <v>287430.76999999996</v>
      </c>
      <c r="N327" s="84">
        <f t="shared" si="109"/>
        <v>287430.76999999996</v>
      </c>
      <c r="O327" s="84">
        <f t="shared" si="109"/>
        <v>287430.76999999996</v>
      </c>
      <c r="P327" s="84">
        <f t="shared" si="109"/>
        <v>287430.76999999996</v>
      </c>
      <c r="Q327" s="84">
        <f t="shared" si="109"/>
        <v>287430.76999999996</v>
      </c>
      <c r="R327" s="85">
        <f t="shared" si="109"/>
        <v>287430.76999999996</v>
      </c>
      <c r="S327" s="84"/>
      <c r="T327" s="84"/>
    </row>
    <row r="328" spans="1:20" hidden="1" x14ac:dyDescent="0.25">
      <c r="A328" s="79"/>
      <c r="B328" s="80"/>
      <c r="C328" s="80"/>
      <c r="D328" s="80"/>
      <c r="E328" s="80"/>
      <c r="F328" s="80"/>
      <c r="G328" s="80"/>
      <c r="H328" s="80"/>
      <c r="I328" s="80"/>
      <c r="J328" s="80"/>
      <c r="K328" s="80"/>
      <c r="L328" s="80"/>
      <c r="M328" s="80"/>
      <c r="N328" s="80"/>
      <c r="O328" s="80"/>
      <c r="P328" s="80"/>
      <c r="Q328" s="80"/>
      <c r="R328" s="81"/>
      <c r="S328" s="80"/>
      <c r="T328" s="80"/>
    </row>
    <row r="329" spans="1:20" hidden="1" x14ac:dyDescent="0.25">
      <c r="A329" s="47" t="s">
        <v>114</v>
      </c>
      <c r="B329" s="80" t="s">
        <v>94</v>
      </c>
      <c r="C329" s="84">
        <f>46*'Air-side Costs'!$M$100</f>
        <v>149283.79999999999</v>
      </c>
      <c r="D329" s="84">
        <f>46*'Air-side Costs'!$M$100</f>
        <v>149283.79999999999</v>
      </c>
      <c r="E329" s="84">
        <f>46*'Air-side Costs'!$M$100</f>
        <v>149283.79999999999</v>
      </c>
      <c r="F329" s="84">
        <f>46*'Air-side Costs'!$M$100</f>
        <v>149283.79999999999</v>
      </c>
      <c r="G329" s="84">
        <f>46*'Air-side Costs'!$M$100</f>
        <v>149283.79999999999</v>
      </c>
      <c r="H329" s="84">
        <f>46*'Air-side Costs'!$M$100</f>
        <v>149283.79999999999</v>
      </c>
      <c r="I329" s="84">
        <f>46*'Air-side Costs'!$M$100</f>
        <v>149283.79999999999</v>
      </c>
      <c r="J329" s="84">
        <f>46*'Air-side Costs'!$M$100</f>
        <v>149283.79999999999</v>
      </c>
      <c r="K329" s="84">
        <f>46*'Air-side Costs'!$M$100</f>
        <v>149283.79999999999</v>
      </c>
      <c r="L329" s="84">
        <f>46*'Air-side Costs'!$M$100</f>
        <v>149283.79999999999</v>
      </c>
      <c r="M329" s="84">
        <f>46*'Air-side Costs'!$M$100</f>
        <v>149283.79999999999</v>
      </c>
      <c r="N329" s="84">
        <f>46*'Air-side Costs'!$M$100</f>
        <v>149283.79999999999</v>
      </c>
      <c r="O329" s="84">
        <f>46*'Air-side Costs'!$M$100</f>
        <v>149283.79999999999</v>
      </c>
      <c r="P329" s="84">
        <f>46*'Air-side Costs'!$M$100</f>
        <v>149283.79999999999</v>
      </c>
      <c r="Q329" s="84">
        <f>46*'Air-side Costs'!$M$100</f>
        <v>149283.79999999999</v>
      </c>
      <c r="R329" s="85">
        <f>46*'Air-side Costs'!$M$100</f>
        <v>149283.79999999999</v>
      </c>
      <c r="S329" s="84"/>
      <c r="T329" s="84"/>
    </row>
    <row r="330" spans="1:20" hidden="1" x14ac:dyDescent="0.25">
      <c r="A330" s="79"/>
      <c r="B330" s="80"/>
      <c r="C330" s="80"/>
      <c r="D330" s="80"/>
      <c r="E330" s="80"/>
      <c r="F330" s="80"/>
      <c r="G330" s="80"/>
      <c r="H330" s="80"/>
      <c r="I330" s="80"/>
      <c r="J330" s="80"/>
      <c r="K330" s="80"/>
      <c r="L330" s="80"/>
      <c r="M330" s="80"/>
      <c r="N330" s="80"/>
      <c r="O330" s="80"/>
      <c r="P330" s="80"/>
      <c r="Q330" s="80"/>
      <c r="R330" s="81"/>
      <c r="S330" s="80"/>
      <c r="T330" s="80"/>
    </row>
    <row r="331" spans="1:20" hidden="1" x14ac:dyDescent="0.25">
      <c r="A331" s="79"/>
      <c r="B331" s="80" t="s">
        <v>152</v>
      </c>
      <c r="C331" s="192">
        <f>ROUNDUP(C297*'Plant-side Costs'!$D$78/2,0)*2</f>
        <v>10</v>
      </c>
      <c r="D331" s="192">
        <f>ROUNDUP(D297*'Plant-side Costs'!$D$78/2,0)*2</f>
        <v>12</v>
      </c>
      <c r="E331" s="192">
        <f>ROUNDUP(E297*'Plant-side Costs'!$D$78/2,0)*2</f>
        <v>10</v>
      </c>
      <c r="F331" s="192">
        <f>ROUNDUP(F297*'Plant-side Costs'!$D$78/2,0)*2</f>
        <v>12</v>
      </c>
      <c r="G331" s="192">
        <f>ROUNDUP(G297*'Plant-side Costs'!$D$78/2,0)*2</f>
        <v>10</v>
      </c>
      <c r="H331" s="192">
        <f>ROUNDUP(H297*'Plant-side Costs'!$D$78/2,0)*2</f>
        <v>8</v>
      </c>
      <c r="I331" s="192">
        <f>ROUNDUP(I297*'Plant-side Costs'!$D$78/2,0)*2</f>
        <v>8</v>
      </c>
      <c r="J331" s="192">
        <f>ROUNDUP(J297*'Plant-side Costs'!$D$78/2,0)*2</f>
        <v>10</v>
      </c>
      <c r="K331" s="192">
        <f>ROUNDUP(K297*'Plant-side Costs'!$D$78/2,0)*2</f>
        <v>8</v>
      </c>
      <c r="L331" s="192">
        <f>ROUNDUP(L297*'Plant-side Costs'!$D$78/2,0)*2</f>
        <v>10</v>
      </c>
      <c r="M331" s="192">
        <f>ROUNDUP(M297*'Plant-side Costs'!$D$78/2,0)*2</f>
        <v>10</v>
      </c>
      <c r="N331" s="192">
        <f>ROUNDUP(N297*'Plant-side Costs'!$D$78/2,0)*2</f>
        <v>10</v>
      </c>
      <c r="O331" s="192">
        <f>ROUNDUP(O297*'Plant-side Costs'!$D$78/2,0)*2</f>
        <v>10</v>
      </c>
      <c r="P331" s="192">
        <f>ROUNDUP(P297*'Plant-side Costs'!$D$78/2,0)*2</f>
        <v>12</v>
      </c>
      <c r="Q331" s="192">
        <f>ROUNDUP(Q297*'Plant-side Costs'!$D$78/2,0)*2</f>
        <v>8</v>
      </c>
      <c r="R331" s="193">
        <f>ROUNDUP(R297*'Plant-side Costs'!$D$78/2,0)*2</f>
        <v>12</v>
      </c>
      <c r="S331" s="134" t="s">
        <v>119</v>
      </c>
      <c r="T331" s="134" t="s">
        <v>153</v>
      </c>
    </row>
    <row r="332" spans="1:20" hidden="1" x14ac:dyDescent="0.25">
      <c r="A332" s="47" t="s">
        <v>117</v>
      </c>
      <c r="B332" s="80" t="s">
        <v>94</v>
      </c>
      <c r="C332" s="82">
        <f>9113.3+750.7*C331</f>
        <v>16620.3</v>
      </c>
      <c r="D332" s="82">
        <f t="shared" ref="D332:R332" si="110">9113.3+750.7*D331</f>
        <v>18121.7</v>
      </c>
      <c r="E332" s="82">
        <f t="shared" si="110"/>
        <v>16620.3</v>
      </c>
      <c r="F332" s="82">
        <f t="shared" si="110"/>
        <v>18121.7</v>
      </c>
      <c r="G332" s="82">
        <f t="shared" si="110"/>
        <v>16620.3</v>
      </c>
      <c r="H332" s="82">
        <f t="shared" si="110"/>
        <v>15118.9</v>
      </c>
      <c r="I332" s="82">
        <f t="shared" si="110"/>
        <v>15118.9</v>
      </c>
      <c r="J332" s="82">
        <f t="shared" si="110"/>
        <v>16620.3</v>
      </c>
      <c r="K332" s="82">
        <f t="shared" si="110"/>
        <v>15118.9</v>
      </c>
      <c r="L332" s="82">
        <f t="shared" si="110"/>
        <v>16620.3</v>
      </c>
      <c r="M332" s="82">
        <f t="shared" si="110"/>
        <v>16620.3</v>
      </c>
      <c r="N332" s="82">
        <f t="shared" si="110"/>
        <v>16620.3</v>
      </c>
      <c r="O332" s="82">
        <f t="shared" si="110"/>
        <v>16620.3</v>
      </c>
      <c r="P332" s="82">
        <f t="shared" si="110"/>
        <v>18121.7</v>
      </c>
      <c r="Q332" s="82">
        <f t="shared" si="110"/>
        <v>15118.9</v>
      </c>
      <c r="R332" s="83">
        <f t="shared" si="110"/>
        <v>18121.7</v>
      </c>
      <c r="S332" s="82"/>
      <c r="T332" s="82" t="s">
        <v>91</v>
      </c>
    </row>
    <row r="333" spans="1:20" hidden="1" x14ac:dyDescent="0.25">
      <c r="A333" s="79"/>
      <c r="B333" s="80"/>
      <c r="C333" s="80"/>
      <c r="D333" s="80"/>
      <c r="E333" s="80"/>
      <c r="F333" s="80"/>
      <c r="G333" s="80"/>
      <c r="H333" s="80"/>
      <c r="I333" s="80"/>
      <c r="J333" s="80"/>
      <c r="K333" s="80"/>
      <c r="L333" s="80"/>
      <c r="M333" s="80"/>
      <c r="N333" s="80"/>
      <c r="O333" s="80"/>
      <c r="P333" s="80"/>
      <c r="Q333" s="80"/>
      <c r="R333" s="81"/>
      <c r="S333" s="80"/>
      <c r="T333" s="84"/>
    </row>
    <row r="334" spans="1:20" hidden="1" x14ac:dyDescent="0.25">
      <c r="A334" s="47" t="s">
        <v>154</v>
      </c>
      <c r="B334" s="80" t="s">
        <v>155</v>
      </c>
      <c r="C334" s="89">
        <f t="shared" ref="C334:R334" si="111">(10*C297)-(C322/21.43)</f>
        <v>1594.1203919738684</v>
      </c>
      <c r="D334" s="89">
        <f t="shared" si="111"/>
        <v>1694.1203919738684</v>
      </c>
      <c r="E334" s="89">
        <f t="shared" si="111"/>
        <v>1394.1203919738684</v>
      </c>
      <c r="F334" s="89">
        <f t="shared" si="111"/>
        <v>1694.1203919738684</v>
      </c>
      <c r="G334" s="89">
        <f t="shared" si="111"/>
        <v>1494.1203919738684</v>
      </c>
      <c r="H334" s="89">
        <f t="shared" si="111"/>
        <v>994.12039197386844</v>
      </c>
      <c r="I334" s="89">
        <f t="shared" si="111"/>
        <v>994.12039197386844</v>
      </c>
      <c r="J334" s="89">
        <f t="shared" si="111"/>
        <v>1294.1203919738684</v>
      </c>
      <c r="K334" s="89">
        <f t="shared" si="111"/>
        <v>1194.1203919738684</v>
      </c>
      <c r="L334" s="89">
        <f t="shared" si="111"/>
        <v>1294.1203919738684</v>
      </c>
      <c r="M334" s="89">
        <f t="shared" si="111"/>
        <v>1594.1203919738684</v>
      </c>
      <c r="N334" s="89">
        <f t="shared" si="111"/>
        <v>1594.1203919738684</v>
      </c>
      <c r="O334" s="89">
        <f t="shared" si="111"/>
        <v>1494.1203919738684</v>
      </c>
      <c r="P334" s="89">
        <f t="shared" si="111"/>
        <v>1694.1203919738684</v>
      </c>
      <c r="Q334" s="89">
        <f t="shared" si="111"/>
        <v>1094.1203919738684</v>
      </c>
      <c r="R334" s="90">
        <f t="shared" si="111"/>
        <v>1694.1203919738684</v>
      </c>
      <c r="S334" s="89" t="s">
        <v>156</v>
      </c>
      <c r="T334" s="89" t="s">
        <v>198</v>
      </c>
    </row>
    <row r="335" spans="1:20" hidden="1" x14ac:dyDescent="0.25">
      <c r="A335" s="79"/>
      <c r="B335" s="80" t="s">
        <v>158</v>
      </c>
      <c r="C335" s="80">
        <f>ROUNDUP(C334/25,0)*25</f>
        <v>1600</v>
      </c>
      <c r="D335" s="80">
        <f t="shared" ref="D335:R335" si="112">ROUNDUP(D334/25,0)*25</f>
        <v>1700</v>
      </c>
      <c r="E335" s="80">
        <f t="shared" si="112"/>
        <v>1400</v>
      </c>
      <c r="F335" s="80">
        <f t="shared" si="112"/>
        <v>1700</v>
      </c>
      <c r="G335" s="80">
        <f t="shared" si="112"/>
        <v>1500</v>
      </c>
      <c r="H335" s="80">
        <f t="shared" si="112"/>
        <v>1000</v>
      </c>
      <c r="I335" s="80">
        <f t="shared" si="112"/>
        <v>1000</v>
      </c>
      <c r="J335" s="80">
        <f t="shared" si="112"/>
        <v>1300</v>
      </c>
      <c r="K335" s="80">
        <f t="shared" si="112"/>
        <v>1200</v>
      </c>
      <c r="L335" s="80">
        <f t="shared" si="112"/>
        <v>1300</v>
      </c>
      <c r="M335" s="80">
        <f t="shared" si="112"/>
        <v>1600</v>
      </c>
      <c r="N335" s="80">
        <f t="shared" si="112"/>
        <v>1600</v>
      </c>
      <c r="O335" s="80">
        <f t="shared" si="112"/>
        <v>1500</v>
      </c>
      <c r="P335" s="80">
        <f t="shared" si="112"/>
        <v>1700</v>
      </c>
      <c r="Q335" s="80">
        <f t="shared" si="112"/>
        <v>1100</v>
      </c>
      <c r="R335" s="81">
        <f t="shared" si="112"/>
        <v>1700</v>
      </c>
      <c r="S335" s="80" t="s">
        <v>156</v>
      </c>
      <c r="T335" s="80" t="s">
        <v>199</v>
      </c>
    </row>
    <row r="336" spans="1:20" hidden="1" x14ac:dyDescent="0.25">
      <c r="A336" s="79"/>
      <c r="B336" s="80" t="s">
        <v>101</v>
      </c>
      <c r="C336" s="80"/>
      <c r="D336" s="80"/>
      <c r="E336" s="80"/>
      <c r="F336" s="80"/>
      <c r="G336" s="80"/>
      <c r="H336" s="80"/>
      <c r="I336" s="80"/>
      <c r="J336" s="80"/>
      <c r="K336" s="80"/>
      <c r="L336" s="80"/>
      <c r="M336" s="80"/>
      <c r="N336" s="80"/>
      <c r="O336" s="80"/>
      <c r="P336" s="80"/>
      <c r="Q336" s="80"/>
      <c r="R336" s="81"/>
      <c r="S336" s="80"/>
      <c r="T336" s="80"/>
    </row>
    <row r="337" spans="1:20" hidden="1" x14ac:dyDescent="0.25">
      <c r="A337" s="79"/>
      <c r="B337" s="80" t="s">
        <v>90</v>
      </c>
      <c r="C337" s="82">
        <f>440.71+20.493*C335</f>
        <v>33229.509999999995</v>
      </c>
      <c r="D337" s="82">
        <f t="shared" ref="D337:R337" si="113">440.71+20.493*D335</f>
        <v>35278.81</v>
      </c>
      <c r="E337" s="82">
        <f t="shared" si="113"/>
        <v>29130.909999999996</v>
      </c>
      <c r="F337" s="82">
        <f t="shared" si="113"/>
        <v>35278.81</v>
      </c>
      <c r="G337" s="82">
        <f t="shared" si="113"/>
        <v>31180.209999999995</v>
      </c>
      <c r="H337" s="82">
        <f t="shared" si="113"/>
        <v>20933.71</v>
      </c>
      <c r="I337" s="82">
        <f t="shared" si="113"/>
        <v>20933.71</v>
      </c>
      <c r="J337" s="82">
        <f t="shared" si="113"/>
        <v>27081.609999999997</v>
      </c>
      <c r="K337" s="82">
        <f t="shared" si="113"/>
        <v>25032.309999999998</v>
      </c>
      <c r="L337" s="82">
        <f t="shared" si="113"/>
        <v>27081.609999999997</v>
      </c>
      <c r="M337" s="82">
        <f t="shared" si="113"/>
        <v>33229.509999999995</v>
      </c>
      <c r="N337" s="82">
        <f t="shared" si="113"/>
        <v>33229.509999999995</v>
      </c>
      <c r="O337" s="82">
        <f t="shared" si="113"/>
        <v>31180.209999999995</v>
      </c>
      <c r="P337" s="82">
        <f t="shared" si="113"/>
        <v>35278.81</v>
      </c>
      <c r="Q337" s="82">
        <f t="shared" si="113"/>
        <v>22983.01</v>
      </c>
      <c r="R337" s="83">
        <f t="shared" si="113"/>
        <v>35278.81</v>
      </c>
      <c r="S337" s="82"/>
      <c r="T337" s="82" t="s">
        <v>214</v>
      </c>
    </row>
    <row r="338" spans="1:20" hidden="1" x14ac:dyDescent="0.25">
      <c r="A338" s="79"/>
      <c r="B338" s="80" t="s">
        <v>92</v>
      </c>
      <c r="C338" s="91"/>
      <c r="D338" s="91"/>
      <c r="E338" s="91"/>
      <c r="F338" s="91"/>
      <c r="G338" s="91"/>
      <c r="H338" s="91"/>
      <c r="I338" s="91"/>
      <c r="J338" s="91"/>
      <c r="K338" s="91"/>
      <c r="L338" s="91"/>
      <c r="M338" s="91"/>
      <c r="N338" s="91"/>
      <c r="O338" s="91"/>
      <c r="P338" s="91"/>
      <c r="Q338" s="91"/>
      <c r="R338" s="92"/>
      <c r="S338" s="91"/>
      <c r="T338" s="91"/>
    </row>
    <row r="339" spans="1:20" hidden="1" x14ac:dyDescent="0.25">
      <c r="A339" s="79"/>
      <c r="B339" s="80" t="s">
        <v>93</v>
      </c>
      <c r="C339" s="86">
        <v>0.15</v>
      </c>
      <c r="D339" s="86">
        <v>0.15</v>
      </c>
      <c r="E339" s="86">
        <v>0.15</v>
      </c>
      <c r="F339" s="86">
        <v>0.15</v>
      </c>
      <c r="G339" s="86">
        <v>0.15</v>
      </c>
      <c r="H339" s="86">
        <v>0.15</v>
      </c>
      <c r="I339" s="86">
        <v>0.15</v>
      </c>
      <c r="J339" s="86">
        <v>0.15</v>
      </c>
      <c r="K339" s="86">
        <v>0.15</v>
      </c>
      <c r="L339" s="86">
        <v>0.15</v>
      </c>
      <c r="M339" s="86">
        <v>0.15</v>
      </c>
      <c r="N339" s="86">
        <v>0.15</v>
      </c>
      <c r="O339" s="86">
        <v>0.15</v>
      </c>
      <c r="P339" s="86">
        <v>0.15</v>
      </c>
      <c r="Q339" s="86">
        <v>0.15</v>
      </c>
      <c r="R339" s="87">
        <v>0.15</v>
      </c>
      <c r="S339" s="86"/>
      <c r="T339" s="86"/>
    </row>
    <row r="340" spans="1:20" hidden="1" x14ac:dyDescent="0.25">
      <c r="A340" s="79"/>
      <c r="B340" s="80" t="s">
        <v>94</v>
      </c>
      <c r="C340" s="82">
        <f>C337*(1+C339)</f>
        <v>38213.936499999989</v>
      </c>
      <c r="D340" s="82">
        <f t="shared" ref="D340:R340" si="114">D337*(1+D339)</f>
        <v>40570.631499999996</v>
      </c>
      <c r="E340" s="82">
        <f t="shared" si="114"/>
        <v>33500.546499999989</v>
      </c>
      <c r="F340" s="82">
        <f t="shared" si="114"/>
        <v>40570.631499999996</v>
      </c>
      <c r="G340" s="82">
        <f t="shared" si="114"/>
        <v>35857.241499999989</v>
      </c>
      <c r="H340" s="82">
        <f t="shared" si="114"/>
        <v>24073.766499999998</v>
      </c>
      <c r="I340" s="82">
        <f t="shared" si="114"/>
        <v>24073.766499999998</v>
      </c>
      <c r="J340" s="82">
        <f t="shared" si="114"/>
        <v>31143.851499999993</v>
      </c>
      <c r="K340" s="82">
        <f t="shared" si="114"/>
        <v>28787.156499999994</v>
      </c>
      <c r="L340" s="82">
        <f t="shared" si="114"/>
        <v>31143.851499999993</v>
      </c>
      <c r="M340" s="82">
        <f t="shared" si="114"/>
        <v>38213.936499999989</v>
      </c>
      <c r="N340" s="82">
        <f t="shared" si="114"/>
        <v>38213.936499999989</v>
      </c>
      <c r="O340" s="82">
        <f t="shared" si="114"/>
        <v>35857.241499999989</v>
      </c>
      <c r="P340" s="82">
        <f t="shared" si="114"/>
        <v>40570.631499999996</v>
      </c>
      <c r="Q340" s="82">
        <f t="shared" si="114"/>
        <v>26430.461499999998</v>
      </c>
      <c r="R340" s="83">
        <f t="shared" si="114"/>
        <v>40570.631499999996</v>
      </c>
      <c r="S340" s="82"/>
      <c r="T340" s="82"/>
    </row>
    <row r="341" spans="1:20" hidden="1" x14ac:dyDescent="0.25">
      <c r="A341" s="79"/>
      <c r="B341" s="80"/>
      <c r="C341" s="80"/>
      <c r="D341" s="80"/>
      <c r="E341" s="80"/>
      <c r="F341" s="80"/>
      <c r="G341" s="80"/>
      <c r="H341" s="80"/>
      <c r="I341" s="80"/>
      <c r="J341" s="80"/>
      <c r="K341" s="80"/>
      <c r="L341" s="80"/>
      <c r="M341" s="80"/>
      <c r="N341" s="80"/>
      <c r="O341" s="80"/>
      <c r="P341" s="80"/>
      <c r="Q341" s="80"/>
      <c r="R341" s="81"/>
      <c r="S341" s="80"/>
      <c r="T341" s="80"/>
    </row>
    <row r="342" spans="1:20" hidden="1" x14ac:dyDescent="0.25">
      <c r="A342" s="47" t="s">
        <v>165</v>
      </c>
      <c r="B342" s="93" t="s">
        <v>166</v>
      </c>
      <c r="C342" s="89">
        <f t="shared" ref="C342:R342" si="115">C297*12000/3412</f>
        <v>633.05978898007038</v>
      </c>
      <c r="D342" s="89">
        <f t="shared" si="115"/>
        <v>668.22977725674093</v>
      </c>
      <c r="E342" s="89">
        <f t="shared" si="115"/>
        <v>562.71981242672916</v>
      </c>
      <c r="F342" s="89">
        <f t="shared" si="115"/>
        <v>668.22977725674093</v>
      </c>
      <c r="G342" s="89">
        <f t="shared" si="115"/>
        <v>597.88980070339971</v>
      </c>
      <c r="H342" s="89">
        <f t="shared" si="115"/>
        <v>422.0398593200469</v>
      </c>
      <c r="I342" s="89">
        <f t="shared" si="115"/>
        <v>422.0398593200469</v>
      </c>
      <c r="J342" s="89">
        <f t="shared" si="115"/>
        <v>527.54982415005861</v>
      </c>
      <c r="K342" s="89">
        <f t="shared" si="115"/>
        <v>492.37983587338806</v>
      </c>
      <c r="L342" s="89">
        <f t="shared" si="115"/>
        <v>527.54982415005861</v>
      </c>
      <c r="M342" s="89">
        <f t="shared" si="115"/>
        <v>633.05978898007038</v>
      </c>
      <c r="N342" s="89">
        <f t="shared" si="115"/>
        <v>633.05978898007038</v>
      </c>
      <c r="O342" s="89">
        <f t="shared" si="115"/>
        <v>597.88980070339971</v>
      </c>
      <c r="P342" s="89">
        <f t="shared" si="115"/>
        <v>668.22977725674093</v>
      </c>
      <c r="Q342" s="89">
        <f t="shared" si="115"/>
        <v>457.20984759671745</v>
      </c>
      <c r="R342" s="90">
        <f t="shared" si="115"/>
        <v>668.22977725674093</v>
      </c>
      <c r="S342" s="89" t="s">
        <v>167</v>
      </c>
      <c r="T342" s="89" t="s">
        <v>201</v>
      </c>
    </row>
    <row r="343" spans="1:20" hidden="1" x14ac:dyDescent="0.25">
      <c r="A343" s="79"/>
      <c r="B343" s="80" t="s">
        <v>89</v>
      </c>
      <c r="C343" s="80">
        <v>1</v>
      </c>
      <c r="D343" s="80">
        <v>1</v>
      </c>
      <c r="E343" s="80">
        <v>1</v>
      </c>
      <c r="F343" s="80">
        <v>1</v>
      </c>
      <c r="G343" s="80">
        <v>1</v>
      </c>
      <c r="H343" s="80">
        <v>1</v>
      </c>
      <c r="I343" s="80">
        <v>1</v>
      </c>
      <c r="J343" s="80">
        <v>1</v>
      </c>
      <c r="K343" s="80">
        <v>1</v>
      </c>
      <c r="L343" s="80">
        <v>1</v>
      </c>
      <c r="M343" s="80">
        <v>1</v>
      </c>
      <c r="N343" s="80">
        <v>1</v>
      </c>
      <c r="O343" s="80">
        <v>1</v>
      </c>
      <c r="P343" s="80">
        <v>1</v>
      </c>
      <c r="Q343" s="80">
        <v>1</v>
      </c>
      <c r="R343" s="81">
        <v>1</v>
      </c>
      <c r="S343" s="80"/>
      <c r="T343" s="80"/>
    </row>
    <row r="344" spans="1:20" hidden="1" x14ac:dyDescent="0.25">
      <c r="A344" s="79"/>
      <c r="B344" s="80" t="s">
        <v>169</v>
      </c>
      <c r="C344" s="82">
        <f>5161.1+40.059*C342</f>
        <v>30520.842086752637</v>
      </c>
      <c r="D344" s="82">
        <f t="shared" ref="D344:R344" si="116">5161.1+40.059*D342</f>
        <v>31929.716647127781</v>
      </c>
      <c r="E344" s="82">
        <f t="shared" si="116"/>
        <v>27703.092966002339</v>
      </c>
      <c r="F344" s="82">
        <f t="shared" si="116"/>
        <v>31929.716647127781</v>
      </c>
      <c r="G344" s="82">
        <f t="shared" si="116"/>
        <v>29111.967526377492</v>
      </c>
      <c r="H344" s="82">
        <f t="shared" si="116"/>
        <v>22067.59472450176</v>
      </c>
      <c r="I344" s="82">
        <f t="shared" si="116"/>
        <v>22067.59472450176</v>
      </c>
      <c r="J344" s="82">
        <f t="shared" si="116"/>
        <v>26294.218405627194</v>
      </c>
      <c r="K344" s="82">
        <f t="shared" si="116"/>
        <v>24885.34384525205</v>
      </c>
      <c r="L344" s="82">
        <f t="shared" si="116"/>
        <v>26294.218405627194</v>
      </c>
      <c r="M344" s="82">
        <f t="shared" si="116"/>
        <v>30520.842086752637</v>
      </c>
      <c r="N344" s="82">
        <f t="shared" si="116"/>
        <v>30520.842086752637</v>
      </c>
      <c r="O344" s="82">
        <f t="shared" si="116"/>
        <v>29111.967526377492</v>
      </c>
      <c r="P344" s="82">
        <f t="shared" si="116"/>
        <v>31929.716647127781</v>
      </c>
      <c r="Q344" s="82">
        <f t="shared" si="116"/>
        <v>23476.469284876905</v>
      </c>
      <c r="R344" s="83">
        <f t="shared" si="116"/>
        <v>31929.716647127781</v>
      </c>
      <c r="S344" s="89"/>
      <c r="T344" s="89" t="s">
        <v>202</v>
      </c>
    </row>
    <row r="345" spans="1:20" hidden="1" x14ac:dyDescent="0.25">
      <c r="A345" s="79"/>
      <c r="B345" s="80" t="s">
        <v>93</v>
      </c>
      <c r="C345" s="86">
        <v>0.15</v>
      </c>
      <c r="D345" s="86">
        <v>0.15</v>
      </c>
      <c r="E345" s="86">
        <v>0.15</v>
      </c>
      <c r="F345" s="86">
        <v>0.15</v>
      </c>
      <c r="G345" s="86">
        <v>0.15</v>
      </c>
      <c r="H345" s="86">
        <v>0.15</v>
      </c>
      <c r="I345" s="86">
        <v>0.15</v>
      </c>
      <c r="J345" s="86">
        <v>0.15</v>
      </c>
      <c r="K345" s="86">
        <v>0.15</v>
      </c>
      <c r="L345" s="86">
        <v>0.15</v>
      </c>
      <c r="M345" s="86">
        <v>0.15</v>
      </c>
      <c r="N345" s="86">
        <v>0.15</v>
      </c>
      <c r="O345" s="86">
        <v>0.15</v>
      </c>
      <c r="P345" s="86">
        <v>0.15</v>
      </c>
      <c r="Q345" s="86">
        <v>0.15</v>
      </c>
      <c r="R345" s="87">
        <v>0.15</v>
      </c>
      <c r="S345" s="86"/>
      <c r="T345" s="86"/>
    </row>
    <row r="346" spans="1:20" hidden="1" x14ac:dyDescent="0.25">
      <c r="A346" s="79"/>
      <c r="B346" s="80" t="s">
        <v>94</v>
      </c>
      <c r="C346" s="82">
        <f>C344*(1+C345)</f>
        <v>35098.96839976553</v>
      </c>
      <c r="D346" s="82">
        <f t="shared" ref="D346:R346" si="117">D344*(1+D345)</f>
        <v>36719.174144196943</v>
      </c>
      <c r="E346" s="82">
        <f t="shared" si="117"/>
        <v>31858.556910902687</v>
      </c>
      <c r="F346" s="82">
        <f t="shared" si="117"/>
        <v>36719.174144196943</v>
      </c>
      <c r="G346" s="82">
        <f t="shared" si="117"/>
        <v>33478.762655334111</v>
      </c>
      <c r="H346" s="82">
        <f t="shared" si="117"/>
        <v>25377.73393317702</v>
      </c>
      <c r="I346" s="82">
        <f t="shared" si="117"/>
        <v>25377.73393317702</v>
      </c>
      <c r="J346" s="82">
        <f t="shared" si="117"/>
        <v>30238.351166471271</v>
      </c>
      <c r="K346" s="82">
        <f t="shared" si="117"/>
        <v>28618.145422039855</v>
      </c>
      <c r="L346" s="82">
        <f t="shared" si="117"/>
        <v>30238.351166471271</v>
      </c>
      <c r="M346" s="82">
        <f t="shared" si="117"/>
        <v>35098.96839976553</v>
      </c>
      <c r="N346" s="82">
        <f t="shared" si="117"/>
        <v>35098.96839976553</v>
      </c>
      <c r="O346" s="82">
        <f t="shared" si="117"/>
        <v>33478.762655334111</v>
      </c>
      <c r="P346" s="82">
        <f t="shared" si="117"/>
        <v>36719.174144196943</v>
      </c>
      <c r="Q346" s="82">
        <f t="shared" si="117"/>
        <v>26997.93967760844</v>
      </c>
      <c r="R346" s="83">
        <f t="shared" si="117"/>
        <v>36719.174144196943</v>
      </c>
      <c r="S346" s="82"/>
      <c r="T346" s="82"/>
    </row>
    <row r="347" spans="1:20" hidden="1" x14ac:dyDescent="0.25">
      <c r="A347" s="79"/>
      <c r="B347" s="80"/>
      <c r="C347" s="80"/>
      <c r="D347" s="80"/>
      <c r="E347" s="80"/>
      <c r="F347" s="80"/>
      <c r="G347" s="80"/>
      <c r="H347" s="80"/>
      <c r="I347" s="80"/>
      <c r="J347" s="80"/>
      <c r="K347" s="80"/>
      <c r="L347" s="80"/>
      <c r="M347" s="80"/>
      <c r="N347" s="80"/>
      <c r="O347" s="80"/>
      <c r="P347" s="80"/>
      <c r="Q347" s="80"/>
      <c r="R347" s="81"/>
      <c r="S347" s="80"/>
      <c r="T347" s="80"/>
    </row>
    <row r="348" spans="1:20" hidden="1" x14ac:dyDescent="0.25">
      <c r="A348" s="47" t="s">
        <v>121</v>
      </c>
      <c r="B348" s="80" t="s">
        <v>122</v>
      </c>
      <c r="C348" s="94">
        <f t="shared" ref="C348:R348" si="118">SUMIF($B297:$B346,"Subtotal",C297:C346)</f>
        <v>2596644.8728747647</v>
      </c>
      <c r="D348" s="94">
        <f t="shared" si="118"/>
        <v>2641506.1482541971</v>
      </c>
      <c r="E348" s="94">
        <f t="shared" si="118"/>
        <v>2592760.6277909023</v>
      </c>
      <c r="F348" s="94">
        <f t="shared" si="118"/>
        <v>2653112.6868991968</v>
      </c>
      <c r="G348" s="94">
        <f t="shared" si="118"/>
        <v>2596987.9946253337</v>
      </c>
      <c r="H348" s="94">
        <f t="shared" si="118"/>
        <v>2519037.7713831761</v>
      </c>
      <c r="I348" s="94">
        <f t="shared" si="118"/>
        <v>2521719.2228181763</v>
      </c>
      <c r="J348" s="94">
        <f t="shared" si="118"/>
        <v>2584097.7035964709</v>
      </c>
      <c r="K348" s="94">
        <f t="shared" si="118"/>
        <v>2570523.2993520396</v>
      </c>
      <c r="L348" s="94">
        <f t="shared" si="118"/>
        <v>2591349.6436164705</v>
      </c>
      <c r="M348" s="94">
        <f t="shared" si="118"/>
        <v>2654638.3133797646</v>
      </c>
      <c r="N348" s="94">
        <f t="shared" si="118"/>
        <v>2631157.8269347651</v>
      </c>
      <c r="O348" s="94">
        <f t="shared" si="118"/>
        <v>2631954.8082603337</v>
      </c>
      <c r="P348" s="94">
        <f t="shared" si="118"/>
        <v>2699136.5010991967</v>
      </c>
      <c r="Q348" s="94">
        <f t="shared" si="118"/>
        <v>2585294.2489976082</v>
      </c>
      <c r="R348" s="95">
        <f t="shared" si="118"/>
        <v>2720404.1154541969</v>
      </c>
      <c r="S348" s="99"/>
      <c r="T348" s="99"/>
    </row>
    <row r="349" spans="1:20" hidden="1" x14ac:dyDescent="0.25">
      <c r="A349" s="79"/>
      <c r="B349" s="80"/>
      <c r="C349" s="80"/>
      <c r="D349" s="80"/>
      <c r="E349" s="80"/>
      <c r="F349" s="80"/>
      <c r="G349" s="80"/>
      <c r="H349" s="80"/>
      <c r="I349" s="80"/>
      <c r="J349" s="80"/>
      <c r="K349" s="80"/>
      <c r="L349" s="80"/>
      <c r="M349" s="80"/>
      <c r="N349" s="80"/>
      <c r="O349" s="80"/>
      <c r="P349" s="80"/>
      <c r="Q349" s="80"/>
      <c r="R349" s="81"/>
      <c r="S349" s="80"/>
      <c r="T349" s="80"/>
    </row>
    <row r="350" spans="1:20" hidden="1" x14ac:dyDescent="0.25">
      <c r="A350" s="79"/>
      <c r="B350" s="80" t="s">
        <v>123</v>
      </c>
      <c r="C350" s="82">
        <f t="shared" ref="C350:R350" si="119">2.5*$C$3</f>
        <v>527215</v>
      </c>
      <c r="D350" s="82">
        <f t="shared" si="119"/>
        <v>527215</v>
      </c>
      <c r="E350" s="82">
        <f t="shared" si="119"/>
        <v>527215</v>
      </c>
      <c r="F350" s="82">
        <f t="shared" si="119"/>
        <v>527215</v>
      </c>
      <c r="G350" s="82">
        <f t="shared" si="119"/>
        <v>527215</v>
      </c>
      <c r="H350" s="82">
        <f t="shared" si="119"/>
        <v>527215</v>
      </c>
      <c r="I350" s="82">
        <f t="shared" si="119"/>
        <v>527215</v>
      </c>
      <c r="J350" s="82">
        <f t="shared" si="119"/>
        <v>527215</v>
      </c>
      <c r="K350" s="82">
        <f t="shared" si="119"/>
        <v>527215</v>
      </c>
      <c r="L350" s="82">
        <f t="shared" si="119"/>
        <v>527215</v>
      </c>
      <c r="M350" s="82">
        <f t="shared" si="119"/>
        <v>527215</v>
      </c>
      <c r="N350" s="82">
        <f t="shared" si="119"/>
        <v>527215</v>
      </c>
      <c r="O350" s="82">
        <f t="shared" si="119"/>
        <v>527215</v>
      </c>
      <c r="P350" s="82">
        <f t="shared" si="119"/>
        <v>527215</v>
      </c>
      <c r="Q350" s="82">
        <f t="shared" si="119"/>
        <v>527215</v>
      </c>
      <c r="R350" s="83">
        <f t="shared" si="119"/>
        <v>527215</v>
      </c>
      <c r="S350" s="82"/>
      <c r="T350" s="82" t="s">
        <v>124</v>
      </c>
    </row>
    <row r="351" spans="1:20" hidden="1" x14ac:dyDescent="0.25">
      <c r="A351" s="79"/>
      <c r="B351" s="80" t="s">
        <v>125</v>
      </c>
      <c r="C351" s="82">
        <f>200*160</f>
        <v>32000</v>
      </c>
      <c r="D351" s="82">
        <f t="shared" ref="D351:R351" si="120">200*160</f>
        <v>32000</v>
      </c>
      <c r="E351" s="82">
        <f t="shared" si="120"/>
        <v>32000</v>
      </c>
      <c r="F351" s="82">
        <f t="shared" si="120"/>
        <v>32000</v>
      </c>
      <c r="G351" s="82">
        <f t="shared" si="120"/>
        <v>32000</v>
      </c>
      <c r="H351" s="82">
        <f t="shared" si="120"/>
        <v>32000</v>
      </c>
      <c r="I351" s="82">
        <f t="shared" si="120"/>
        <v>32000</v>
      </c>
      <c r="J351" s="82">
        <f t="shared" si="120"/>
        <v>32000</v>
      </c>
      <c r="K351" s="82">
        <f t="shared" si="120"/>
        <v>32000</v>
      </c>
      <c r="L351" s="82">
        <f t="shared" si="120"/>
        <v>32000</v>
      </c>
      <c r="M351" s="82">
        <f t="shared" si="120"/>
        <v>32000</v>
      </c>
      <c r="N351" s="82">
        <f t="shared" si="120"/>
        <v>32000</v>
      </c>
      <c r="O351" s="82">
        <f t="shared" si="120"/>
        <v>32000</v>
      </c>
      <c r="P351" s="82">
        <f t="shared" si="120"/>
        <v>32000</v>
      </c>
      <c r="Q351" s="82">
        <f t="shared" si="120"/>
        <v>32000</v>
      </c>
      <c r="R351" s="83">
        <f t="shared" si="120"/>
        <v>32000</v>
      </c>
      <c r="S351" s="82"/>
      <c r="T351" s="82" t="s">
        <v>126</v>
      </c>
    </row>
    <row r="352" spans="1:20" hidden="1" x14ac:dyDescent="0.25">
      <c r="A352" s="79"/>
      <c r="B352" s="80"/>
      <c r="C352" s="80"/>
      <c r="D352" s="80"/>
      <c r="E352" s="80"/>
      <c r="F352" s="80"/>
      <c r="G352" s="80"/>
      <c r="H352" s="80"/>
      <c r="I352" s="80"/>
      <c r="J352" s="80"/>
      <c r="K352" s="80"/>
      <c r="L352" s="80"/>
      <c r="M352" s="80"/>
      <c r="N352" s="80"/>
      <c r="O352" s="80"/>
      <c r="P352" s="80"/>
      <c r="Q352" s="80"/>
      <c r="R352" s="81"/>
      <c r="S352" s="80"/>
      <c r="T352" s="80"/>
    </row>
    <row r="353" spans="1:20" hidden="1" x14ac:dyDescent="0.25">
      <c r="A353" s="47" t="s">
        <v>127</v>
      </c>
      <c r="B353" s="80" t="s">
        <v>128</v>
      </c>
      <c r="C353" s="94">
        <f>SUM(C348,C350,C351)</f>
        <v>3155859.8728747647</v>
      </c>
      <c r="D353" s="94">
        <f t="shared" ref="D353:R353" si="121">SUM(D348,D350,D351)</f>
        <v>3200721.1482541971</v>
      </c>
      <c r="E353" s="94">
        <f t="shared" si="121"/>
        <v>3151975.6277909023</v>
      </c>
      <c r="F353" s="94">
        <f t="shared" si="121"/>
        <v>3212327.6868991968</v>
      </c>
      <c r="G353" s="94">
        <f t="shared" si="121"/>
        <v>3156202.9946253337</v>
      </c>
      <c r="H353" s="94">
        <f t="shared" si="121"/>
        <v>3078252.7713831761</v>
      </c>
      <c r="I353" s="94">
        <f t="shared" si="121"/>
        <v>3080934.2228181763</v>
      </c>
      <c r="J353" s="94">
        <f t="shared" si="121"/>
        <v>3143312.7035964709</v>
      </c>
      <c r="K353" s="94">
        <f t="shared" si="121"/>
        <v>3129738.2993520396</v>
      </c>
      <c r="L353" s="94">
        <f t="shared" si="121"/>
        <v>3150564.6436164705</v>
      </c>
      <c r="M353" s="94">
        <f t="shared" si="121"/>
        <v>3213853.3133797646</v>
      </c>
      <c r="N353" s="94">
        <f t="shared" si="121"/>
        <v>3190372.8269347651</v>
      </c>
      <c r="O353" s="94">
        <f t="shared" si="121"/>
        <v>3191169.8082603337</v>
      </c>
      <c r="P353" s="94">
        <f t="shared" si="121"/>
        <v>3258351.5010991967</v>
      </c>
      <c r="Q353" s="94">
        <f t="shared" si="121"/>
        <v>3144509.2489976082</v>
      </c>
      <c r="R353" s="95">
        <f t="shared" si="121"/>
        <v>3279619.1154541969</v>
      </c>
      <c r="S353" s="99"/>
      <c r="T353" s="99"/>
    </row>
    <row r="354" spans="1:20" hidden="1" x14ac:dyDescent="0.25">
      <c r="A354" s="79"/>
      <c r="B354" s="80"/>
      <c r="C354" s="80"/>
      <c r="D354" s="80"/>
      <c r="E354" s="80"/>
      <c r="F354" s="80"/>
      <c r="G354" s="80"/>
      <c r="H354" s="80"/>
      <c r="I354" s="80"/>
      <c r="J354" s="80"/>
      <c r="K354" s="80"/>
      <c r="L354" s="80"/>
      <c r="M354" s="80"/>
      <c r="N354" s="80"/>
      <c r="O354" s="80"/>
      <c r="P354" s="80"/>
      <c r="Q354" s="80"/>
      <c r="R354" s="81"/>
      <c r="S354" s="80"/>
      <c r="T354" s="80"/>
    </row>
    <row r="355" spans="1:20" hidden="1" x14ac:dyDescent="0.25">
      <c r="A355" s="96"/>
      <c r="B355" s="97"/>
      <c r="C355" s="97"/>
      <c r="D355" s="97"/>
      <c r="E355" s="97"/>
      <c r="F355" s="97"/>
      <c r="G355" s="97"/>
      <c r="H355" s="97"/>
      <c r="I355" s="97"/>
      <c r="J355" s="97"/>
      <c r="K355" s="97"/>
      <c r="L355" s="97"/>
      <c r="M355" s="97"/>
      <c r="N355" s="97"/>
      <c r="O355" s="97"/>
      <c r="P355" s="97"/>
      <c r="Q355" s="97"/>
      <c r="R355" s="98"/>
      <c r="S355" s="80"/>
      <c r="T355" s="80"/>
    </row>
  </sheetData>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05233-657D-4612-B090-5DCBA77590B4}">
  <dimension ref="B2:R149"/>
  <sheetViews>
    <sheetView zoomScale="85" zoomScaleNormal="85" workbookViewId="0">
      <selection activeCell="B1" sqref="B1"/>
    </sheetView>
    <sheetView topLeftCell="A65" workbookViewId="1"/>
  </sheetViews>
  <sheetFormatPr defaultRowHeight="15" x14ac:dyDescent="0.25"/>
  <cols>
    <col min="3" max="3" width="11" customWidth="1"/>
    <col min="4" max="4" width="17.42578125" customWidth="1"/>
    <col min="5" max="5" width="10.5703125" bestFit="1" customWidth="1"/>
    <col min="6" max="6" width="10" bestFit="1" customWidth="1"/>
    <col min="7" max="7" width="15.5703125" customWidth="1"/>
    <col min="10" max="10" width="10" bestFit="1" customWidth="1"/>
  </cols>
  <sheetData>
    <row r="2" spans="2:9" ht="23.25" x14ac:dyDescent="0.35">
      <c r="B2" s="150" t="s">
        <v>215</v>
      </c>
    </row>
    <row r="4" spans="2:9" x14ac:dyDescent="0.25">
      <c r="C4" t="s">
        <v>216</v>
      </c>
      <c r="I4" t="s">
        <v>217</v>
      </c>
    </row>
    <row r="7" spans="2:9" x14ac:dyDescent="0.25">
      <c r="C7" s="1" t="s">
        <v>218</v>
      </c>
    </row>
    <row r="8" spans="2:9" x14ac:dyDescent="0.25">
      <c r="C8" t="s">
        <v>219</v>
      </c>
    </row>
    <row r="9" spans="2:9" x14ac:dyDescent="0.25">
      <c r="C9" t="s">
        <v>220</v>
      </c>
      <c r="D9" t="s">
        <v>221</v>
      </c>
      <c r="E9" t="s">
        <v>222</v>
      </c>
      <c r="F9" t="s">
        <v>70</v>
      </c>
    </row>
    <row r="10" spans="2:9" x14ac:dyDescent="0.25">
      <c r="C10">
        <v>15</v>
      </c>
      <c r="D10">
        <v>1075</v>
      </c>
      <c r="E10">
        <v>46.5</v>
      </c>
      <c r="F10">
        <f>SUM(D10+E10)</f>
        <v>1121.5</v>
      </c>
    </row>
    <row r="11" spans="2:9" x14ac:dyDescent="0.25">
      <c r="C11">
        <v>30</v>
      </c>
      <c r="D11">
        <v>1200</v>
      </c>
      <c r="E11">
        <v>51</v>
      </c>
      <c r="F11">
        <f t="shared" ref="F11:F17" si="0">SUM(D11+E11)</f>
        <v>1251</v>
      </c>
    </row>
    <row r="12" spans="2:9" x14ac:dyDescent="0.25">
      <c r="C12">
        <v>80</v>
      </c>
      <c r="D12">
        <v>1775</v>
      </c>
      <c r="E12">
        <v>62</v>
      </c>
      <c r="F12">
        <f t="shared" si="0"/>
        <v>1837</v>
      </c>
    </row>
    <row r="13" spans="2:9" x14ac:dyDescent="0.25">
      <c r="C13">
        <v>135</v>
      </c>
      <c r="D13">
        <v>2625</v>
      </c>
      <c r="E13">
        <v>93</v>
      </c>
      <c r="F13">
        <f t="shared" si="0"/>
        <v>2718</v>
      </c>
    </row>
    <row r="14" spans="2:9" x14ac:dyDescent="0.25">
      <c r="C14">
        <v>240</v>
      </c>
      <c r="D14">
        <v>4900</v>
      </c>
      <c r="E14">
        <v>140</v>
      </c>
      <c r="F14">
        <f t="shared" si="0"/>
        <v>5040</v>
      </c>
    </row>
    <row r="15" spans="2:9" x14ac:dyDescent="0.25">
      <c r="C15">
        <v>300</v>
      </c>
      <c r="D15">
        <v>6875</v>
      </c>
      <c r="E15">
        <v>186</v>
      </c>
      <c r="F15">
        <f t="shared" si="0"/>
        <v>7061</v>
      </c>
    </row>
    <row r="16" spans="2:9" x14ac:dyDescent="0.25">
      <c r="C16">
        <v>400</v>
      </c>
      <c r="D16">
        <v>8350</v>
      </c>
      <c r="E16">
        <v>251</v>
      </c>
      <c r="F16">
        <f t="shared" si="0"/>
        <v>8601</v>
      </c>
    </row>
    <row r="17" spans="3:6" x14ac:dyDescent="0.25">
      <c r="C17">
        <v>500</v>
      </c>
      <c r="D17">
        <v>10400</v>
      </c>
      <c r="E17">
        <v>335</v>
      </c>
      <c r="F17">
        <f t="shared" si="0"/>
        <v>10735</v>
      </c>
    </row>
    <row r="23" spans="3:6" x14ac:dyDescent="0.25">
      <c r="C23" s="1" t="s">
        <v>223</v>
      </c>
    </row>
    <row r="24" spans="3:6" x14ac:dyDescent="0.25">
      <c r="C24" t="s">
        <v>224</v>
      </c>
    </row>
    <row r="25" spans="3:6" x14ac:dyDescent="0.25">
      <c r="C25" t="s">
        <v>87</v>
      </c>
      <c r="D25" t="s">
        <v>221</v>
      </c>
      <c r="E25" t="s">
        <v>222</v>
      </c>
      <c r="F25" t="s">
        <v>70</v>
      </c>
    </row>
    <row r="26" spans="3:6" x14ac:dyDescent="0.25">
      <c r="C26">
        <v>30</v>
      </c>
      <c r="D26">
        <v>5525</v>
      </c>
      <c r="E26">
        <v>1275</v>
      </c>
      <c r="F26">
        <f>D26+E26</f>
        <v>6800</v>
      </c>
    </row>
    <row r="27" spans="3:6" x14ac:dyDescent="0.25">
      <c r="C27">
        <v>45</v>
      </c>
      <c r="D27">
        <v>5400</v>
      </c>
      <c r="E27">
        <v>1275</v>
      </c>
      <c r="F27">
        <f t="shared" ref="F27:F45" si="1">D27+E27</f>
        <v>6675</v>
      </c>
    </row>
    <row r="28" spans="3:6" x14ac:dyDescent="0.25">
      <c r="C28">
        <v>60</v>
      </c>
      <c r="D28">
        <v>5775</v>
      </c>
      <c r="E28">
        <v>1275</v>
      </c>
      <c r="F28">
        <f t="shared" si="1"/>
        <v>7050</v>
      </c>
    </row>
    <row r="29" spans="3:6" x14ac:dyDescent="0.25">
      <c r="C29">
        <v>75</v>
      </c>
      <c r="D29">
        <v>6100</v>
      </c>
      <c r="E29">
        <v>1400</v>
      </c>
      <c r="F29">
        <f t="shared" si="1"/>
        <v>7500</v>
      </c>
    </row>
    <row r="30" spans="3:6" x14ac:dyDescent="0.25">
      <c r="C30">
        <v>90</v>
      </c>
      <c r="D30">
        <v>6150</v>
      </c>
      <c r="E30">
        <v>1400</v>
      </c>
      <c r="F30">
        <f t="shared" si="1"/>
        <v>7550</v>
      </c>
    </row>
    <row r="31" spans="3:6" x14ac:dyDescent="0.25">
      <c r="C31">
        <v>105</v>
      </c>
      <c r="D31">
        <v>7125</v>
      </c>
      <c r="E31">
        <v>1550</v>
      </c>
      <c r="F31">
        <f t="shared" si="1"/>
        <v>8675</v>
      </c>
    </row>
    <row r="32" spans="3:6" x14ac:dyDescent="0.25">
      <c r="C32">
        <v>120</v>
      </c>
      <c r="D32">
        <v>6800</v>
      </c>
      <c r="E32">
        <v>1725</v>
      </c>
      <c r="F32">
        <f t="shared" si="1"/>
        <v>8525</v>
      </c>
    </row>
    <row r="33" spans="3:6" x14ac:dyDescent="0.25">
      <c r="C33">
        <v>135</v>
      </c>
      <c r="D33">
        <v>7550</v>
      </c>
      <c r="E33">
        <v>2050</v>
      </c>
      <c r="F33">
        <f t="shared" si="1"/>
        <v>9600</v>
      </c>
    </row>
    <row r="34" spans="3:6" x14ac:dyDescent="0.25">
      <c r="C34">
        <v>150</v>
      </c>
      <c r="D34">
        <v>7950</v>
      </c>
      <c r="E34">
        <v>2375</v>
      </c>
      <c r="F34">
        <f t="shared" si="1"/>
        <v>10325</v>
      </c>
    </row>
    <row r="35" spans="3:6" x14ac:dyDescent="0.25">
      <c r="C35">
        <v>165</v>
      </c>
      <c r="D35">
        <v>8175</v>
      </c>
      <c r="E35">
        <v>2575</v>
      </c>
      <c r="F35">
        <f t="shared" si="1"/>
        <v>10750</v>
      </c>
    </row>
    <row r="36" spans="3:6" x14ac:dyDescent="0.25">
      <c r="C36">
        <v>296</v>
      </c>
      <c r="D36">
        <v>16200</v>
      </c>
      <c r="E36">
        <v>2800</v>
      </c>
      <c r="F36">
        <f t="shared" si="1"/>
        <v>19000</v>
      </c>
    </row>
    <row r="37" spans="3:6" x14ac:dyDescent="0.25">
      <c r="C37">
        <v>370</v>
      </c>
      <c r="D37">
        <v>18000</v>
      </c>
      <c r="E37">
        <v>3850</v>
      </c>
      <c r="F37">
        <f t="shared" si="1"/>
        <v>21850</v>
      </c>
    </row>
    <row r="38" spans="3:6" x14ac:dyDescent="0.25">
      <c r="C38">
        <v>444</v>
      </c>
      <c r="D38">
        <v>21600</v>
      </c>
      <c r="E38">
        <v>4400</v>
      </c>
      <c r="F38">
        <f t="shared" si="1"/>
        <v>26000</v>
      </c>
    </row>
    <row r="39" spans="3:6" x14ac:dyDescent="0.25">
      <c r="C39">
        <v>518</v>
      </c>
      <c r="D39">
        <v>23900</v>
      </c>
      <c r="E39">
        <v>4775</v>
      </c>
      <c r="F39">
        <f t="shared" si="1"/>
        <v>28675</v>
      </c>
    </row>
    <row r="40" spans="3:6" x14ac:dyDescent="0.25">
      <c r="C40">
        <v>592</v>
      </c>
      <c r="D40">
        <v>26200</v>
      </c>
      <c r="E40">
        <v>4900</v>
      </c>
      <c r="F40">
        <f t="shared" si="1"/>
        <v>31100</v>
      </c>
    </row>
    <row r="41" spans="3:6" x14ac:dyDescent="0.25">
      <c r="C41">
        <v>666</v>
      </c>
      <c r="D41">
        <v>28400</v>
      </c>
      <c r="E41">
        <v>5275</v>
      </c>
      <c r="F41">
        <f t="shared" si="1"/>
        <v>33675</v>
      </c>
    </row>
    <row r="42" spans="3:6" x14ac:dyDescent="0.25">
      <c r="C42">
        <v>740</v>
      </c>
      <c r="D42">
        <v>28600</v>
      </c>
      <c r="E42">
        <v>5400</v>
      </c>
      <c r="F42">
        <f t="shared" si="1"/>
        <v>34000</v>
      </c>
    </row>
    <row r="43" spans="3:6" x14ac:dyDescent="0.25">
      <c r="C43">
        <v>814</v>
      </c>
      <c r="D43">
        <v>30800</v>
      </c>
      <c r="E43">
        <v>5550</v>
      </c>
      <c r="F43">
        <f t="shared" si="1"/>
        <v>36350</v>
      </c>
    </row>
    <row r="44" spans="3:6" x14ac:dyDescent="0.25">
      <c r="C44">
        <v>888</v>
      </c>
      <c r="D44">
        <v>33300</v>
      </c>
      <c r="E44">
        <v>5700</v>
      </c>
      <c r="F44">
        <f t="shared" si="1"/>
        <v>39000</v>
      </c>
    </row>
    <row r="45" spans="3:6" x14ac:dyDescent="0.25">
      <c r="C45">
        <v>962</v>
      </c>
      <c r="D45">
        <v>35300</v>
      </c>
      <c r="E45">
        <v>5850</v>
      </c>
      <c r="F45">
        <f t="shared" si="1"/>
        <v>41150</v>
      </c>
    </row>
    <row r="48" spans="3:6" x14ac:dyDescent="0.25">
      <c r="C48" s="1" t="s">
        <v>225</v>
      </c>
    </row>
    <row r="49" spans="3:9" x14ac:dyDescent="0.25">
      <c r="C49" t="s">
        <v>226</v>
      </c>
    </row>
    <row r="50" spans="3:9" x14ac:dyDescent="0.25">
      <c r="H50" t="s">
        <v>227</v>
      </c>
    </row>
    <row r="51" spans="3:9" x14ac:dyDescent="0.25">
      <c r="C51" t="s">
        <v>228</v>
      </c>
      <c r="D51" t="s">
        <v>229</v>
      </c>
      <c r="E51" t="s">
        <v>86</v>
      </c>
      <c r="F51" t="s">
        <v>230</v>
      </c>
      <c r="H51" t="s">
        <v>87</v>
      </c>
      <c r="I51" t="s">
        <v>92</v>
      </c>
    </row>
    <row r="52" spans="3:9" x14ac:dyDescent="0.25">
      <c r="C52" t="s">
        <v>231</v>
      </c>
      <c r="D52">
        <v>85.1</v>
      </c>
      <c r="E52">
        <v>400</v>
      </c>
      <c r="F52" s="11">
        <v>7413</v>
      </c>
      <c r="H52">
        <v>102</v>
      </c>
      <c r="I52">
        <v>1650</v>
      </c>
    </row>
    <row r="53" spans="3:9" x14ac:dyDescent="0.25">
      <c r="C53" t="s">
        <v>231</v>
      </c>
      <c r="D53">
        <v>85.1</v>
      </c>
      <c r="E53">
        <v>650</v>
      </c>
      <c r="F53" s="11">
        <v>10679</v>
      </c>
      <c r="H53">
        <v>122</v>
      </c>
      <c r="I53">
        <v>2150</v>
      </c>
    </row>
    <row r="54" spans="3:9" x14ac:dyDescent="0.25">
      <c r="C54" t="s">
        <v>231</v>
      </c>
      <c r="D54">
        <v>85.1</v>
      </c>
      <c r="E54">
        <v>910</v>
      </c>
      <c r="F54" s="11">
        <v>13720</v>
      </c>
      <c r="H54">
        <v>163</v>
      </c>
      <c r="I54">
        <v>2375</v>
      </c>
    </row>
    <row r="55" spans="3:9" x14ac:dyDescent="0.25">
      <c r="C55" t="s">
        <v>231</v>
      </c>
      <c r="D55">
        <v>85.1</v>
      </c>
      <c r="E55">
        <v>1040</v>
      </c>
      <c r="F55" s="11">
        <v>15005</v>
      </c>
      <c r="H55">
        <v>203</v>
      </c>
      <c r="I55">
        <v>2375</v>
      </c>
    </row>
    <row r="56" spans="3:9" x14ac:dyDescent="0.25">
      <c r="C56" t="s">
        <v>231</v>
      </c>
      <c r="D56">
        <v>85.1</v>
      </c>
      <c r="E56">
        <v>1170</v>
      </c>
      <c r="F56" s="11">
        <v>16622</v>
      </c>
      <c r="H56">
        <v>240</v>
      </c>
      <c r="I56">
        <v>2525</v>
      </c>
    </row>
    <row r="57" spans="3:9" x14ac:dyDescent="0.25">
      <c r="C57" t="s">
        <v>231</v>
      </c>
      <c r="D57">
        <v>85.1</v>
      </c>
      <c r="E57">
        <v>1300</v>
      </c>
      <c r="F57" s="11">
        <v>17967</v>
      </c>
      <c r="H57">
        <v>280</v>
      </c>
      <c r="I57">
        <v>2675</v>
      </c>
    </row>
    <row r="58" spans="3:9" x14ac:dyDescent="0.25">
      <c r="C58" t="s">
        <v>232</v>
      </c>
      <c r="E58">
        <v>495</v>
      </c>
      <c r="F58" s="5">
        <v>6661</v>
      </c>
      <c r="H58">
        <v>320</v>
      </c>
      <c r="I58">
        <v>3050</v>
      </c>
    </row>
    <row r="59" spans="3:9" x14ac:dyDescent="0.25">
      <c r="C59" t="s">
        <v>233</v>
      </c>
      <c r="D59">
        <v>82</v>
      </c>
      <c r="E59">
        <v>315</v>
      </c>
      <c r="F59" s="11">
        <v>4266</v>
      </c>
      <c r="H59">
        <v>360</v>
      </c>
      <c r="I59">
        <v>3425</v>
      </c>
    </row>
    <row r="60" spans="3:9" x14ac:dyDescent="0.25">
      <c r="C60" t="s">
        <v>233</v>
      </c>
      <c r="E60">
        <v>360</v>
      </c>
      <c r="F60" s="11">
        <v>4455</v>
      </c>
      <c r="H60">
        <v>400</v>
      </c>
      <c r="I60">
        <v>3800</v>
      </c>
    </row>
    <row r="61" spans="3:9" x14ac:dyDescent="0.25">
      <c r="C61" t="s">
        <v>233</v>
      </c>
      <c r="E61">
        <v>399</v>
      </c>
      <c r="F61" s="11">
        <v>4893</v>
      </c>
      <c r="H61">
        <v>440</v>
      </c>
      <c r="I61">
        <v>4175</v>
      </c>
    </row>
    <row r="62" spans="3:9" x14ac:dyDescent="0.25">
      <c r="C62" t="s">
        <v>233</v>
      </c>
      <c r="E62">
        <v>500</v>
      </c>
      <c r="F62" s="5">
        <v>6427</v>
      </c>
      <c r="H62">
        <v>544</v>
      </c>
      <c r="I62">
        <v>4800</v>
      </c>
    </row>
    <row r="63" spans="3:9" x14ac:dyDescent="0.25">
      <c r="C63" t="s">
        <v>234</v>
      </c>
      <c r="D63">
        <v>85</v>
      </c>
      <c r="E63">
        <v>500</v>
      </c>
      <c r="F63" s="11">
        <v>13121</v>
      </c>
      <c r="H63">
        <v>765</v>
      </c>
      <c r="I63">
        <v>4975</v>
      </c>
    </row>
    <row r="64" spans="3:9" x14ac:dyDescent="0.25">
      <c r="C64" t="s">
        <v>234</v>
      </c>
      <c r="D64">
        <v>85</v>
      </c>
      <c r="E64">
        <v>750</v>
      </c>
      <c r="F64" s="11">
        <v>14700</v>
      </c>
      <c r="H64">
        <v>892</v>
      </c>
      <c r="I64">
        <v>5650</v>
      </c>
    </row>
    <row r="65" spans="3:11" x14ac:dyDescent="0.25">
      <c r="C65" t="s">
        <v>234</v>
      </c>
      <c r="D65">
        <v>85</v>
      </c>
      <c r="E65">
        <v>1250</v>
      </c>
      <c r="F65" s="11">
        <v>15456</v>
      </c>
    </row>
    <row r="68" spans="3:11" x14ac:dyDescent="0.25">
      <c r="C68" s="1" t="s">
        <v>235</v>
      </c>
    </row>
    <row r="70" spans="3:11" x14ac:dyDescent="0.25">
      <c r="C70" t="s">
        <v>236</v>
      </c>
    </row>
    <row r="71" spans="3:11" x14ac:dyDescent="0.25">
      <c r="C71" s="1" t="s">
        <v>74</v>
      </c>
      <c r="I71" t="s">
        <v>237</v>
      </c>
    </row>
    <row r="73" spans="3:11" x14ac:dyDescent="0.25">
      <c r="C73" t="s">
        <v>238</v>
      </c>
      <c r="D73">
        <v>200</v>
      </c>
      <c r="E73" t="s">
        <v>130</v>
      </c>
      <c r="G73" t="s">
        <v>239</v>
      </c>
      <c r="I73" t="s">
        <v>238</v>
      </c>
      <c r="J73">
        <f>200*12</f>
        <v>2400</v>
      </c>
    </row>
    <row r="74" spans="3:11" x14ac:dyDescent="0.25">
      <c r="C74" t="s">
        <v>240</v>
      </c>
      <c r="D74">
        <f>D73*12000/(500*10)</f>
        <v>480</v>
      </c>
      <c r="E74" t="s">
        <v>241</v>
      </c>
      <c r="G74" t="s">
        <v>242</v>
      </c>
      <c r="J74">
        <f>J73*1000/(500*30)</f>
        <v>160</v>
      </c>
      <c r="K74" t="s">
        <v>241</v>
      </c>
    </row>
    <row r="75" spans="3:11" x14ac:dyDescent="0.25">
      <c r="C75" t="s">
        <v>243</v>
      </c>
      <c r="D75">
        <v>19</v>
      </c>
      <c r="E75" t="s">
        <v>244</v>
      </c>
      <c r="F75" t="s">
        <v>245</v>
      </c>
      <c r="G75" t="s">
        <v>246</v>
      </c>
      <c r="J75">
        <v>19</v>
      </c>
      <c r="K75" t="s">
        <v>244</v>
      </c>
    </row>
    <row r="76" spans="3:11" x14ac:dyDescent="0.25">
      <c r="C76" t="s">
        <v>247</v>
      </c>
      <c r="D76">
        <f>D74*19</f>
        <v>9120</v>
      </c>
      <c r="E76" t="s">
        <v>244</v>
      </c>
      <c r="G76" t="s">
        <v>248</v>
      </c>
      <c r="J76">
        <f>J74*19</f>
        <v>3040</v>
      </c>
      <c r="K76" t="s">
        <v>244</v>
      </c>
    </row>
    <row r="77" spans="3:11" x14ac:dyDescent="0.25">
      <c r="C77" t="s">
        <v>249</v>
      </c>
      <c r="D77" s="7">
        <f>D76*0.9/746</f>
        <v>11.002680965147453</v>
      </c>
      <c r="J77" s="7">
        <f>J76*0.9/746</f>
        <v>3.6675603217158175</v>
      </c>
    </row>
    <row r="78" spans="3:11" x14ac:dyDescent="0.25">
      <c r="C78" t="s">
        <v>250</v>
      </c>
      <c r="D78" s="200">
        <f>D77/D73</f>
        <v>5.5013404825737265E-2</v>
      </c>
      <c r="J78" s="61">
        <f>J77/J73</f>
        <v>1.5281501340482573E-3</v>
      </c>
      <c r="K78" s="2" t="s">
        <v>251</v>
      </c>
    </row>
    <row r="81" spans="3:8" x14ac:dyDescent="0.25">
      <c r="C81" t="s">
        <v>252</v>
      </c>
    </row>
    <row r="82" spans="3:8" x14ac:dyDescent="0.25">
      <c r="C82" t="s">
        <v>253</v>
      </c>
    </row>
    <row r="83" spans="3:8" x14ac:dyDescent="0.25">
      <c r="C83" s="6"/>
    </row>
    <row r="84" spans="3:8" x14ac:dyDescent="0.25">
      <c r="C84" t="s">
        <v>254</v>
      </c>
      <c r="E84" t="s">
        <v>255</v>
      </c>
      <c r="F84" t="s">
        <v>256</v>
      </c>
      <c r="G84" t="s">
        <v>257</v>
      </c>
      <c r="H84" t="s">
        <v>187</v>
      </c>
    </row>
    <row r="85" spans="3:8" x14ac:dyDescent="0.25">
      <c r="C85" t="s">
        <v>258</v>
      </c>
      <c r="E85">
        <v>8625</v>
      </c>
      <c r="F85" s="11">
        <v>10125</v>
      </c>
      <c r="G85">
        <v>2</v>
      </c>
      <c r="H85" s="11">
        <v>10125</v>
      </c>
    </row>
    <row r="86" spans="3:8" x14ac:dyDescent="0.25">
      <c r="C86" t="s">
        <v>259</v>
      </c>
      <c r="E86">
        <v>8525</v>
      </c>
      <c r="F86" s="11">
        <v>10125</v>
      </c>
      <c r="G86">
        <v>3</v>
      </c>
      <c r="H86" s="11">
        <v>10125</v>
      </c>
    </row>
    <row r="87" spans="3:8" x14ac:dyDescent="0.25">
      <c r="C87" t="s">
        <v>260</v>
      </c>
      <c r="E87">
        <v>12400</v>
      </c>
      <c r="F87" s="11">
        <v>14635</v>
      </c>
      <c r="G87">
        <v>5</v>
      </c>
      <c r="H87" s="11">
        <v>14635</v>
      </c>
    </row>
    <row r="88" spans="3:8" x14ac:dyDescent="0.25">
      <c r="C88" t="s">
        <v>261</v>
      </c>
      <c r="E88">
        <v>12000</v>
      </c>
      <c r="F88" s="11">
        <v>14200</v>
      </c>
      <c r="G88">
        <v>7.5</v>
      </c>
      <c r="H88" s="11">
        <v>14200</v>
      </c>
    </row>
    <row r="89" spans="3:8" x14ac:dyDescent="0.25">
      <c r="C89" t="s">
        <v>262</v>
      </c>
      <c r="E89">
        <v>15200</v>
      </c>
      <c r="F89" s="11">
        <v>18150</v>
      </c>
      <c r="G89">
        <v>10</v>
      </c>
      <c r="H89" s="11">
        <v>18150</v>
      </c>
    </row>
    <row r="90" spans="3:8" x14ac:dyDescent="0.25">
      <c r="C90" t="s">
        <v>263</v>
      </c>
      <c r="E90">
        <v>16300</v>
      </c>
      <c r="F90" s="11">
        <v>19350</v>
      </c>
      <c r="G90">
        <v>15</v>
      </c>
      <c r="H90" s="11">
        <v>19350</v>
      </c>
    </row>
    <row r="99" spans="3:18" x14ac:dyDescent="0.25">
      <c r="C99" s="1" t="s">
        <v>264</v>
      </c>
    </row>
    <row r="100" spans="3:18" x14ac:dyDescent="0.25">
      <c r="C100" t="s">
        <v>265</v>
      </c>
    </row>
    <row r="102" spans="3:18" x14ac:dyDescent="0.25">
      <c r="C102" t="s">
        <v>239</v>
      </c>
      <c r="D102" t="s">
        <v>266</v>
      </c>
      <c r="E102" t="s">
        <v>267</v>
      </c>
      <c r="F102" t="s">
        <v>268</v>
      </c>
      <c r="G102" s="10" t="s">
        <v>269</v>
      </c>
      <c r="H102" t="s">
        <v>270</v>
      </c>
      <c r="I102" t="s">
        <v>271</v>
      </c>
      <c r="J102" t="s">
        <v>272</v>
      </c>
      <c r="K102" t="s">
        <v>273</v>
      </c>
      <c r="L102" t="s">
        <v>274</v>
      </c>
      <c r="M102" t="s">
        <v>275</v>
      </c>
      <c r="N102" t="s">
        <v>276</v>
      </c>
      <c r="O102" t="s">
        <v>16</v>
      </c>
    </row>
    <row r="103" spans="3:18" x14ac:dyDescent="0.25">
      <c r="C103" t="s">
        <v>277</v>
      </c>
      <c r="D103">
        <v>140</v>
      </c>
      <c r="E103">
        <v>1457.58</v>
      </c>
      <c r="F103" s="7">
        <f>E103/12</f>
        <v>121.46499999999999</v>
      </c>
      <c r="G103">
        <v>2.89</v>
      </c>
      <c r="H103">
        <v>294.55</v>
      </c>
      <c r="I103">
        <v>110</v>
      </c>
      <c r="J103">
        <v>120</v>
      </c>
      <c r="K103">
        <v>4.63</v>
      </c>
      <c r="L103">
        <v>3.92</v>
      </c>
      <c r="M103" s="5">
        <v>175100</v>
      </c>
      <c r="N103" s="8">
        <f>M103/F103</f>
        <v>1441.5675297410778</v>
      </c>
      <c r="O103" s="8" t="s">
        <v>278</v>
      </c>
      <c r="P103" s="8"/>
      <c r="Q103" s="8"/>
      <c r="R103" s="8"/>
    </row>
    <row r="104" spans="3:18" x14ac:dyDescent="0.25">
      <c r="C104" t="s">
        <v>277</v>
      </c>
      <c r="D104">
        <v>180</v>
      </c>
      <c r="E104">
        <v>1992.04</v>
      </c>
      <c r="F104" s="7">
        <f>E104/12</f>
        <v>166.00333333333333</v>
      </c>
      <c r="G104" s="7">
        <v>2.8</v>
      </c>
      <c r="H104">
        <v>402.55</v>
      </c>
      <c r="I104">
        <v>110</v>
      </c>
      <c r="J104">
        <v>120</v>
      </c>
      <c r="K104">
        <v>11.64</v>
      </c>
      <c r="L104">
        <v>1.28</v>
      </c>
      <c r="M104" s="5">
        <v>214900</v>
      </c>
      <c r="N104" s="8">
        <f>M104/F104</f>
        <v>1294.5523182265417</v>
      </c>
      <c r="O104" s="8" t="s">
        <v>278</v>
      </c>
      <c r="P104" s="8"/>
      <c r="Q104" s="8"/>
      <c r="R104" s="8"/>
    </row>
    <row r="105" spans="3:18" x14ac:dyDescent="0.25">
      <c r="C105" t="s">
        <v>277</v>
      </c>
      <c r="D105">
        <v>200</v>
      </c>
      <c r="E105">
        <v>2148.36</v>
      </c>
      <c r="F105" s="7">
        <f>E105/12</f>
        <v>179.03</v>
      </c>
      <c r="G105">
        <v>2.81</v>
      </c>
      <c r="H105">
        <v>434.14</v>
      </c>
      <c r="I105">
        <v>110</v>
      </c>
      <c r="J105">
        <v>120</v>
      </c>
      <c r="K105" s="7">
        <v>13.4</v>
      </c>
      <c r="L105">
        <v>1.59</v>
      </c>
      <c r="M105" s="5">
        <v>225300</v>
      </c>
      <c r="N105" s="8">
        <f>M105/F105</f>
        <v>1258.4483047533934</v>
      </c>
      <c r="O105" s="8" t="s">
        <v>278</v>
      </c>
      <c r="P105" s="8"/>
      <c r="Q105" s="8"/>
      <c r="R105" s="8"/>
    </row>
    <row r="106" spans="3:18" x14ac:dyDescent="0.25">
      <c r="C106" t="s">
        <v>277</v>
      </c>
      <c r="D106">
        <v>230</v>
      </c>
      <c r="E106">
        <v>2506.36</v>
      </c>
      <c r="F106" s="7">
        <f>E106/12</f>
        <v>208.86333333333334</v>
      </c>
      <c r="G106">
        <v>2.87</v>
      </c>
      <c r="H106">
        <v>506.29</v>
      </c>
      <c r="I106">
        <v>110</v>
      </c>
      <c r="J106">
        <v>120</v>
      </c>
      <c r="K106">
        <v>12.41</v>
      </c>
      <c r="L106" s="7">
        <v>2.4</v>
      </c>
      <c r="M106" s="5">
        <v>252400</v>
      </c>
      <c r="N106" s="8">
        <f>M106/F106</f>
        <v>1208.4457141033211</v>
      </c>
      <c r="O106" s="8" t="s">
        <v>278</v>
      </c>
      <c r="P106" s="8"/>
      <c r="Q106" s="8"/>
      <c r="R106" s="8"/>
    </row>
    <row r="108" spans="3:18" x14ac:dyDescent="0.25">
      <c r="C108" t="s">
        <v>279</v>
      </c>
    </row>
    <row r="110" spans="3:18" ht="17.25" x14ac:dyDescent="0.25">
      <c r="C110" s="128" t="s">
        <v>280</v>
      </c>
    </row>
    <row r="111" spans="3:18" x14ac:dyDescent="0.25">
      <c r="C111" s="128"/>
    </row>
    <row r="112" spans="3:18" x14ac:dyDescent="0.25">
      <c r="C112" s="128" t="s">
        <v>281</v>
      </c>
    </row>
    <row r="113" spans="3:3" x14ac:dyDescent="0.25">
      <c r="C113" s="128"/>
    </row>
    <row r="114" spans="3:3" x14ac:dyDescent="0.25">
      <c r="C114" s="128" t="s">
        <v>282</v>
      </c>
    </row>
    <row r="115" spans="3:3" x14ac:dyDescent="0.25">
      <c r="C115" s="128"/>
    </row>
    <row r="116" spans="3:3" x14ac:dyDescent="0.25">
      <c r="C116" s="128" t="s">
        <v>283</v>
      </c>
    </row>
    <row r="117" spans="3:3" x14ac:dyDescent="0.25">
      <c r="C117" s="128"/>
    </row>
    <row r="118" spans="3:3" x14ac:dyDescent="0.25">
      <c r="C118" s="128" t="s">
        <v>284</v>
      </c>
    </row>
    <row r="119" spans="3:3" x14ac:dyDescent="0.25">
      <c r="C119" s="128"/>
    </row>
    <row r="120" spans="3:3" x14ac:dyDescent="0.25">
      <c r="C120" s="128" t="s">
        <v>285</v>
      </c>
    </row>
    <row r="121" spans="3:3" x14ac:dyDescent="0.25">
      <c r="C121" s="128"/>
    </row>
    <row r="122" spans="3:3" x14ac:dyDescent="0.25">
      <c r="C122" s="128"/>
    </row>
    <row r="123" spans="3:3" ht="15.75" x14ac:dyDescent="0.25">
      <c r="C123" s="129" t="s">
        <v>286</v>
      </c>
    </row>
    <row r="124" spans="3:3" x14ac:dyDescent="0.25">
      <c r="C124" s="130" t="s">
        <v>287</v>
      </c>
    </row>
    <row r="125" spans="3:3" x14ac:dyDescent="0.25">
      <c r="C125" s="131" t="s">
        <v>288</v>
      </c>
    </row>
    <row r="126" spans="3:3" x14ac:dyDescent="0.25">
      <c r="C126" s="132" t="s">
        <v>289</v>
      </c>
    </row>
    <row r="127" spans="3:3" x14ac:dyDescent="0.25">
      <c r="C127" s="131" t="s">
        <v>290</v>
      </c>
    </row>
    <row r="149" spans="2:2" x14ac:dyDescent="0.25">
      <c r="B149" s="128"/>
    </row>
  </sheetData>
  <hyperlinks>
    <hyperlink ref="G102" r:id="rId1" xr:uid="{D3BE6EE9-8EFE-4483-9B60-D935526457A1}"/>
    <hyperlink ref="C126" r:id="rId2" display="mailto:tjelmgren@trane.com" xr:uid="{2BAF7E2A-364D-4A1B-9611-123481A4A61E}"/>
  </hyperlinks>
  <pageMargins left="0.7" right="0.7" top="0.75" bottom="0.75" header="0.3" footer="0.3"/>
  <pageSetup orientation="portrait" horizontalDpi="90" verticalDpi="9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971E-138F-48B8-83D7-15AE7CDBCA25}">
  <dimension ref="B2:M113"/>
  <sheetViews>
    <sheetView zoomScale="85" zoomScaleNormal="85" workbookViewId="0">
      <selection activeCell="B1" sqref="B1"/>
    </sheetView>
    <sheetView topLeftCell="A30" workbookViewId="1">
      <selection activeCell="O12" sqref="O12"/>
    </sheetView>
  </sheetViews>
  <sheetFormatPr defaultRowHeight="15" x14ac:dyDescent="0.25"/>
  <cols>
    <col min="2" max="2" width="25.7109375" customWidth="1"/>
    <col min="3" max="3" width="28.140625" customWidth="1"/>
    <col min="5" max="5" width="8.28515625" customWidth="1"/>
    <col min="7" max="7" width="10.140625" bestFit="1" customWidth="1"/>
    <col min="8" max="8" width="10.7109375" customWidth="1"/>
    <col min="9" max="9" width="9.85546875" customWidth="1"/>
    <col min="10" max="10" width="6.7109375" customWidth="1"/>
    <col min="11" max="11" width="12.140625" bestFit="1" customWidth="1"/>
    <col min="12" max="12" width="18.7109375" customWidth="1"/>
    <col min="14" max="14" width="22.5703125" customWidth="1"/>
    <col min="15" max="15" width="41" customWidth="1"/>
    <col min="21" max="21" width="11.140625" bestFit="1" customWidth="1"/>
    <col min="23" max="23" width="12.140625" bestFit="1" customWidth="1"/>
    <col min="24" max="24" width="13.42578125" bestFit="1" customWidth="1"/>
    <col min="25" max="25" width="13.28515625" customWidth="1"/>
  </cols>
  <sheetData>
    <row r="2" spans="2:6" ht="21" x14ac:dyDescent="0.35">
      <c r="B2" s="72" t="s">
        <v>291</v>
      </c>
    </row>
    <row r="3" spans="2:6" ht="45" x14ac:dyDescent="0.25">
      <c r="B3" s="50" t="s">
        <v>292</v>
      </c>
    </row>
    <row r="7" spans="2:6" x14ac:dyDescent="0.25">
      <c r="B7" s="50" t="s">
        <v>86</v>
      </c>
      <c r="C7" t="s">
        <v>293</v>
      </c>
      <c r="D7" t="s">
        <v>294</v>
      </c>
      <c r="E7" t="s">
        <v>222</v>
      </c>
      <c r="F7" s="63" t="s">
        <v>70</v>
      </c>
    </row>
    <row r="8" spans="2:6" x14ac:dyDescent="0.25">
      <c r="B8">
        <v>0.5</v>
      </c>
      <c r="C8" s="5">
        <v>765</v>
      </c>
      <c r="D8" s="5">
        <f>C8*1.4</f>
        <v>1071</v>
      </c>
      <c r="E8">
        <v>131</v>
      </c>
      <c r="F8" s="69">
        <f>D8+E8</f>
        <v>1202</v>
      </c>
    </row>
    <row r="9" spans="2:6" x14ac:dyDescent="0.25">
      <c r="B9">
        <v>1</v>
      </c>
      <c r="C9" s="5">
        <v>880</v>
      </c>
      <c r="D9" s="5">
        <f t="shared" ref="D9:D13" si="0">C9*1.4</f>
        <v>1232</v>
      </c>
      <c r="E9">
        <v>174</v>
      </c>
      <c r="F9" s="69">
        <f t="shared" ref="F9:F13" si="1">D9+E9</f>
        <v>1406</v>
      </c>
    </row>
    <row r="10" spans="2:6" x14ac:dyDescent="0.25">
      <c r="B10">
        <v>1.5</v>
      </c>
      <c r="C10" s="5">
        <v>920</v>
      </c>
      <c r="D10" s="5">
        <f t="shared" si="0"/>
        <v>1288</v>
      </c>
      <c r="E10">
        <v>190</v>
      </c>
      <c r="F10" s="69">
        <f t="shared" si="1"/>
        <v>1478</v>
      </c>
    </row>
    <row r="11" spans="2:6" x14ac:dyDescent="0.25">
      <c r="B11">
        <v>2</v>
      </c>
      <c r="C11" s="5">
        <v>1250</v>
      </c>
      <c r="D11" s="5">
        <f t="shared" si="0"/>
        <v>1750</v>
      </c>
      <c r="E11">
        <v>199</v>
      </c>
      <c r="F11" s="69">
        <f t="shared" si="1"/>
        <v>1949</v>
      </c>
    </row>
    <row r="12" spans="2:6" x14ac:dyDescent="0.25">
      <c r="B12">
        <v>2.5</v>
      </c>
      <c r="C12" s="5">
        <v>2450</v>
      </c>
      <c r="D12" s="5">
        <f t="shared" si="0"/>
        <v>3430</v>
      </c>
      <c r="E12">
        <v>209</v>
      </c>
      <c r="F12" s="69">
        <f t="shared" si="1"/>
        <v>3639</v>
      </c>
    </row>
    <row r="13" spans="2:6" x14ac:dyDescent="0.25">
      <c r="B13">
        <v>3</v>
      </c>
      <c r="C13" s="5">
        <v>2675</v>
      </c>
      <c r="D13" s="5">
        <f t="shared" si="0"/>
        <v>3744.9999999999995</v>
      </c>
      <c r="E13">
        <v>261</v>
      </c>
      <c r="F13" s="69">
        <f t="shared" si="1"/>
        <v>4005.9999999999995</v>
      </c>
    </row>
    <row r="14" spans="2:6" x14ac:dyDescent="0.25">
      <c r="F14" s="63"/>
    </row>
    <row r="19" spans="2:3" ht="21" x14ac:dyDescent="0.35">
      <c r="B19" s="149" t="s">
        <v>295</v>
      </c>
    </row>
    <row r="20" spans="2:3" x14ac:dyDescent="0.25">
      <c r="B20" t="s">
        <v>219</v>
      </c>
    </row>
    <row r="21" spans="2:3" x14ac:dyDescent="0.25">
      <c r="B21" s="6" t="s">
        <v>296</v>
      </c>
    </row>
    <row r="23" spans="2:3" x14ac:dyDescent="0.25">
      <c r="B23" t="s">
        <v>99</v>
      </c>
      <c r="C23" t="s">
        <v>297</v>
      </c>
    </row>
    <row r="24" spans="2:3" x14ac:dyDescent="0.25">
      <c r="B24">
        <v>5000</v>
      </c>
      <c r="C24" s="11">
        <v>16050</v>
      </c>
    </row>
    <row r="25" spans="2:3" x14ac:dyDescent="0.25">
      <c r="B25">
        <v>6500</v>
      </c>
      <c r="C25" s="11">
        <v>20550</v>
      </c>
    </row>
    <row r="26" spans="2:3" x14ac:dyDescent="0.25">
      <c r="B26">
        <v>7500</v>
      </c>
      <c r="C26" s="11">
        <v>22550</v>
      </c>
    </row>
    <row r="27" spans="2:3" x14ac:dyDescent="0.25">
      <c r="B27">
        <v>9200</v>
      </c>
      <c r="C27" s="11">
        <v>28975</v>
      </c>
    </row>
    <row r="28" spans="2:3" x14ac:dyDescent="0.25">
      <c r="B28">
        <v>11500</v>
      </c>
      <c r="C28" s="11">
        <v>31925</v>
      </c>
    </row>
    <row r="29" spans="2:3" x14ac:dyDescent="0.25">
      <c r="B29">
        <v>13200</v>
      </c>
      <c r="C29" s="11">
        <v>36500</v>
      </c>
    </row>
    <row r="30" spans="2:3" x14ac:dyDescent="0.25">
      <c r="B30">
        <v>16500</v>
      </c>
      <c r="C30" s="11">
        <v>45225</v>
      </c>
    </row>
    <row r="31" spans="2:3" x14ac:dyDescent="0.25">
      <c r="B31">
        <v>19500</v>
      </c>
      <c r="C31" s="11">
        <v>53225</v>
      </c>
    </row>
    <row r="32" spans="2:3" x14ac:dyDescent="0.25">
      <c r="B32">
        <v>22000</v>
      </c>
      <c r="C32" s="11">
        <v>60200</v>
      </c>
    </row>
    <row r="33" spans="2:4" x14ac:dyDescent="0.25">
      <c r="B33">
        <v>22500</v>
      </c>
      <c r="C33" s="11">
        <v>60950</v>
      </c>
    </row>
    <row r="34" spans="2:4" x14ac:dyDescent="0.25">
      <c r="B34">
        <v>27000</v>
      </c>
      <c r="C34" s="11">
        <v>64250</v>
      </c>
    </row>
    <row r="35" spans="2:4" x14ac:dyDescent="0.25">
      <c r="B35">
        <v>34000</v>
      </c>
      <c r="C35" s="11">
        <v>81075</v>
      </c>
    </row>
    <row r="36" spans="2:4" x14ac:dyDescent="0.25">
      <c r="B36">
        <v>40000</v>
      </c>
      <c r="C36" s="11">
        <v>88925</v>
      </c>
    </row>
    <row r="40" spans="2:4" ht="18.75" x14ac:dyDescent="0.3">
      <c r="B40" s="52" t="s">
        <v>298</v>
      </c>
    </row>
    <row r="41" spans="2:4" x14ac:dyDescent="0.25">
      <c r="B41" t="s">
        <v>219</v>
      </c>
    </row>
    <row r="43" spans="2:4" x14ac:dyDescent="0.25">
      <c r="B43" t="s">
        <v>266</v>
      </c>
      <c r="C43" t="s">
        <v>299</v>
      </c>
      <c r="D43" t="s">
        <v>300</v>
      </c>
    </row>
    <row r="44" spans="2:4" x14ac:dyDescent="0.25">
      <c r="B44">
        <v>7.5</v>
      </c>
      <c r="C44">
        <v>2100</v>
      </c>
      <c r="D44">
        <v>6525</v>
      </c>
    </row>
    <row r="45" spans="2:4" x14ac:dyDescent="0.25">
      <c r="B45">
        <v>10</v>
      </c>
      <c r="C45">
        <v>2425</v>
      </c>
      <c r="D45">
        <v>8050</v>
      </c>
    </row>
    <row r="46" spans="2:4" x14ac:dyDescent="0.25">
      <c r="B46">
        <v>12.5</v>
      </c>
      <c r="C46">
        <v>2575</v>
      </c>
      <c r="D46">
        <v>9100</v>
      </c>
    </row>
    <row r="47" spans="2:4" x14ac:dyDescent="0.25">
      <c r="B47">
        <v>15</v>
      </c>
      <c r="C47">
        <v>2850</v>
      </c>
      <c r="D47">
        <v>12200</v>
      </c>
    </row>
    <row r="48" spans="2:4" x14ac:dyDescent="0.25">
      <c r="B48">
        <v>20</v>
      </c>
      <c r="C48">
        <v>3325</v>
      </c>
      <c r="D48">
        <v>15700</v>
      </c>
    </row>
    <row r="49" spans="2:4" x14ac:dyDescent="0.25">
      <c r="B49">
        <v>25</v>
      </c>
      <c r="C49">
        <v>3975</v>
      </c>
      <c r="D49">
        <v>36900</v>
      </c>
    </row>
    <row r="50" spans="2:4" x14ac:dyDescent="0.25">
      <c r="B50">
        <v>30</v>
      </c>
      <c r="C50">
        <v>4725</v>
      </c>
      <c r="D50">
        <v>37200</v>
      </c>
    </row>
    <row r="51" spans="2:4" x14ac:dyDescent="0.25">
      <c r="B51">
        <v>40</v>
      </c>
      <c r="C51">
        <v>6300</v>
      </c>
      <c r="D51">
        <v>45400</v>
      </c>
    </row>
    <row r="52" spans="2:4" x14ac:dyDescent="0.25">
      <c r="B52">
        <v>50</v>
      </c>
      <c r="C52">
        <v>7875</v>
      </c>
      <c r="D52">
        <v>51500</v>
      </c>
    </row>
    <row r="59" spans="2:4" ht="18.75" x14ac:dyDescent="0.3">
      <c r="B59" s="52" t="s">
        <v>301</v>
      </c>
    </row>
    <row r="60" spans="2:4" x14ac:dyDescent="0.25">
      <c r="B60" t="s">
        <v>302</v>
      </c>
    </row>
    <row r="61" spans="2:4" x14ac:dyDescent="0.25">
      <c r="B61" t="s">
        <v>303</v>
      </c>
    </row>
    <row r="63" spans="2:4" x14ac:dyDescent="0.25">
      <c r="B63" s="1" t="s">
        <v>304</v>
      </c>
    </row>
    <row r="86" spans="2:5" x14ac:dyDescent="0.25">
      <c r="B86" t="s">
        <v>22</v>
      </c>
      <c r="C86" t="s">
        <v>305</v>
      </c>
      <c r="D86" t="s">
        <v>222</v>
      </c>
      <c r="E86" t="s">
        <v>297</v>
      </c>
    </row>
    <row r="87" spans="2:5" x14ac:dyDescent="0.25">
      <c r="B87" t="s">
        <v>306</v>
      </c>
      <c r="C87">
        <v>24.6</v>
      </c>
      <c r="D87">
        <v>246.33</v>
      </c>
      <c r="E87" s="104">
        <f>C87+D87</f>
        <v>270.93</v>
      </c>
    </row>
    <row r="88" spans="2:5" x14ac:dyDescent="0.25">
      <c r="B88" t="s">
        <v>307</v>
      </c>
      <c r="C88">
        <v>16.32</v>
      </c>
      <c r="D88">
        <v>40.33</v>
      </c>
      <c r="E88" s="104">
        <f>C88+D88</f>
        <v>56.65</v>
      </c>
    </row>
    <row r="89" spans="2:5" x14ac:dyDescent="0.25">
      <c r="B89" t="s">
        <v>308</v>
      </c>
      <c r="C89">
        <f>3/5*C88</f>
        <v>9.7919999999999998</v>
      </c>
      <c r="D89">
        <v>40.33</v>
      </c>
      <c r="E89" s="104">
        <f>C89+D89</f>
        <v>50.122</v>
      </c>
    </row>
    <row r="91" spans="2:5" x14ac:dyDescent="0.25">
      <c r="C91" t="s">
        <v>309</v>
      </c>
    </row>
    <row r="92" spans="2:5" x14ac:dyDescent="0.25">
      <c r="C92" s="1" t="s">
        <v>310</v>
      </c>
    </row>
    <row r="93" spans="2:5" x14ac:dyDescent="0.25">
      <c r="C93" t="s">
        <v>311</v>
      </c>
    </row>
    <row r="95" spans="2:5" x14ac:dyDescent="0.25">
      <c r="C95" s="1" t="s">
        <v>312</v>
      </c>
    </row>
    <row r="98" spans="2:13" x14ac:dyDescent="0.25">
      <c r="B98" s="1" t="s">
        <v>313</v>
      </c>
    </row>
    <row r="99" spans="2:13" x14ac:dyDescent="0.25">
      <c r="B99" t="s">
        <v>314</v>
      </c>
      <c r="D99" t="s">
        <v>315</v>
      </c>
      <c r="F99" t="s">
        <v>316</v>
      </c>
      <c r="K99" s="107" t="s">
        <v>313</v>
      </c>
      <c r="L99" s="107"/>
      <c r="M99" s="107"/>
    </row>
    <row r="100" spans="2:13" x14ac:dyDescent="0.25">
      <c r="B100" t="s">
        <v>33</v>
      </c>
      <c r="D100" s="5">
        <f>1909*1.7</f>
        <v>3245.2999999999997</v>
      </c>
      <c r="F100" s="6">
        <v>233616105660</v>
      </c>
      <c r="K100" s="107" t="s">
        <v>317</v>
      </c>
      <c r="L100" s="107"/>
      <c r="M100" s="111">
        <f>'Air-side Costs'!D100</f>
        <v>3245.2999999999997</v>
      </c>
    </row>
    <row r="101" spans="2:13" x14ac:dyDescent="0.25">
      <c r="B101" t="s">
        <v>318</v>
      </c>
      <c r="D101" s="5">
        <f>5897*1.7</f>
        <v>10024.9</v>
      </c>
      <c r="F101" s="6">
        <v>238219103150</v>
      </c>
      <c r="K101" s="107" t="s">
        <v>319</v>
      </c>
      <c r="L101" s="107"/>
      <c r="M101" s="111">
        <f>'Air-side Costs'!D101</f>
        <v>10024.9</v>
      </c>
    </row>
    <row r="105" spans="2:13" x14ac:dyDescent="0.25">
      <c r="B105" s="1" t="s">
        <v>320</v>
      </c>
    </row>
    <row r="107" spans="2:13" x14ac:dyDescent="0.25">
      <c r="B107" t="s">
        <v>321</v>
      </c>
    </row>
    <row r="108" spans="2:13" x14ac:dyDescent="0.25">
      <c r="B108" t="s">
        <v>322</v>
      </c>
      <c r="I108" s="100">
        <v>18811.2</v>
      </c>
    </row>
    <row r="109" spans="2:13" x14ac:dyDescent="0.25">
      <c r="G109" t="s">
        <v>323</v>
      </c>
      <c r="I109" s="110">
        <f>I108/40980</f>
        <v>0.45903367496339681</v>
      </c>
    </row>
    <row r="110" spans="2:13" x14ac:dyDescent="0.25">
      <c r="B110" t="s">
        <v>324</v>
      </c>
      <c r="G110" t="s">
        <v>325</v>
      </c>
      <c r="I110" s="9">
        <v>0.25</v>
      </c>
    </row>
    <row r="111" spans="2:13" x14ac:dyDescent="0.25">
      <c r="B111" t="s">
        <v>326</v>
      </c>
      <c r="G111" t="s">
        <v>325</v>
      </c>
      <c r="I111" s="9">
        <v>0.4</v>
      </c>
    </row>
    <row r="113" spans="2:9" x14ac:dyDescent="0.25">
      <c r="B113" t="s">
        <v>70</v>
      </c>
      <c r="I113" s="110">
        <f>SUM(I109:I111)</f>
        <v>1.1090336749633969</v>
      </c>
    </row>
  </sheetData>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45682-9144-4317-B2F0-AB0EDD8B6F0C}">
  <dimension ref="B1:Y41"/>
  <sheetViews>
    <sheetView workbookViewId="0">
      <selection activeCell="B1" sqref="B1"/>
    </sheetView>
    <sheetView workbookViewId="1">
      <selection activeCell="I3" sqref="I3"/>
    </sheetView>
  </sheetViews>
  <sheetFormatPr defaultRowHeight="15" x14ac:dyDescent="0.25"/>
  <cols>
    <col min="2" max="2" width="20.85546875" style="101" bestFit="1" customWidth="1"/>
    <col min="3" max="5" width="8.85546875" style="101"/>
    <col min="9" max="9" width="12.140625" customWidth="1"/>
  </cols>
  <sheetData>
    <row r="1" spans="2:25" ht="18.75" x14ac:dyDescent="0.3">
      <c r="B1" s="52" t="s">
        <v>327</v>
      </c>
    </row>
    <row r="3" spans="2:25" x14ac:dyDescent="0.25">
      <c r="B3" s="1" t="s">
        <v>74</v>
      </c>
      <c r="C3"/>
      <c r="D3"/>
      <c r="E3"/>
    </row>
    <row r="4" spans="2:25" x14ac:dyDescent="0.25">
      <c r="B4"/>
      <c r="C4" s="3">
        <f>1</f>
        <v>1</v>
      </c>
      <c r="D4" s="3">
        <f>C4+1</f>
        <v>2</v>
      </c>
      <c r="E4" s="3">
        <f t="shared" ref="E4" si="0">D4+1</f>
        <v>3</v>
      </c>
      <c r="F4" s="3">
        <f t="shared" ref="F4" si="1">E4+1</f>
        <v>4</v>
      </c>
      <c r="G4" s="3">
        <f t="shared" ref="G4" si="2">F4+1</f>
        <v>5</v>
      </c>
      <c r="H4" s="3">
        <f t="shared" ref="H4" si="3">G4+1</f>
        <v>6</v>
      </c>
      <c r="I4" s="3">
        <f t="shared" ref="I4" si="4">H4+1</f>
        <v>7</v>
      </c>
      <c r="J4" s="3">
        <f t="shared" ref="J4" si="5">I4+1</f>
        <v>8</v>
      </c>
      <c r="K4" s="3">
        <f t="shared" ref="K4" si="6">J4+1</f>
        <v>9</v>
      </c>
      <c r="L4" s="3">
        <f t="shared" ref="L4" si="7">K4+1</f>
        <v>10</v>
      </c>
      <c r="M4" s="3">
        <f t="shared" ref="M4" si="8">L4+1</f>
        <v>11</v>
      </c>
      <c r="N4" s="3">
        <f t="shared" ref="N4" si="9">M4+1</f>
        <v>12</v>
      </c>
      <c r="O4" s="3">
        <f t="shared" ref="O4" si="10">N4+1</f>
        <v>13</v>
      </c>
      <c r="P4" s="3">
        <f t="shared" ref="P4" si="11">O4+1</f>
        <v>14</v>
      </c>
      <c r="Q4" s="3">
        <f t="shared" ref="Q4" si="12">P4+1</f>
        <v>15</v>
      </c>
      <c r="R4" s="3">
        <f t="shared" ref="R4" si="13">Q4+1</f>
        <v>16</v>
      </c>
      <c r="S4" s="3"/>
    </row>
    <row r="5" spans="2:25" x14ac:dyDescent="0.25">
      <c r="B5" t="s">
        <v>328</v>
      </c>
      <c r="C5" s="153">
        <v>194.61441533333334</v>
      </c>
      <c r="D5" s="153">
        <v>187.66570199999998</v>
      </c>
      <c r="E5" s="153">
        <v>162.75424666666669</v>
      </c>
      <c r="F5" s="153">
        <v>199.95185366666666</v>
      </c>
      <c r="G5" s="153">
        <v>174.41510199999999</v>
      </c>
      <c r="H5" s="153">
        <v>122.33915266666666</v>
      </c>
      <c r="I5" s="153">
        <v>117.49758366666666</v>
      </c>
      <c r="J5" s="153">
        <v>126.36981599999999</v>
      </c>
      <c r="K5" s="153">
        <v>131.91167366666667</v>
      </c>
      <c r="L5" s="153">
        <v>144.97570599999997</v>
      </c>
      <c r="M5" s="153">
        <v>190.29572933333333</v>
      </c>
      <c r="N5" s="153">
        <v>180.548182</v>
      </c>
      <c r="O5" s="153">
        <v>160.51669433333333</v>
      </c>
      <c r="P5" s="153">
        <v>178.14426033333331</v>
      </c>
      <c r="Q5" s="153">
        <v>124.87330533333335</v>
      </c>
      <c r="R5" s="153">
        <v>191.59461833333333</v>
      </c>
      <c r="S5" s="3"/>
      <c r="T5" s="3"/>
      <c r="U5" s="3"/>
      <c r="V5" s="3"/>
      <c r="W5" s="3"/>
      <c r="X5" s="3"/>
      <c r="Y5" s="3"/>
    </row>
    <row r="6" spans="2:25" x14ac:dyDescent="0.25">
      <c r="B6" t="s">
        <v>329</v>
      </c>
      <c r="C6" s="160">
        <v>354536</v>
      </c>
      <c r="D6" s="160">
        <v>367002</v>
      </c>
      <c r="E6" s="160">
        <v>384753</v>
      </c>
      <c r="F6" s="160">
        <v>380072</v>
      </c>
      <c r="G6" s="160">
        <v>367742</v>
      </c>
      <c r="H6" s="160">
        <v>385061</v>
      </c>
      <c r="I6" s="160">
        <v>393487</v>
      </c>
      <c r="J6" s="160">
        <v>392366</v>
      </c>
      <c r="K6" s="160">
        <v>409809</v>
      </c>
      <c r="L6" s="160">
        <v>394760</v>
      </c>
      <c r="M6" s="160">
        <v>413973</v>
      </c>
      <c r="N6" s="160">
        <v>379320</v>
      </c>
      <c r="O6" s="160">
        <v>403572</v>
      </c>
      <c r="P6" s="160">
        <v>430583</v>
      </c>
      <c r="Q6" s="160">
        <v>432427</v>
      </c>
      <c r="R6" s="160">
        <v>464923</v>
      </c>
      <c r="S6" s="3"/>
    </row>
    <row r="7" spans="2:25" x14ac:dyDescent="0.25">
      <c r="B7"/>
      <c r="C7" s="3"/>
      <c r="D7" s="3"/>
      <c r="E7" s="3"/>
      <c r="F7" s="3"/>
      <c r="G7" s="3"/>
      <c r="H7" s="3"/>
      <c r="I7" s="3"/>
      <c r="J7" s="3"/>
      <c r="K7" s="3"/>
      <c r="L7" s="3"/>
      <c r="M7" s="3"/>
      <c r="N7" s="3"/>
      <c r="O7" s="3"/>
      <c r="P7" s="3"/>
      <c r="Q7" s="3"/>
      <c r="R7" s="3"/>
      <c r="S7" s="3"/>
    </row>
    <row r="8" spans="2:25" x14ac:dyDescent="0.25">
      <c r="B8"/>
      <c r="C8" s="3"/>
      <c r="D8" s="3"/>
      <c r="E8" s="3"/>
      <c r="F8" s="3"/>
      <c r="G8" s="3"/>
      <c r="H8" s="3"/>
      <c r="I8" s="3"/>
      <c r="J8" s="3"/>
      <c r="K8" s="3"/>
      <c r="L8" s="3"/>
      <c r="M8" s="3"/>
      <c r="N8" s="3"/>
      <c r="O8" s="3"/>
      <c r="P8" s="3"/>
      <c r="Q8" s="3"/>
      <c r="R8" s="3"/>
      <c r="S8" s="3"/>
    </row>
    <row r="9" spans="2:25" x14ac:dyDescent="0.25">
      <c r="B9" s="1" t="s">
        <v>330</v>
      </c>
      <c r="C9" s="3"/>
      <c r="D9" s="3"/>
      <c r="E9" s="3"/>
      <c r="F9" s="3"/>
      <c r="G9" s="3"/>
      <c r="H9" s="3"/>
      <c r="I9" s="3"/>
      <c r="J9" s="3"/>
      <c r="K9" s="3"/>
      <c r="L9" s="3"/>
      <c r="M9" s="3"/>
      <c r="N9" s="3"/>
      <c r="O9" s="3"/>
      <c r="P9" s="3"/>
      <c r="Q9" s="3"/>
      <c r="R9" s="3"/>
      <c r="S9" s="3"/>
    </row>
    <row r="10" spans="2:25" x14ac:dyDescent="0.25">
      <c r="B10"/>
      <c r="C10" s="3">
        <f>1</f>
        <v>1</v>
      </c>
      <c r="D10" s="3">
        <f>C10+1</f>
        <v>2</v>
      </c>
      <c r="E10" s="3">
        <f t="shared" ref="E10" si="14">D10+1</f>
        <v>3</v>
      </c>
      <c r="F10" s="3">
        <f t="shared" ref="F10" si="15">E10+1</f>
        <v>4</v>
      </c>
      <c r="G10" s="3">
        <f t="shared" ref="G10" si="16">F10+1</f>
        <v>5</v>
      </c>
      <c r="H10" s="3">
        <f t="shared" ref="H10" si="17">G10+1</f>
        <v>6</v>
      </c>
      <c r="I10" s="3">
        <f t="shared" ref="I10" si="18">H10+1</f>
        <v>7</v>
      </c>
      <c r="J10" s="3">
        <f t="shared" ref="J10" si="19">I10+1</f>
        <v>8</v>
      </c>
      <c r="K10" s="3">
        <f t="shared" ref="K10" si="20">J10+1</f>
        <v>9</v>
      </c>
      <c r="L10" s="3">
        <f t="shared" ref="L10" si="21">K10+1</f>
        <v>10</v>
      </c>
      <c r="M10" s="3">
        <f t="shared" ref="M10" si="22">L10+1</f>
        <v>11</v>
      </c>
      <c r="N10" s="3">
        <f t="shared" ref="N10" si="23">M10+1</f>
        <v>12</v>
      </c>
      <c r="O10" s="3">
        <f t="shared" ref="O10" si="24">N10+1</f>
        <v>13</v>
      </c>
      <c r="P10" s="3">
        <f t="shared" ref="P10" si="25">O10+1</f>
        <v>14</v>
      </c>
      <c r="Q10" s="3">
        <f t="shared" ref="Q10" si="26">P10+1</f>
        <v>15</v>
      </c>
      <c r="R10" s="3">
        <f t="shared" ref="R10" si="27">Q10+1</f>
        <v>16</v>
      </c>
      <c r="S10" s="3"/>
    </row>
    <row r="11" spans="2:25" x14ac:dyDescent="0.25">
      <c r="B11" t="s">
        <v>328</v>
      </c>
      <c r="C11" s="3">
        <v>180</v>
      </c>
      <c r="D11" s="3">
        <v>190</v>
      </c>
      <c r="E11" s="3">
        <v>160</v>
      </c>
      <c r="F11" s="3">
        <v>190</v>
      </c>
      <c r="G11" s="3">
        <v>170</v>
      </c>
      <c r="H11" s="3">
        <v>120</v>
      </c>
      <c r="I11" s="3">
        <v>120</v>
      </c>
      <c r="J11" s="3">
        <v>150</v>
      </c>
      <c r="K11" s="3">
        <v>140</v>
      </c>
      <c r="L11" s="3">
        <v>150</v>
      </c>
      <c r="M11" s="3">
        <v>180</v>
      </c>
      <c r="N11" s="3">
        <v>180</v>
      </c>
      <c r="O11" s="3">
        <v>170</v>
      </c>
      <c r="P11" s="3">
        <v>190</v>
      </c>
      <c r="Q11" s="3">
        <v>130</v>
      </c>
      <c r="R11" s="3">
        <v>190</v>
      </c>
      <c r="S11" s="3"/>
    </row>
    <row r="12" spans="2:25" x14ac:dyDescent="0.25">
      <c r="B12" t="s">
        <v>329</v>
      </c>
      <c r="C12" s="160">
        <v>166505</v>
      </c>
      <c r="D12" s="160">
        <v>176558</v>
      </c>
      <c r="E12" s="160">
        <v>180164</v>
      </c>
      <c r="F12" s="160">
        <v>181289</v>
      </c>
      <c r="G12" s="160">
        <v>174266</v>
      </c>
      <c r="H12" s="160">
        <v>181210</v>
      </c>
      <c r="I12" s="160">
        <v>182303</v>
      </c>
      <c r="J12" s="160">
        <v>184254</v>
      </c>
      <c r="K12" s="160">
        <v>186954</v>
      </c>
      <c r="L12" s="160">
        <v>187210</v>
      </c>
      <c r="M12" s="160">
        <v>190144</v>
      </c>
      <c r="N12" s="160">
        <v>180573</v>
      </c>
      <c r="O12" s="160">
        <v>188519</v>
      </c>
      <c r="P12" s="160">
        <v>200049</v>
      </c>
      <c r="Q12" s="160">
        <v>200596</v>
      </c>
      <c r="R12" s="160">
        <v>208718</v>
      </c>
      <c r="S12" s="3"/>
    </row>
    <row r="13" spans="2:25" x14ac:dyDescent="0.25">
      <c r="B13" s="155"/>
      <c r="C13" s="161"/>
      <c r="D13" s="161"/>
      <c r="E13" s="161"/>
      <c r="F13" s="3"/>
      <c r="G13" s="3"/>
      <c r="H13" s="3"/>
      <c r="I13" s="3"/>
      <c r="J13" s="3"/>
      <c r="K13" s="3"/>
      <c r="L13" s="3"/>
      <c r="M13" s="3"/>
      <c r="N13" s="3"/>
      <c r="O13" s="3"/>
      <c r="P13" s="3"/>
      <c r="Q13" s="3"/>
      <c r="R13" s="3"/>
      <c r="S13" s="3"/>
    </row>
    <row r="14" spans="2:25" x14ac:dyDescent="0.25">
      <c r="B14" s="155"/>
      <c r="C14" s="156"/>
      <c r="D14" s="156"/>
      <c r="E14" s="156"/>
    </row>
    <row r="15" spans="2:25" x14ac:dyDescent="0.25">
      <c r="B15" s="155"/>
      <c r="C15" s="156"/>
      <c r="D15" s="156"/>
      <c r="E15" s="156"/>
    </row>
    <row r="16" spans="2:25" x14ac:dyDescent="0.25">
      <c r="B16" s="155"/>
      <c r="C16" s="156"/>
      <c r="D16" s="156"/>
      <c r="E16" s="156"/>
    </row>
    <row r="17" spans="2:13" x14ac:dyDescent="0.25">
      <c r="B17" s="155"/>
      <c r="C17" s="156"/>
      <c r="D17" s="156"/>
      <c r="E17" s="156"/>
    </row>
    <row r="18" spans="2:13" x14ac:dyDescent="0.25">
      <c r="B18" s="155"/>
      <c r="C18" s="156"/>
      <c r="D18" s="156"/>
      <c r="E18" s="156"/>
    </row>
    <row r="19" spans="2:13" x14ac:dyDescent="0.25">
      <c r="B19" s="155"/>
      <c r="C19" s="156"/>
      <c r="D19" s="156"/>
      <c r="E19" s="156"/>
    </row>
    <row r="20" spans="2:13" x14ac:dyDescent="0.25">
      <c r="B20" s="155"/>
      <c r="C20" s="156"/>
      <c r="D20" s="156"/>
      <c r="E20" s="156"/>
    </row>
    <row r="24" spans="2:13" x14ac:dyDescent="0.25">
      <c r="B24" s="157"/>
      <c r="C24" s="158"/>
      <c r="D24" s="158"/>
      <c r="E24" s="158"/>
      <c r="F24" s="158"/>
      <c r="G24" s="158"/>
      <c r="H24" s="158"/>
      <c r="I24" s="158"/>
      <c r="J24" s="158"/>
      <c r="K24" s="158"/>
      <c r="L24" s="158"/>
    </row>
    <row r="25" spans="2:13" x14ac:dyDescent="0.25">
      <c r="B25" s="157"/>
      <c r="C25" s="157"/>
      <c r="D25" s="157"/>
      <c r="E25" s="157"/>
      <c r="F25" s="157"/>
      <c r="G25" s="157"/>
      <c r="H25" s="157"/>
      <c r="I25" s="157"/>
      <c r="J25" s="157"/>
      <c r="K25" s="157"/>
      <c r="L25" s="157"/>
      <c r="M25" s="157"/>
    </row>
    <row r="26" spans="2:13" x14ac:dyDescent="0.25">
      <c r="B26" s="158"/>
      <c r="C26" s="159"/>
      <c r="D26" s="159"/>
      <c r="E26" s="159"/>
      <c r="F26" s="159"/>
      <c r="G26" s="159"/>
      <c r="H26" s="159"/>
      <c r="I26" s="159"/>
      <c r="J26" s="159"/>
      <c r="K26" s="159"/>
      <c r="L26" s="159"/>
    </row>
    <row r="27" spans="2:13" x14ac:dyDescent="0.25">
      <c r="B27" s="158"/>
      <c r="C27" s="159"/>
      <c r="D27" s="159"/>
      <c r="E27" s="159"/>
      <c r="F27" s="159"/>
      <c r="G27" s="158"/>
      <c r="H27" s="159"/>
      <c r="I27" s="158"/>
      <c r="J27" s="159"/>
      <c r="K27" s="159"/>
      <c r="L27" s="159"/>
    </row>
    <row r="28" spans="2:13" x14ac:dyDescent="0.25">
      <c r="B28" s="158"/>
      <c r="C28" s="158"/>
      <c r="D28" s="159"/>
      <c r="E28" s="158"/>
      <c r="F28" s="159"/>
      <c r="G28" s="158"/>
      <c r="H28" s="159"/>
      <c r="I28" s="158"/>
      <c r="J28" s="159"/>
      <c r="K28" s="158"/>
      <c r="L28" s="159"/>
    </row>
    <row r="29" spans="2:13" x14ac:dyDescent="0.25">
      <c r="B29" s="158"/>
      <c r="C29" s="158"/>
      <c r="D29" s="159"/>
      <c r="E29" s="158"/>
      <c r="F29" s="159"/>
      <c r="G29" s="158"/>
      <c r="H29" s="159"/>
      <c r="I29" s="158"/>
      <c r="J29" s="159"/>
      <c r="K29" s="158"/>
      <c r="L29" s="159"/>
    </row>
    <row r="30" spans="2:13" x14ac:dyDescent="0.25">
      <c r="B30" s="158"/>
      <c r="C30" s="158"/>
      <c r="D30" s="159"/>
      <c r="E30" s="158"/>
      <c r="F30" s="159"/>
      <c r="G30" s="158"/>
      <c r="H30" s="159"/>
      <c r="I30" s="158"/>
      <c r="J30" s="159"/>
      <c r="K30" s="158"/>
      <c r="L30" s="159"/>
    </row>
    <row r="31" spans="2:13" x14ac:dyDescent="0.25">
      <c r="B31" s="158"/>
      <c r="C31" s="158"/>
      <c r="D31" s="159"/>
      <c r="E31" s="158"/>
      <c r="F31" s="159"/>
      <c r="G31" s="158"/>
      <c r="H31" s="159"/>
      <c r="I31" s="158"/>
      <c r="J31" s="159"/>
      <c r="K31" s="158"/>
      <c r="L31" s="159"/>
    </row>
    <row r="32" spans="2:13" x14ac:dyDescent="0.25">
      <c r="B32" s="158"/>
      <c r="C32" s="158"/>
      <c r="D32" s="159"/>
      <c r="E32" s="158"/>
      <c r="F32" s="159"/>
      <c r="G32" s="158"/>
      <c r="H32" s="159"/>
      <c r="I32" s="158"/>
      <c r="J32" s="159"/>
      <c r="K32" s="158"/>
      <c r="L32" s="159"/>
    </row>
    <row r="33" spans="2:12" x14ac:dyDescent="0.25">
      <c r="B33" s="158"/>
      <c r="C33" s="158"/>
      <c r="D33" s="159"/>
      <c r="E33" s="158"/>
      <c r="F33" s="159"/>
      <c r="G33" s="158"/>
      <c r="H33" s="159"/>
      <c r="I33" s="158"/>
      <c r="J33" s="159"/>
      <c r="K33" s="158"/>
      <c r="L33" s="159"/>
    </row>
    <row r="34" spans="2:12" x14ac:dyDescent="0.25">
      <c r="B34" s="158"/>
      <c r="C34" s="158"/>
      <c r="D34" s="159"/>
      <c r="E34" s="158"/>
      <c r="F34" s="159"/>
      <c r="G34" s="158"/>
      <c r="H34" s="159"/>
      <c r="I34" s="158"/>
      <c r="J34" s="159"/>
      <c r="K34" s="158"/>
      <c r="L34" s="159"/>
    </row>
    <row r="35" spans="2:12" x14ac:dyDescent="0.25">
      <c r="B35" s="158"/>
      <c r="C35" s="158"/>
      <c r="D35" s="159"/>
      <c r="E35" s="158"/>
      <c r="F35" s="159"/>
      <c r="G35" s="158"/>
      <c r="H35" s="159"/>
      <c r="I35" s="158"/>
      <c r="J35" s="159"/>
      <c r="K35" s="158"/>
      <c r="L35" s="159"/>
    </row>
    <row r="36" spans="2:12" x14ac:dyDescent="0.25">
      <c r="B36" s="158"/>
      <c r="C36" s="159"/>
      <c r="D36" s="159"/>
      <c r="E36" s="158"/>
      <c r="F36" s="159"/>
      <c r="G36" s="158"/>
      <c r="H36" s="159"/>
      <c r="I36" s="158"/>
      <c r="J36" s="159"/>
      <c r="K36" s="158"/>
      <c r="L36" s="159"/>
    </row>
    <row r="37" spans="2:12" x14ac:dyDescent="0.25">
      <c r="B37" s="158"/>
      <c r="C37" s="159"/>
      <c r="D37" s="159"/>
      <c r="E37" s="159"/>
      <c r="F37" s="159"/>
      <c r="G37" s="158"/>
      <c r="H37" s="159"/>
      <c r="I37" s="158"/>
      <c r="J37" s="159"/>
      <c r="K37" s="159"/>
      <c r="L37" s="159"/>
    </row>
    <row r="38" spans="2:12" x14ac:dyDescent="0.25">
      <c r="B38" s="158"/>
      <c r="C38" s="159"/>
      <c r="D38" s="159"/>
      <c r="E38" s="159"/>
      <c r="F38" s="159"/>
      <c r="G38" s="158"/>
      <c r="H38" s="159"/>
      <c r="I38" s="158"/>
      <c r="J38" s="159"/>
      <c r="K38" s="158"/>
      <c r="L38" s="159"/>
    </row>
    <row r="39" spans="2:12" x14ac:dyDescent="0.25">
      <c r="B39" s="158"/>
      <c r="C39" s="159"/>
      <c r="D39" s="159"/>
      <c r="E39" s="158"/>
      <c r="F39" s="159"/>
      <c r="G39" s="158"/>
      <c r="H39" s="159"/>
      <c r="I39" s="158"/>
      <c r="J39" s="159"/>
      <c r="K39" s="158"/>
      <c r="L39" s="159"/>
    </row>
    <row r="40" spans="2:12" x14ac:dyDescent="0.25">
      <c r="B40" s="158"/>
      <c r="C40" s="159"/>
      <c r="D40" s="159"/>
      <c r="E40" s="158"/>
      <c r="F40" s="159"/>
      <c r="G40" s="158"/>
      <c r="H40" s="159"/>
      <c r="I40" s="158"/>
      <c r="J40" s="159"/>
      <c r="K40" s="158"/>
      <c r="L40" s="159"/>
    </row>
    <row r="41" spans="2:12" x14ac:dyDescent="0.25">
      <c r="B41" s="158"/>
      <c r="C41" s="158"/>
      <c r="D41" s="159"/>
      <c r="E41" s="158"/>
      <c r="F41" s="159"/>
      <c r="G41" s="158"/>
      <c r="H41" s="159"/>
      <c r="I41" s="158"/>
      <c r="J41" s="159"/>
      <c r="K41" s="158"/>
      <c r="L41" s="159"/>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1518-ABF6-40B9-8BB8-91109095F496}">
  <dimension ref="B5:J13"/>
  <sheetViews>
    <sheetView workbookViewId="0">
      <selection activeCell="B13" sqref="B13"/>
    </sheetView>
    <sheetView workbookViewId="1"/>
  </sheetViews>
  <sheetFormatPr defaultRowHeight="15" x14ac:dyDescent="0.25"/>
  <sheetData>
    <row r="5" spans="2:10" x14ac:dyDescent="0.25">
      <c r="B5" s="63" t="s">
        <v>331</v>
      </c>
      <c r="C5" s="63" t="s">
        <v>332</v>
      </c>
      <c r="D5" s="63" t="s">
        <v>333</v>
      </c>
      <c r="E5" s="63"/>
      <c r="F5" s="63" t="s">
        <v>334</v>
      </c>
      <c r="G5" s="63" t="s">
        <v>334</v>
      </c>
      <c r="H5" s="63"/>
      <c r="I5" s="63"/>
      <c r="J5" s="63"/>
    </row>
    <row r="6" spans="2:10" x14ac:dyDescent="0.25">
      <c r="B6" s="63">
        <f>'Proto Costing'!C3/2</f>
        <v>105443</v>
      </c>
      <c r="C6" s="63">
        <v>400</v>
      </c>
      <c r="D6" s="63">
        <f>B6/400</f>
        <v>263.60750000000002</v>
      </c>
      <c r="E6" s="63"/>
      <c r="F6" s="63">
        <f>C6-2*30</f>
        <v>340</v>
      </c>
      <c r="G6" s="63">
        <f>D6-2*30</f>
        <v>203.60750000000002</v>
      </c>
      <c r="H6" s="63">
        <f>2*(F6+G6)</f>
        <v>1087.2150000000001</v>
      </c>
      <c r="I6" s="63"/>
      <c r="J6" s="63" t="s">
        <v>335</v>
      </c>
    </row>
    <row r="7" spans="2:10" x14ac:dyDescent="0.25">
      <c r="B7" s="63"/>
      <c r="C7" s="63"/>
      <c r="D7" s="63"/>
      <c r="E7" s="63"/>
      <c r="F7" s="63"/>
      <c r="G7" s="63"/>
      <c r="H7" s="63">
        <f>2*H6</f>
        <v>2174.4300000000003</v>
      </c>
      <c r="I7" s="63"/>
      <c r="J7" s="63">
        <f>46*50</f>
        <v>2300</v>
      </c>
    </row>
    <row r="13" spans="2:10" ht="18.75" x14ac:dyDescent="0.3">
      <c r="B13" s="52" t="s">
        <v>336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DAF00-1029-4924-9455-2C3266CCB88F}">
  <sheetPr>
    <tabColor theme="0" tint="-0.499984740745262"/>
  </sheetPr>
  <dimension ref="B2:R98"/>
  <sheetViews>
    <sheetView zoomScale="85" zoomScaleNormal="85" workbookViewId="0">
      <selection activeCell="B2" sqref="B2"/>
    </sheetView>
    <sheetView workbookViewId="1"/>
  </sheetViews>
  <sheetFormatPr defaultRowHeight="15" x14ac:dyDescent="0.25"/>
  <cols>
    <col min="2" max="2" width="26.28515625" customWidth="1"/>
    <col min="3" max="3" width="10.140625" bestFit="1" customWidth="1"/>
  </cols>
  <sheetData>
    <row r="2" spans="2:5" x14ac:dyDescent="0.25">
      <c r="B2" s="1" t="s">
        <v>337</v>
      </c>
      <c r="E2" t="s">
        <v>338</v>
      </c>
    </row>
    <row r="4" spans="2:5" x14ac:dyDescent="0.25">
      <c r="B4" s="1" t="s">
        <v>339</v>
      </c>
    </row>
    <row r="5" spans="2:5" x14ac:dyDescent="0.25">
      <c r="C5" t="s">
        <v>340</v>
      </c>
      <c r="E5" t="s">
        <v>341</v>
      </c>
    </row>
    <row r="6" spans="2:5" x14ac:dyDescent="0.25">
      <c r="B6" t="s">
        <v>342</v>
      </c>
      <c r="C6" s="9">
        <v>0.1</v>
      </c>
      <c r="D6" t="s">
        <v>343</v>
      </c>
    </row>
    <row r="7" spans="2:5" x14ac:dyDescent="0.25">
      <c r="B7" t="s">
        <v>344</v>
      </c>
      <c r="C7" s="5">
        <v>114</v>
      </c>
      <c r="D7" t="s">
        <v>345</v>
      </c>
    </row>
    <row r="8" spans="2:5" x14ac:dyDescent="0.25">
      <c r="C8" s="5"/>
    </row>
    <row r="9" spans="2:5" x14ac:dyDescent="0.25">
      <c r="B9" t="s">
        <v>346</v>
      </c>
      <c r="C9" s="5">
        <v>15535</v>
      </c>
      <c r="D9" t="s">
        <v>347</v>
      </c>
      <c r="E9" t="s">
        <v>348</v>
      </c>
    </row>
    <row r="10" spans="2:5" x14ac:dyDescent="0.25">
      <c r="B10" t="s">
        <v>346</v>
      </c>
      <c r="C10" s="5">
        <v>3330</v>
      </c>
      <c r="D10" t="s">
        <v>347</v>
      </c>
      <c r="E10" t="s">
        <v>349</v>
      </c>
    </row>
    <row r="11" spans="2:5" x14ac:dyDescent="0.25">
      <c r="B11" t="s">
        <v>350</v>
      </c>
      <c r="C11" s="5">
        <v>1309</v>
      </c>
      <c r="D11" t="s">
        <v>347</v>
      </c>
      <c r="E11" t="s">
        <v>350</v>
      </c>
    </row>
    <row r="12" spans="2:5" x14ac:dyDescent="0.25">
      <c r="B12" t="s">
        <v>351</v>
      </c>
      <c r="C12" s="5">
        <f>1184+250</f>
        <v>1434</v>
      </c>
      <c r="D12" t="s">
        <v>352</v>
      </c>
      <c r="E12" t="s">
        <v>353</v>
      </c>
    </row>
    <row r="13" spans="2:5" x14ac:dyDescent="0.25">
      <c r="C13" s="5"/>
    </row>
    <row r="14" spans="2:5" x14ac:dyDescent="0.25">
      <c r="B14" t="s">
        <v>354</v>
      </c>
      <c r="C14" s="5"/>
    </row>
    <row r="16" spans="2:5" x14ac:dyDescent="0.25">
      <c r="B16" s="1" t="s">
        <v>74</v>
      </c>
    </row>
    <row r="18" spans="2:10" x14ac:dyDescent="0.25">
      <c r="B18" t="s">
        <v>342</v>
      </c>
      <c r="C18" s="9">
        <v>0.1</v>
      </c>
      <c r="D18" t="s">
        <v>343</v>
      </c>
    </row>
    <row r="19" spans="2:10" x14ac:dyDescent="0.25">
      <c r="B19" t="s">
        <v>344</v>
      </c>
      <c r="C19" s="5">
        <v>114</v>
      </c>
      <c r="D19" t="s">
        <v>345</v>
      </c>
    </row>
    <row r="21" spans="2:10" x14ac:dyDescent="0.25">
      <c r="B21" t="s">
        <v>346</v>
      </c>
      <c r="C21" s="5">
        <v>15535</v>
      </c>
      <c r="D21" t="s">
        <v>347</v>
      </c>
      <c r="E21" t="s">
        <v>348</v>
      </c>
    </row>
    <row r="22" spans="2:10" x14ac:dyDescent="0.25">
      <c r="B22" t="s">
        <v>346</v>
      </c>
      <c r="C22" s="5">
        <v>3330</v>
      </c>
      <c r="D22" t="s">
        <v>347</v>
      </c>
      <c r="E22" t="s">
        <v>349</v>
      </c>
      <c r="J22" t="s">
        <v>355</v>
      </c>
    </row>
    <row r="23" spans="2:10" x14ac:dyDescent="0.25">
      <c r="B23" t="s">
        <v>350</v>
      </c>
      <c r="C23" s="5">
        <v>11714</v>
      </c>
      <c r="D23" t="s">
        <v>347</v>
      </c>
      <c r="E23" t="s">
        <v>356</v>
      </c>
    </row>
    <row r="25" spans="2:10" x14ac:dyDescent="0.25">
      <c r="B25" t="s">
        <v>357</v>
      </c>
      <c r="C25" s="8">
        <f>20*100</f>
        <v>2000</v>
      </c>
      <c r="D25" t="s">
        <v>347</v>
      </c>
    </row>
    <row r="26" spans="2:10" x14ac:dyDescent="0.25">
      <c r="B26" t="s">
        <v>351</v>
      </c>
      <c r="C26" s="5">
        <f>1184+250</f>
        <v>1434</v>
      </c>
      <c r="D26">
        <v>12</v>
      </c>
      <c r="E26" t="s">
        <v>353</v>
      </c>
    </row>
    <row r="28" spans="2:10" x14ac:dyDescent="0.25">
      <c r="B28" t="s">
        <v>94</v>
      </c>
      <c r="C28" s="58">
        <f>SUM(C21,C23,C25)</f>
        <v>29249</v>
      </c>
    </row>
    <row r="30" spans="2:10" x14ac:dyDescent="0.25">
      <c r="B30" t="s">
        <v>358</v>
      </c>
      <c r="C30" s="58">
        <f>C28+C26*12</f>
        <v>46457</v>
      </c>
    </row>
    <row r="32" spans="2:10" x14ac:dyDescent="0.25">
      <c r="B32" s="66" t="s">
        <v>339</v>
      </c>
    </row>
    <row r="34" spans="2:18" x14ac:dyDescent="0.25">
      <c r="C34" t="s">
        <v>49</v>
      </c>
      <c r="D34" t="s">
        <v>50</v>
      </c>
      <c r="E34" t="s">
        <v>51</v>
      </c>
      <c r="F34" t="s">
        <v>52</v>
      </c>
      <c r="G34" t="s">
        <v>53</v>
      </c>
      <c r="H34" t="s">
        <v>54</v>
      </c>
      <c r="I34" t="s">
        <v>55</v>
      </c>
      <c r="J34" t="s">
        <v>56</v>
      </c>
      <c r="K34" t="s">
        <v>57</v>
      </c>
      <c r="L34" t="s">
        <v>58</v>
      </c>
      <c r="M34" t="s">
        <v>59</v>
      </c>
      <c r="N34" t="s">
        <v>60</v>
      </c>
      <c r="O34" t="s">
        <v>61</v>
      </c>
      <c r="P34" t="s">
        <v>62</v>
      </c>
      <c r="Q34" t="s">
        <v>63</v>
      </c>
      <c r="R34" t="s">
        <v>64</v>
      </c>
    </row>
    <row r="35" spans="2:18" x14ac:dyDescent="0.25">
      <c r="B35" t="s">
        <v>359</v>
      </c>
      <c r="C35" s="5">
        <f>$C$9</f>
        <v>15535</v>
      </c>
      <c r="D35" s="5">
        <f t="shared" ref="D35:R35" si="0">$C$9</f>
        <v>15535</v>
      </c>
      <c r="E35" s="5">
        <f t="shared" si="0"/>
        <v>15535</v>
      </c>
      <c r="F35" s="5">
        <f t="shared" si="0"/>
        <v>15535</v>
      </c>
      <c r="G35" s="5">
        <f t="shared" si="0"/>
        <v>15535</v>
      </c>
      <c r="H35" s="5">
        <v>1567</v>
      </c>
      <c r="I35" s="5">
        <v>1863</v>
      </c>
      <c r="J35" s="5">
        <v>1863</v>
      </c>
      <c r="K35" s="5">
        <v>1567</v>
      </c>
      <c r="L35" s="5">
        <v>1567</v>
      </c>
      <c r="M35" s="5">
        <f t="shared" si="0"/>
        <v>15535</v>
      </c>
      <c r="N35" s="5">
        <f>J35</f>
        <v>1863</v>
      </c>
      <c r="O35" s="5">
        <f t="shared" si="0"/>
        <v>15535</v>
      </c>
      <c r="P35" s="5">
        <f>K35</f>
        <v>1567</v>
      </c>
      <c r="Q35" s="5">
        <f t="shared" si="0"/>
        <v>15535</v>
      </c>
      <c r="R35" s="5">
        <f t="shared" si="0"/>
        <v>15535</v>
      </c>
    </row>
    <row r="36" spans="2:18" x14ac:dyDescent="0.25">
      <c r="B36" t="s">
        <v>360</v>
      </c>
      <c r="C36" s="5">
        <v>2814</v>
      </c>
      <c r="D36" s="5">
        <v>2814</v>
      </c>
      <c r="E36" s="5">
        <v>2814</v>
      </c>
      <c r="F36" s="5">
        <v>2814</v>
      </c>
      <c r="G36" s="5">
        <v>2814</v>
      </c>
      <c r="H36" s="5">
        <v>1567</v>
      </c>
      <c r="I36" s="5">
        <v>1863</v>
      </c>
      <c r="J36" s="5">
        <v>1863</v>
      </c>
      <c r="K36" s="5">
        <v>1567</v>
      </c>
      <c r="L36" s="5">
        <v>1567</v>
      </c>
      <c r="M36" s="5">
        <v>2814</v>
      </c>
      <c r="N36" s="5">
        <f>J36</f>
        <v>1863</v>
      </c>
      <c r="O36" s="5">
        <v>2814</v>
      </c>
      <c r="P36" s="5">
        <f>K36</f>
        <v>1567</v>
      </c>
      <c r="Q36" s="5">
        <v>1567</v>
      </c>
      <c r="R36" s="5">
        <v>2814</v>
      </c>
    </row>
    <row r="37" spans="2:18" x14ac:dyDescent="0.25">
      <c r="B37" t="s">
        <v>350</v>
      </c>
      <c r="C37" s="5">
        <f>$C$11</f>
        <v>1309</v>
      </c>
      <c r="D37" s="5">
        <f t="shared" ref="D37:R37" si="1">$C$11</f>
        <v>1309</v>
      </c>
      <c r="E37" s="5">
        <f t="shared" si="1"/>
        <v>1309</v>
      </c>
      <c r="F37" s="5">
        <f t="shared" si="1"/>
        <v>1309</v>
      </c>
      <c r="G37" s="5">
        <f t="shared" si="1"/>
        <v>1309</v>
      </c>
      <c r="H37" s="5">
        <f t="shared" si="1"/>
        <v>1309</v>
      </c>
      <c r="I37" s="5">
        <f t="shared" si="1"/>
        <v>1309</v>
      </c>
      <c r="J37" s="5">
        <f t="shared" si="1"/>
        <v>1309</v>
      </c>
      <c r="K37" s="5">
        <f t="shared" si="1"/>
        <v>1309</v>
      </c>
      <c r="L37" s="5">
        <f t="shared" si="1"/>
        <v>1309</v>
      </c>
      <c r="M37" s="5">
        <f t="shared" si="1"/>
        <v>1309</v>
      </c>
      <c r="N37" s="5">
        <f t="shared" si="1"/>
        <v>1309</v>
      </c>
      <c r="O37" s="5">
        <f t="shared" si="1"/>
        <v>1309</v>
      </c>
      <c r="P37" s="5">
        <f t="shared" si="1"/>
        <v>1309</v>
      </c>
      <c r="Q37" s="5">
        <f t="shared" si="1"/>
        <v>1309</v>
      </c>
      <c r="R37" s="5">
        <f t="shared" si="1"/>
        <v>1309</v>
      </c>
    </row>
    <row r="38" spans="2:18" x14ac:dyDescent="0.25">
      <c r="B38" t="s">
        <v>361</v>
      </c>
      <c r="C38" s="5">
        <f>$C$12*3</f>
        <v>4302</v>
      </c>
      <c r="D38" s="5">
        <f t="shared" ref="D38:R38" si="2">$C$12*3</f>
        <v>4302</v>
      </c>
      <c r="E38" s="5">
        <f t="shared" si="2"/>
        <v>4302</v>
      </c>
      <c r="F38" s="5">
        <f t="shared" si="2"/>
        <v>4302</v>
      </c>
      <c r="G38" s="5">
        <f t="shared" si="2"/>
        <v>4302</v>
      </c>
      <c r="H38" s="5">
        <f t="shared" si="2"/>
        <v>4302</v>
      </c>
      <c r="I38" s="5">
        <f t="shared" si="2"/>
        <v>4302</v>
      </c>
      <c r="J38" s="5">
        <f t="shared" si="2"/>
        <v>4302</v>
      </c>
      <c r="K38" s="5">
        <f t="shared" si="2"/>
        <v>4302</v>
      </c>
      <c r="L38" s="5">
        <f t="shared" si="2"/>
        <v>4302</v>
      </c>
      <c r="M38" s="5">
        <f t="shared" si="2"/>
        <v>4302</v>
      </c>
      <c r="N38" s="5">
        <f t="shared" si="2"/>
        <v>4302</v>
      </c>
      <c r="O38" s="5">
        <f t="shared" si="2"/>
        <v>4302</v>
      </c>
      <c r="P38" s="5">
        <f t="shared" si="2"/>
        <v>4302</v>
      </c>
      <c r="Q38" s="5">
        <f t="shared" si="2"/>
        <v>4302</v>
      </c>
      <c r="R38" s="5">
        <f t="shared" si="2"/>
        <v>4302</v>
      </c>
    </row>
    <row r="39" spans="2:18" x14ac:dyDescent="0.25">
      <c r="B39" t="s">
        <v>362</v>
      </c>
      <c r="C39" s="5">
        <v>2000</v>
      </c>
      <c r="D39" s="5">
        <v>2000</v>
      </c>
      <c r="E39" s="5">
        <v>2000</v>
      </c>
      <c r="F39" s="5">
        <v>2000</v>
      </c>
      <c r="G39" s="5">
        <v>2000</v>
      </c>
      <c r="H39" s="5">
        <v>2000</v>
      </c>
      <c r="I39" s="5">
        <v>2000</v>
      </c>
      <c r="J39" s="5">
        <v>2000</v>
      </c>
      <c r="K39" s="5">
        <v>2000</v>
      </c>
      <c r="L39" s="5">
        <v>2000</v>
      </c>
      <c r="M39" s="5">
        <v>2000</v>
      </c>
      <c r="N39" s="5">
        <v>2000</v>
      </c>
      <c r="O39" s="5">
        <v>2000</v>
      </c>
      <c r="P39" s="5">
        <v>2000</v>
      </c>
      <c r="Q39" s="5">
        <v>2000</v>
      </c>
      <c r="R39" s="5">
        <v>2000</v>
      </c>
    </row>
    <row r="41" spans="2:18" x14ac:dyDescent="0.25">
      <c r="B41" t="s">
        <v>363</v>
      </c>
      <c r="C41" s="5">
        <f>SUM(C35,C37:C39)</f>
        <v>23146</v>
      </c>
      <c r="D41" s="5">
        <f t="shared" ref="D41:R41" si="3">SUM(D35,D37:D39)</f>
        <v>23146</v>
      </c>
      <c r="E41" s="5">
        <f t="shared" si="3"/>
        <v>23146</v>
      </c>
      <c r="F41" s="5">
        <f t="shared" si="3"/>
        <v>23146</v>
      </c>
      <c r="G41" s="5">
        <f t="shared" si="3"/>
        <v>23146</v>
      </c>
      <c r="H41" s="5">
        <f t="shared" si="3"/>
        <v>9178</v>
      </c>
      <c r="I41" s="5">
        <f t="shared" si="3"/>
        <v>9474</v>
      </c>
      <c r="J41" s="5">
        <f t="shared" si="3"/>
        <v>9474</v>
      </c>
      <c r="K41" s="5">
        <f t="shared" si="3"/>
        <v>9178</v>
      </c>
      <c r="L41" s="5">
        <f t="shared" si="3"/>
        <v>9178</v>
      </c>
      <c r="M41" s="5">
        <f t="shared" si="3"/>
        <v>23146</v>
      </c>
      <c r="N41" s="5">
        <f t="shared" si="3"/>
        <v>9474</v>
      </c>
      <c r="O41" s="5">
        <f t="shared" si="3"/>
        <v>23146</v>
      </c>
      <c r="P41" s="5">
        <f t="shared" si="3"/>
        <v>9178</v>
      </c>
      <c r="Q41" s="5">
        <f t="shared" si="3"/>
        <v>23146</v>
      </c>
      <c r="R41" s="5">
        <f t="shared" si="3"/>
        <v>23146</v>
      </c>
    </row>
    <row r="42" spans="2:18" x14ac:dyDescent="0.25">
      <c r="B42" t="s">
        <v>364</v>
      </c>
      <c r="C42" s="5">
        <f>SUM(C36:C39)</f>
        <v>10425</v>
      </c>
      <c r="D42" s="5">
        <f t="shared" ref="D42:R42" si="4">SUM(D36:D39)</f>
        <v>10425</v>
      </c>
      <c r="E42" s="5">
        <f t="shared" si="4"/>
        <v>10425</v>
      </c>
      <c r="F42" s="5">
        <f t="shared" si="4"/>
        <v>10425</v>
      </c>
      <c r="G42" s="5">
        <f t="shared" si="4"/>
        <v>10425</v>
      </c>
      <c r="H42" s="5">
        <f t="shared" si="4"/>
        <v>9178</v>
      </c>
      <c r="I42" s="5">
        <f t="shared" si="4"/>
        <v>9474</v>
      </c>
      <c r="J42" s="5">
        <f t="shared" si="4"/>
        <v>9474</v>
      </c>
      <c r="K42" s="5">
        <f t="shared" si="4"/>
        <v>9178</v>
      </c>
      <c r="L42" s="5">
        <f t="shared" si="4"/>
        <v>9178</v>
      </c>
      <c r="M42" s="5">
        <f t="shared" si="4"/>
        <v>10425</v>
      </c>
      <c r="N42" s="5">
        <f t="shared" si="4"/>
        <v>9474</v>
      </c>
      <c r="O42" s="5">
        <f t="shared" si="4"/>
        <v>10425</v>
      </c>
      <c r="P42" s="5">
        <f t="shared" si="4"/>
        <v>9178</v>
      </c>
      <c r="Q42" s="5">
        <f t="shared" si="4"/>
        <v>9178</v>
      </c>
      <c r="R42" s="5">
        <f t="shared" si="4"/>
        <v>10425</v>
      </c>
    </row>
    <row r="43" spans="2:18" x14ac:dyDescent="0.25">
      <c r="B43" s="65" t="s">
        <v>365</v>
      </c>
      <c r="C43" s="64" t="e">
        <f>C41/'Proto Costing'!#REF!</f>
        <v>#REF!</v>
      </c>
      <c r="D43" s="64" t="e">
        <f>D41/'Proto Costing'!#REF!</f>
        <v>#REF!</v>
      </c>
      <c r="E43" s="64" t="e">
        <f>E41/'Proto Costing'!#REF!</f>
        <v>#REF!</v>
      </c>
      <c r="F43" s="64" t="e">
        <f>F41/'Proto Costing'!#REF!</f>
        <v>#REF!</v>
      </c>
      <c r="G43" s="64" t="e">
        <f>G41/'Proto Costing'!#REF!</f>
        <v>#REF!</v>
      </c>
      <c r="H43" s="64" t="e">
        <f>H41/'Proto Costing'!#REF!</f>
        <v>#REF!</v>
      </c>
      <c r="I43" s="64" t="e">
        <f>I41/'Proto Costing'!#REF!</f>
        <v>#REF!</v>
      </c>
      <c r="J43" s="64" t="e">
        <f>J41/'Proto Costing'!#REF!</f>
        <v>#REF!</v>
      </c>
      <c r="K43" s="64" t="e">
        <f>K41/'Proto Costing'!#REF!</f>
        <v>#REF!</v>
      </c>
      <c r="L43" s="64" t="e">
        <f>L41/'Proto Costing'!#REF!</f>
        <v>#REF!</v>
      </c>
      <c r="M43" s="64" t="e">
        <f>M41/'Proto Costing'!#REF!</f>
        <v>#REF!</v>
      </c>
      <c r="N43" s="64" t="e">
        <f>N41/'Proto Costing'!#REF!</f>
        <v>#REF!</v>
      </c>
      <c r="O43" s="64" t="e">
        <f>O41/'Proto Costing'!#REF!</f>
        <v>#REF!</v>
      </c>
      <c r="P43" s="64" t="e">
        <f>P41/'Proto Costing'!#REF!</f>
        <v>#REF!</v>
      </c>
      <c r="Q43" s="64" t="e">
        <f>Q41/'Proto Costing'!#REF!</f>
        <v>#REF!</v>
      </c>
      <c r="R43" s="64" t="e">
        <f>R41/'Proto Costing'!#REF!</f>
        <v>#REF!</v>
      </c>
    </row>
    <row r="44" spans="2:18" x14ac:dyDescent="0.25">
      <c r="B44" t="s">
        <v>366</v>
      </c>
      <c r="C44" s="49" t="e">
        <f>C42/'Proto Costing'!#REF!</f>
        <v>#REF!</v>
      </c>
      <c r="D44" s="49" t="e">
        <f>D42/'Proto Costing'!#REF!</f>
        <v>#REF!</v>
      </c>
      <c r="E44" s="49" t="e">
        <f>E42/'Proto Costing'!#REF!</f>
        <v>#REF!</v>
      </c>
      <c r="F44" s="49" t="e">
        <f>F42/'Proto Costing'!#REF!</f>
        <v>#REF!</v>
      </c>
      <c r="G44" s="49" t="e">
        <f>G42/'Proto Costing'!#REF!</f>
        <v>#REF!</v>
      </c>
      <c r="H44" s="49" t="e">
        <f>H42/'Proto Costing'!#REF!</f>
        <v>#REF!</v>
      </c>
      <c r="I44" s="49" t="e">
        <f>I42/'Proto Costing'!#REF!</f>
        <v>#REF!</v>
      </c>
      <c r="J44" s="49" t="e">
        <f>J42/'Proto Costing'!#REF!</f>
        <v>#REF!</v>
      </c>
      <c r="K44" s="49" t="e">
        <f>K42/'Proto Costing'!#REF!</f>
        <v>#REF!</v>
      </c>
      <c r="L44" s="49" t="e">
        <f>L42/'Proto Costing'!#REF!</f>
        <v>#REF!</v>
      </c>
      <c r="M44" s="49" t="e">
        <f>M42/'Proto Costing'!#REF!</f>
        <v>#REF!</v>
      </c>
      <c r="N44" s="49" t="e">
        <f>N42/'Proto Costing'!#REF!</f>
        <v>#REF!</v>
      </c>
      <c r="O44" s="49" t="e">
        <f>O42/'Proto Costing'!#REF!</f>
        <v>#REF!</v>
      </c>
      <c r="P44" s="49" t="e">
        <f>P42/'Proto Costing'!#REF!</f>
        <v>#REF!</v>
      </c>
      <c r="Q44" s="49" t="e">
        <f>Q42/'Proto Costing'!#REF!</f>
        <v>#REF!</v>
      </c>
      <c r="R44" s="49" t="e">
        <f>R42/'Proto Costing'!#REF!</f>
        <v>#REF!</v>
      </c>
    </row>
    <row r="47" spans="2:18" x14ac:dyDescent="0.25">
      <c r="B47" s="66" t="s">
        <v>74</v>
      </c>
    </row>
    <row r="49" spans="2:18" x14ac:dyDescent="0.25">
      <c r="C49" t="s">
        <v>49</v>
      </c>
      <c r="D49" t="s">
        <v>50</v>
      </c>
      <c r="E49" t="s">
        <v>51</v>
      </c>
      <c r="F49" t="s">
        <v>52</v>
      </c>
      <c r="G49" t="s">
        <v>53</v>
      </c>
      <c r="H49" t="s">
        <v>54</v>
      </c>
      <c r="I49" t="s">
        <v>55</v>
      </c>
      <c r="J49" t="s">
        <v>56</v>
      </c>
      <c r="K49" t="s">
        <v>57</v>
      </c>
      <c r="L49" t="s">
        <v>58</v>
      </c>
      <c r="M49" t="s">
        <v>59</v>
      </c>
      <c r="N49" t="s">
        <v>60</v>
      </c>
      <c r="O49" t="s">
        <v>61</v>
      </c>
      <c r="P49" t="s">
        <v>62</v>
      </c>
      <c r="Q49" t="s">
        <v>63</v>
      </c>
      <c r="R49" t="s">
        <v>64</v>
      </c>
    </row>
    <row r="50" spans="2:18" x14ac:dyDescent="0.25">
      <c r="B50" t="s">
        <v>359</v>
      </c>
      <c r="C50" s="5">
        <f>$C$9</f>
        <v>15535</v>
      </c>
      <c r="D50" s="5">
        <f t="shared" ref="D50:R50" si="5">$C$9</f>
        <v>15535</v>
      </c>
      <c r="E50" s="5">
        <f t="shared" si="5"/>
        <v>15535</v>
      </c>
      <c r="F50" s="5">
        <f t="shared" si="5"/>
        <v>15535</v>
      </c>
      <c r="G50" s="5">
        <f t="shared" si="5"/>
        <v>15535</v>
      </c>
      <c r="H50" s="5">
        <v>1567</v>
      </c>
      <c r="I50" s="5">
        <v>1863</v>
      </c>
      <c r="J50" s="5">
        <v>1863</v>
      </c>
      <c r="K50" s="5">
        <v>1567</v>
      </c>
      <c r="L50" s="5">
        <v>1567</v>
      </c>
      <c r="M50" s="5">
        <f t="shared" si="5"/>
        <v>15535</v>
      </c>
      <c r="N50" s="5">
        <f>J50</f>
        <v>1863</v>
      </c>
      <c r="O50" s="5">
        <f t="shared" si="5"/>
        <v>15535</v>
      </c>
      <c r="P50" s="5">
        <f>K50</f>
        <v>1567</v>
      </c>
      <c r="Q50" s="5">
        <f t="shared" si="5"/>
        <v>15535</v>
      </c>
      <c r="R50" s="5">
        <f t="shared" si="5"/>
        <v>15535</v>
      </c>
    </row>
    <row r="51" spans="2:18" x14ac:dyDescent="0.25">
      <c r="B51" t="s">
        <v>360</v>
      </c>
      <c r="C51" s="5">
        <v>2814</v>
      </c>
      <c r="D51" s="5">
        <v>2814</v>
      </c>
      <c r="E51" s="5">
        <v>2814</v>
      </c>
      <c r="F51" s="5">
        <v>2814</v>
      </c>
      <c r="G51" s="5">
        <v>2814</v>
      </c>
      <c r="H51" s="5">
        <v>1567</v>
      </c>
      <c r="I51" s="5">
        <v>1863</v>
      </c>
      <c r="J51" s="5">
        <v>1863</v>
      </c>
      <c r="K51" s="5">
        <v>1567</v>
      </c>
      <c r="L51" s="5">
        <v>1567</v>
      </c>
      <c r="M51" s="5">
        <v>2814</v>
      </c>
      <c r="N51" s="5">
        <f>J51</f>
        <v>1863</v>
      </c>
      <c r="O51" s="5">
        <v>2814</v>
      </c>
      <c r="P51" s="5">
        <f>K51</f>
        <v>1567</v>
      </c>
      <c r="Q51" s="5">
        <v>1567</v>
      </c>
      <c r="R51" s="5">
        <v>2814</v>
      </c>
    </row>
    <row r="52" spans="2:18" x14ac:dyDescent="0.25">
      <c r="B52" t="s">
        <v>350</v>
      </c>
      <c r="C52" s="5">
        <f>$C$11</f>
        <v>1309</v>
      </c>
      <c r="D52" s="5">
        <f t="shared" ref="D52:R52" si="6">$C$11</f>
        <v>1309</v>
      </c>
      <c r="E52" s="5">
        <f t="shared" si="6"/>
        <v>1309</v>
      </c>
      <c r="F52" s="5">
        <f t="shared" si="6"/>
        <v>1309</v>
      </c>
      <c r="G52" s="5">
        <f t="shared" si="6"/>
        <v>1309</v>
      </c>
      <c r="H52" s="5">
        <f t="shared" si="6"/>
        <v>1309</v>
      </c>
      <c r="I52" s="5">
        <f t="shared" si="6"/>
        <v>1309</v>
      </c>
      <c r="J52" s="5">
        <f t="shared" si="6"/>
        <v>1309</v>
      </c>
      <c r="K52" s="5">
        <f t="shared" si="6"/>
        <v>1309</v>
      </c>
      <c r="L52" s="5">
        <f t="shared" si="6"/>
        <v>1309</v>
      </c>
      <c r="M52" s="5">
        <f t="shared" si="6"/>
        <v>1309</v>
      </c>
      <c r="N52" s="5">
        <f t="shared" si="6"/>
        <v>1309</v>
      </c>
      <c r="O52" s="5">
        <f t="shared" si="6"/>
        <v>1309</v>
      </c>
      <c r="P52" s="5">
        <f t="shared" si="6"/>
        <v>1309</v>
      </c>
      <c r="Q52" s="5">
        <f t="shared" si="6"/>
        <v>1309</v>
      </c>
      <c r="R52" s="5">
        <f t="shared" si="6"/>
        <v>1309</v>
      </c>
    </row>
    <row r="53" spans="2:18" x14ac:dyDescent="0.25">
      <c r="B53" t="s">
        <v>367</v>
      </c>
      <c r="C53" s="5">
        <f>$C$12*12</f>
        <v>17208</v>
      </c>
      <c r="D53" s="5">
        <f t="shared" ref="D53:R53" si="7">$C$12*12</f>
        <v>17208</v>
      </c>
      <c r="E53" s="5">
        <f t="shared" si="7"/>
        <v>17208</v>
      </c>
      <c r="F53" s="5">
        <f t="shared" si="7"/>
        <v>17208</v>
      </c>
      <c r="G53" s="5">
        <f t="shared" si="7"/>
        <v>17208</v>
      </c>
      <c r="H53" s="5">
        <f t="shared" si="7"/>
        <v>17208</v>
      </c>
      <c r="I53" s="5">
        <f t="shared" si="7"/>
        <v>17208</v>
      </c>
      <c r="J53" s="5">
        <f t="shared" si="7"/>
        <v>17208</v>
      </c>
      <c r="K53" s="5">
        <f t="shared" si="7"/>
        <v>17208</v>
      </c>
      <c r="L53" s="5">
        <f t="shared" si="7"/>
        <v>17208</v>
      </c>
      <c r="M53" s="5">
        <f t="shared" si="7"/>
        <v>17208</v>
      </c>
      <c r="N53" s="5">
        <f t="shared" si="7"/>
        <v>17208</v>
      </c>
      <c r="O53" s="5">
        <f t="shared" si="7"/>
        <v>17208</v>
      </c>
      <c r="P53" s="5">
        <f t="shared" si="7"/>
        <v>17208</v>
      </c>
      <c r="Q53" s="5">
        <f t="shared" si="7"/>
        <v>17208</v>
      </c>
      <c r="R53" s="5">
        <f t="shared" si="7"/>
        <v>17208</v>
      </c>
    </row>
    <row r="54" spans="2:18" x14ac:dyDescent="0.25">
      <c r="B54" t="s">
        <v>362</v>
      </c>
      <c r="C54" s="5">
        <v>2000</v>
      </c>
      <c r="D54" s="5">
        <v>2000</v>
      </c>
      <c r="E54" s="5">
        <v>2000</v>
      </c>
      <c r="F54" s="5">
        <v>2000</v>
      </c>
      <c r="G54" s="5">
        <v>2000</v>
      </c>
      <c r="H54" s="5">
        <v>2000</v>
      </c>
      <c r="I54" s="5">
        <v>2000</v>
      </c>
      <c r="J54" s="5">
        <v>2000</v>
      </c>
      <c r="K54" s="5">
        <v>2000</v>
      </c>
      <c r="L54" s="5">
        <v>2000</v>
      </c>
      <c r="M54" s="5">
        <v>2000</v>
      </c>
      <c r="N54" s="5">
        <v>2000</v>
      </c>
      <c r="O54" s="5">
        <v>2000</v>
      </c>
      <c r="P54" s="5">
        <v>2000</v>
      </c>
      <c r="Q54" s="5">
        <v>2000</v>
      </c>
      <c r="R54" s="5">
        <v>2000</v>
      </c>
    </row>
    <row r="56" spans="2:18" x14ac:dyDescent="0.25">
      <c r="B56" t="s">
        <v>363</v>
      </c>
      <c r="C56" s="5">
        <f>SUM(C50,C52:C54)</f>
        <v>36052</v>
      </c>
      <c r="D56" s="5">
        <f t="shared" ref="D56:R56" si="8">SUM(D50,D52:D54)</f>
        <v>36052</v>
      </c>
      <c r="E56" s="5">
        <f t="shared" si="8"/>
        <v>36052</v>
      </c>
      <c r="F56" s="5">
        <f t="shared" si="8"/>
        <v>36052</v>
      </c>
      <c r="G56" s="5">
        <f t="shared" si="8"/>
        <v>36052</v>
      </c>
      <c r="H56" s="5">
        <f t="shared" si="8"/>
        <v>22084</v>
      </c>
      <c r="I56" s="5">
        <f t="shared" si="8"/>
        <v>22380</v>
      </c>
      <c r="J56" s="5">
        <f t="shared" si="8"/>
        <v>22380</v>
      </c>
      <c r="K56" s="5">
        <f t="shared" si="8"/>
        <v>22084</v>
      </c>
      <c r="L56" s="5">
        <f t="shared" si="8"/>
        <v>22084</v>
      </c>
      <c r="M56" s="5">
        <f t="shared" si="8"/>
        <v>36052</v>
      </c>
      <c r="N56" s="5">
        <f t="shared" si="8"/>
        <v>22380</v>
      </c>
      <c r="O56" s="5">
        <f t="shared" si="8"/>
        <v>36052</v>
      </c>
      <c r="P56" s="5">
        <f t="shared" si="8"/>
        <v>22084</v>
      </c>
      <c r="Q56" s="5">
        <f t="shared" si="8"/>
        <v>36052</v>
      </c>
      <c r="R56" s="5">
        <f t="shared" si="8"/>
        <v>36052</v>
      </c>
    </row>
    <row r="57" spans="2:18" x14ac:dyDescent="0.25">
      <c r="B57" t="s">
        <v>364</v>
      </c>
      <c r="C57" s="5">
        <f>SUM(C51:C54)</f>
        <v>23331</v>
      </c>
      <c r="D57" s="5">
        <f t="shared" ref="D57:R57" si="9">SUM(D51:D54)</f>
        <v>23331</v>
      </c>
      <c r="E57" s="5">
        <f t="shared" si="9"/>
        <v>23331</v>
      </c>
      <c r="F57" s="5">
        <f t="shared" si="9"/>
        <v>23331</v>
      </c>
      <c r="G57" s="5">
        <f t="shared" si="9"/>
        <v>23331</v>
      </c>
      <c r="H57" s="5">
        <f t="shared" si="9"/>
        <v>22084</v>
      </c>
      <c r="I57" s="5">
        <f t="shared" si="9"/>
        <v>22380</v>
      </c>
      <c r="J57" s="5">
        <f t="shared" si="9"/>
        <v>22380</v>
      </c>
      <c r="K57" s="5">
        <f t="shared" si="9"/>
        <v>22084</v>
      </c>
      <c r="L57" s="5">
        <f t="shared" si="9"/>
        <v>22084</v>
      </c>
      <c r="M57" s="5">
        <f t="shared" si="9"/>
        <v>23331</v>
      </c>
      <c r="N57" s="5">
        <f t="shared" si="9"/>
        <v>22380</v>
      </c>
      <c r="O57" s="5">
        <f t="shared" si="9"/>
        <v>23331</v>
      </c>
      <c r="P57" s="5">
        <f t="shared" si="9"/>
        <v>22084</v>
      </c>
      <c r="Q57" s="5">
        <f t="shared" si="9"/>
        <v>22084</v>
      </c>
      <c r="R57" s="5">
        <f t="shared" si="9"/>
        <v>23331</v>
      </c>
    </row>
    <row r="58" spans="2:18" x14ac:dyDescent="0.25">
      <c r="B58" s="65" t="s">
        <v>365</v>
      </c>
      <c r="C58" s="64">
        <f>C56/'Proto Costing'!$C$2</f>
        <v>7.2308053326487348E-2</v>
      </c>
      <c r="D58" s="64">
        <f>D56/'Proto Costing'!$C$2</f>
        <v>7.2308053326487348E-2</v>
      </c>
      <c r="E58" s="64">
        <f>E56/'Proto Costing'!$C$2</f>
        <v>7.2308053326487348E-2</v>
      </c>
      <c r="F58" s="64">
        <f>F56/'Proto Costing'!$C$2</f>
        <v>7.2308053326487348E-2</v>
      </c>
      <c r="G58" s="64">
        <f>G56/'Proto Costing'!$C$2</f>
        <v>7.2308053326487348E-2</v>
      </c>
      <c r="H58" s="64">
        <f>H56/'Proto Costing'!$C$2</f>
        <v>4.4292994831414252E-2</v>
      </c>
      <c r="I58" s="64">
        <f>I56/'Proto Costing'!$C$2</f>
        <v>4.4886670183257149E-2</v>
      </c>
      <c r="J58" s="64">
        <f>J56/'Proto Costing'!$C$2</f>
        <v>4.4886670183257149E-2</v>
      </c>
      <c r="K58" s="64">
        <f>K56/'Proto Costing'!$C$2</f>
        <v>4.4292994831414252E-2</v>
      </c>
      <c r="L58" s="64">
        <f>L56/'Proto Costing'!$C$2</f>
        <v>4.4292994831414252E-2</v>
      </c>
      <c r="M58" s="64">
        <f>M56/'Proto Costing'!$C$2</f>
        <v>7.2308053326487348E-2</v>
      </c>
      <c r="N58" s="64">
        <f>N56/'Proto Costing'!$C$2</f>
        <v>4.4886670183257149E-2</v>
      </c>
      <c r="O58" s="64">
        <f>O56/'Proto Costing'!$C$2</f>
        <v>7.2308053326487348E-2</v>
      </c>
      <c r="P58" s="64">
        <f>P56/'Proto Costing'!$C$2</f>
        <v>4.4292994831414252E-2</v>
      </c>
      <c r="Q58" s="64">
        <f>Q56/'Proto Costing'!$C$2</f>
        <v>7.2308053326487348E-2</v>
      </c>
      <c r="R58" s="64">
        <f>R56/'Proto Costing'!$C$2</f>
        <v>7.2308053326487348E-2</v>
      </c>
    </row>
    <row r="59" spans="2:18" x14ac:dyDescent="0.25">
      <c r="B59" t="s">
        <v>366</v>
      </c>
      <c r="C59" s="49">
        <f>C57/'Proto Costing'!$C$2</f>
        <v>4.6794052817049715E-2</v>
      </c>
      <c r="D59" s="49">
        <f>D57/'Proto Costing'!$C$2</f>
        <v>4.6794052817049715E-2</v>
      </c>
      <c r="E59" s="49">
        <f>E57/'Proto Costing'!$C$2</f>
        <v>4.6794052817049715E-2</v>
      </c>
      <c r="F59" s="49">
        <f>F57/'Proto Costing'!$C$2</f>
        <v>4.6794052817049715E-2</v>
      </c>
      <c r="G59" s="49">
        <f>G57/'Proto Costing'!$C$2</f>
        <v>4.6794052817049715E-2</v>
      </c>
      <c r="H59" s="49">
        <f>H57/'Proto Costing'!$C$2</f>
        <v>4.4292994831414252E-2</v>
      </c>
      <c r="I59" s="49">
        <f>I57/'Proto Costing'!$C$2</f>
        <v>4.4886670183257149E-2</v>
      </c>
      <c r="J59" s="49">
        <f>J57/'Proto Costing'!$C$2</f>
        <v>4.4886670183257149E-2</v>
      </c>
      <c r="K59" s="49">
        <f>K57/'Proto Costing'!$C$2</f>
        <v>4.4292994831414252E-2</v>
      </c>
      <c r="L59" s="49">
        <f>L57/'Proto Costing'!$C$2</f>
        <v>4.4292994831414252E-2</v>
      </c>
      <c r="M59" s="49">
        <f>M57/'Proto Costing'!$C$2</f>
        <v>4.6794052817049715E-2</v>
      </c>
      <c r="N59" s="49">
        <f>N57/'Proto Costing'!$C$2</f>
        <v>4.4886670183257149E-2</v>
      </c>
      <c r="O59" s="49">
        <f>O57/'Proto Costing'!$C$2</f>
        <v>4.6794052817049715E-2</v>
      </c>
      <c r="P59" s="49">
        <f>P57/'Proto Costing'!$C$2</f>
        <v>4.4292994831414252E-2</v>
      </c>
      <c r="Q59" s="49">
        <f>Q57/'Proto Costing'!$C$2</f>
        <v>4.4292994831414252E-2</v>
      </c>
      <c r="R59" s="49">
        <f>R57/'Proto Costing'!$C$2</f>
        <v>4.6794052817049715E-2</v>
      </c>
    </row>
    <row r="62" spans="2:18" x14ac:dyDescent="0.25">
      <c r="B62" s="66" t="s">
        <v>81</v>
      </c>
      <c r="C62" t="s">
        <v>49</v>
      </c>
      <c r="D62" t="s">
        <v>50</v>
      </c>
      <c r="E62" t="s">
        <v>51</v>
      </c>
      <c r="F62" t="s">
        <v>52</v>
      </c>
      <c r="G62" t="s">
        <v>53</v>
      </c>
      <c r="H62" t="s">
        <v>54</v>
      </c>
      <c r="I62" t="s">
        <v>55</v>
      </c>
      <c r="J62" t="s">
        <v>56</v>
      </c>
      <c r="K62" t="s">
        <v>57</v>
      </c>
      <c r="L62" t="s">
        <v>58</v>
      </c>
      <c r="M62" t="s">
        <v>59</v>
      </c>
      <c r="N62" t="s">
        <v>60</v>
      </c>
      <c r="O62" t="s">
        <v>61</v>
      </c>
      <c r="P62" t="s">
        <v>62</v>
      </c>
      <c r="Q62" t="s">
        <v>63</v>
      </c>
      <c r="R62" t="s">
        <v>64</v>
      </c>
    </row>
    <row r="63" spans="2:18" x14ac:dyDescent="0.25">
      <c r="B63" t="s">
        <v>359</v>
      </c>
      <c r="C63" s="5">
        <f>$C$9</f>
        <v>15535</v>
      </c>
      <c r="D63" s="5">
        <f t="shared" ref="D63:R63" si="10">$C$9</f>
        <v>15535</v>
      </c>
      <c r="E63" s="5">
        <f t="shared" si="10"/>
        <v>15535</v>
      </c>
      <c r="F63" s="5">
        <f t="shared" si="10"/>
        <v>15535</v>
      </c>
      <c r="G63" s="5">
        <f t="shared" si="10"/>
        <v>15535</v>
      </c>
      <c r="H63" s="5">
        <v>1567</v>
      </c>
      <c r="I63" s="5">
        <v>1863</v>
      </c>
      <c r="J63" s="5">
        <v>1863</v>
      </c>
      <c r="K63" s="5">
        <v>1567</v>
      </c>
      <c r="L63" s="5">
        <v>1567</v>
      </c>
      <c r="M63" s="5">
        <f t="shared" si="10"/>
        <v>15535</v>
      </c>
      <c r="N63" s="5">
        <f>J63</f>
        <v>1863</v>
      </c>
      <c r="O63" s="5">
        <f t="shared" si="10"/>
        <v>15535</v>
      </c>
      <c r="P63" s="5">
        <f>K63</f>
        <v>1567</v>
      </c>
      <c r="Q63" s="5">
        <f t="shared" si="10"/>
        <v>15535</v>
      </c>
      <c r="R63" s="5">
        <f t="shared" si="10"/>
        <v>15535</v>
      </c>
    </row>
    <row r="64" spans="2:18" x14ac:dyDescent="0.25">
      <c r="B64" t="s">
        <v>360</v>
      </c>
      <c r="C64" s="5">
        <v>2814</v>
      </c>
      <c r="D64" s="5">
        <v>2814</v>
      </c>
      <c r="E64" s="5">
        <v>2814</v>
      </c>
      <c r="F64" s="5">
        <v>2814</v>
      </c>
      <c r="G64" s="5">
        <v>2814</v>
      </c>
      <c r="H64" s="5">
        <v>1567</v>
      </c>
      <c r="I64" s="5">
        <v>1863</v>
      </c>
      <c r="J64" s="5">
        <v>1863</v>
      </c>
      <c r="K64" s="5">
        <v>1567</v>
      </c>
      <c r="L64" s="5">
        <v>1567</v>
      </c>
      <c r="M64" s="5">
        <v>2814</v>
      </c>
      <c r="N64" s="5">
        <f>J64</f>
        <v>1863</v>
      </c>
      <c r="O64" s="5">
        <v>2814</v>
      </c>
      <c r="P64" s="5">
        <f>K64</f>
        <v>1567</v>
      </c>
      <c r="Q64" s="5">
        <v>1567</v>
      </c>
      <c r="R64" s="5">
        <v>2814</v>
      </c>
    </row>
    <row r="65" spans="2:18" x14ac:dyDescent="0.25">
      <c r="B65" t="s">
        <v>350</v>
      </c>
      <c r="C65" s="5">
        <f>$C$11</f>
        <v>1309</v>
      </c>
      <c r="D65" s="5">
        <f t="shared" ref="D65:R65" si="11">$C$11</f>
        <v>1309</v>
      </c>
      <c r="E65" s="5">
        <f t="shared" si="11"/>
        <v>1309</v>
      </c>
      <c r="F65" s="5">
        <f t="shared" si="11"/>
        <v>1309</v>
      </c>
      <c r="G65" s="5">
        <f t="shared" si="11"/>
        <v>1309</v>
      </c>
      <c r="H65" s="5">
        <f t="shared" si="11"/>
        <v>1309</v>
      </c>
      <c r="I65" s="5">
        <f t="shared" si="11"/>
        <v>1309</v>
      </c>
      <c r="J65" s="5">
        <f t="shared" si="11"/>
        <v>1309</v>
      </c>
      <c r="K65" s="5">
        <f t="shared" si="11"/>
        <v>1309</v>
      </c>
      <c r="L65" s="5">
        <f t="shared" si="11"/>
        <v>1309</v>
      </c>
      <c r="M65" s="5">
        <f t="shared" si="11"/>
        <v>1309</v>
      </c>
      <c r="N65" s="5">
        <f t="shared" si="11"/>
        <v>1309</v>
      </c>
      <c r="O65" s="5">
        <f t="shared" si="11"/>
        <v>1309</v>
      </c>
      <c r="P65" s="5">
        <f t="shared" si="11"/>
        <v>1309</v>
      </c>
      <c r="Q65" s="5">
        <f t="shared" si="11"/>
        <v>1309</v>
      </c>
      <c r="R65" s="5">
        <f t="shared" si="11"/>
        <v>1309</v>
      </c>
    </row>
    <row r="66" spans="2:18" x14ac:dyDescent="0.25">
      <c r="B66" t="s">
        <v>368</v>
      </c>
      <c r="C66" s="5">
        <f>$C$12*1</f>
        <v>1434</v>
      </c>
      <c r="D66" s="5">
        <f t="shared" ref="D66:R66" si="12">$C$12*1</f>
        <v>1434</v>
      </c>
      <c r="E66" s="5">
        <f t="shared" si="12"/>
        <v>1434</v>
      </c>
      <c r="F66" s="5">
        <f t="shared" si="12"/>
        <v>1434</v>
      </c>
      <c r="G66" s="5">
        <f t="shared" si="12"/>
        <v>1434</v>
      </c>
      <c r="H66" s="5">
        <f t="shared" si="12"/>
        <v>1434</v>
      </c>
      <c r="I66" s="5">
        <f t="shared" si="12"/>
        <v>1434</v>
      </c>
      <c r="J66" s="5">
        <f t="shared" si="12"/>
        <v>1434</v>
      </c>
      <c r="K66" s="5">
        <f t="shared" si="12"/>
        <v>1434</v>
      </c>
      <c r="L66" s="5">
        <f t="shared" si="12"/>
        <v>1434</v>
      </c>
      <c r="M66" s="5">
        <f t="shared" si="12"/>
        <v>1434</v>
      </c>
      <c r="N66" s="5">
        <f t="shared" si="12"/>
        <v>1434</v>
      </c>
      <c r="O66" s="5">
        <f t="shared" si="12"/>
        <v>1434</v>
      </c>
      <c r="P66" s="5">
        <f t="shared" si="12"/>
        <v>1434</v>
      </c>
      <c r="Q66" s="5">
        <f t="shared" si="12"/>
        <v>1434</v>
      </c>
      <c r="R66" s="5">
        <f t="shared" si="12"/>
        <v>1434</v>
      </c>
    </row>
    <row r="67" spans="2:18" x14ac:dyDescent="0.25">
      <c r="B67" t="s">
        <v>362</v>
      </c>
      <c r="C67" s="5">
        <v>2000</v>
      </c>
      <c r="D67" s="5">
        <v>2000</v>
      </c>
      <c r="E67" s="5">
        <v>2000</v>
      </c>
      <c r="F67" s="5">
        <v>2000</v>
      </c>
      <c r="G67" s="5">
        <v>2000</v>
      </c>
      <c r="H67" s="5">
        <v>2000</v>
      </c>
      <c r="I67" s="5">
        <v>2000</v>
      </c>
      <c r="J67" s="5">
        <v>2000</v>
      </c>
      <c r="K67" s="5">
        <v>2000</v>
      </c>
      <c r="L67" s="5">
        <v>2000</v>
      </c>
      <c r="M67" s="5">
        <v>2000</v>
      </c>
      <c r="N67" s="5">
        <v>2000</v>
      </c>
      <c r="O67" s="5">
        <v>2000</v>
      </c>
      <c r="P67" s="5">
        <v>2000</v>
      </c>
      <c r="Q67" s="5">
        <v>2000</v>
      </c>
      <c r="R67" s="5">
        <v>2000</v>
      </c>
    </row>
    <row r="69" spans="2:18" x14ac:dyDescent="0.25">
      <c r="B69" t="s">
        <v>363</v>
      </c>
      <c r="C69" s="5">
        <f>SUM(C63,C65:C67)</f>
        <v>20278</v>
      </c>
      <c r="D69" s="5">
        <f t="shared" ref="D69:R69" si="13">SUM(D63,D65:D67)</f>
        <v>20278</v>
      </c>
      <c r="E69" s="5">
        <f t="shared" si="13"/>
        <v>20278</v>
      </c>
      <c r="F69" s="5">
        <f t="shared" si="13"/>
        <v>20278</v>
      </c>
      <c r="G69" s="5">
        <f t="shared" si="13"/>
        <v>20278</v>
      </c>
      <c r="H69" s="5">
        <f t="shared" si="13"/>
        <v>6310</v>
      </c>
      <c r="I69" s="5">
        <f t="shared" si="13"/>
        <v>6606</v>
      </c>
      <c r="J69" s="5">
        <f t="shared" si="13"/>
        <v>6606</v>
      </c>
      <c r="K69" s="5">
        <f t="shared" si="13"/>
        <v>6310</v>
      </c>
      <c r="L69" s="5">
        <f t="shared" si="13"/>
        <v>6310</v>
      </c>
      <c r="M69" s="5">
        <f t="shared" si="13"/>
        <v>20278</v>
      </c>
      <c r="N69" s="5">
        <f t="shared" si="13"/>
        <v>6606</v>
      </c>
      <c r="O69" s="5">
        <f t="shared" si="13"/>
        <v>20278</v>
      </c>
      <c r="P69" s="5">
        <f t="shared" si="13"/>
        <v>6310</v>
      </c>
      <c r="Q69" s="5">
        <f t="shared" si="13"/>
        <v>20278</v>
      </c>
      <c r="R69" s="5">
        <f t="shared" si="13"/>
        <v>20278</v>
      </c>
    </row>
    <row r="70" spans="2:18" x14ac:dyDescent="0.25">
      <c r="B70" t="s">
        <v>364</v>
      </c>
      <c r="C70" s="5">
        <f>SUM(C64:C67)</f>
        <v>7557</v>
      </c>
      <c r="D70" s="5">
        <f t="shared" ref="D70:R70" si="14">SUM(D64:D67)</f>
        <v>7557</v>
      </c>
      <c r="E70" s="5">
        <f t="shared" si="14"/>
        <v>7557</v>
      </c>
      <c r="F70" s="5">
        <f t="shared" si="14"/>
        <v>7557</v>
      </c>
      <c r="G70" s="5">
        <f t="shared" si="14"/>
        <v>7557</v>
      </c>
      <c r="H70" s="5">
        <f t="shared" si="14"/>
        <v>6310</v>
      </c>
      <c r="I70" s="5">
        <f t="shared" si="14"/>
        <v>6606</v>
      </c>
      <c r="J70" s="5">
        <f t="shared" si="14"/>
        <v>6606</v>
      </c>
      <c r="K70" s="5">
        <f t="shared" si="14"/>
        <v>6310</v>
      </c>
      <c r="L70" s="5">
        <f t="shared" si="14"/>
        <v>6310</v>
      </c>
      <c r="M70" s="5">
        <f t="shared" si="14"/>
        <v>7557</v>
      </c>
      <c r="N70" s="5">
        <f t="shared" si="14"/>
        <v>6606</v>
      </c>
      <c r="O70" s="5">
        <f t="shared" si="14"/>
        <v>7557</v>
      </c>
      <c r="P70" s="5">
        <f t="shared" si="14"/>
        <v>6310</v>
      </c>
      <c r="Q70" s="5">
        <f t="shared" si="14"/>
        <v>6310</v>
      </c>
      <c r="R70" s="5">
        <f t="shared" si="14"/>
        <v>7557</v>
      </c>
    </row>
    <row r="71" spans="2:18" x14ac:dyDescent="0.25">
      <c r="B71" s="65" t="s">
        <v>365</v>
      </c>
      <c r="C71" s="64">
        <f>C69/'Proto Costing'!$C$3</f>
        <v>9.6156217103079394E-2</v>
      </c>
      <c r="D71" s="64">
        <f>D69/'Proto Costing'!$C$3</f>
        <v>9.6156217103079394E-2</v>
      </c>
      <c r="E71" s="64">
        <f>E69/'Proto Costing'!$C$3</f>
        <v>9.6156217103079394E-2</v>
      </c>
      <c r="F71" s="64">
        <f>F69/'Proto Costing'!$C$3</f>
        <v>9.6156217103079394E-2</v>
      </c>
      <c r="G71" s="64">
        <f>G69/'Proto Costing'!$C$3</f>
        <v>9.6156217103079394E-2</v>
      </c>
      <c r="H71" s="64">
        <f>H69/'Proto Costing'!$C$3</f>
        <v>2.9921379323425926E-2</v>
      </c>
      <c r="I71" s="64">
        <f>I69/'Proto Costing'!$C$3</f>
        <v>3.1324981269501055E-2</v>
      </c>
      <c r="J71" s="64">
        <f>J69/'Proto Costing'!$C$3</f>
        <v>3.1324981269501055E-2</v>
      </c>
      <c r="K71" s="64">
        <f>K69/'Proto Costing'!$C$3</f>
        <v>2.9921379323425926E-2</v>
      </c>
      <c r="L71" s="64">
        <f>L69/'Proto Costing'!$C$3</f>
        <v>2.9921379323425926E-2</v>
      </c>
      <c r="M71" s="64">
        <f>M69/'Proto Costing'!$C$3</f>
        <v>9.6156217103079394E-2</v>
      </c>
      <c r="N71" s="64">
        <f>N69/'Proto Costing'!$C$3</f>
        <v>3.1324981269501055E-2</v>
      </c>
      <c r="O71" s="64">
        <f>O69/'Proto Costing'!$C$3</f>
        <v>9.6156217103079394E-2</v>
      </c>
      <c r="P71" s="64">
        <f>P69/'Proto Costing'!$C$3</f>
        <v>2.9921379323425926E-2</v>
      </c>
      <c r="Q71" s="64">
        <f>Q69/'Proto Costing'!$C$3</f>
        <v>9.6156217103079394E-2</v>
      </c>
      <c r="R71" s="64">
        <f>R69/'Proto Costing'!$C$3</f>
        <v>9.6156217103079394E-2</v>
      </c>
    </row>
    <row r="72" spans="2:18" x14ac:dyDescent="0.25">
      <c r="B72" t="s">
        <v>366</v>
      </c>
      <c r="C72" s="49">
        <f>C70/'Proto Costing'!$C$2</f>
        <v>1.5156772411745947E-2</v>
      </c>
      <c r="D72" s="49">
        <f>D70/'Proto Costing'!$C$2</f>
        <v>1.5156772411745947E-2</v>
      </c>
      <c r="E72" s="49">
        <f>E70/'Proto Costing'!$C$2</f>
        <v>1.5156772411745947E-2</v>
      </c>
      <c r="F72" s="49">
        <f>F70/'Proto Costing'!$C$2</f>
        <v>1.5156772411745947E-2</v>
      </c>
      <c r="G72" s="49">
        <f>G70/'Proto Costing'!$C$2</f>
        <v>1.5156772411745947E-2</v>
      </c>
      <c r="H72" s="49">
        <f>H70/'Proto Costing'!$C$2</f>
        <v>1.2655714426110484E-2</v>
      </c>
      <c r="I72" s="49">
        <f>I70/'Proto Costing'!$C$2</f>
        <v>1.3249389777953384E-2</v>
      </c>
      <c r="J72" s="49">
        <f>J70/'Proto Costing'!$C$2</f>
        <v>1.3249389777953384E-2</v>
      </c>
      <c r="K72" s="49">
        <f>K70/'Proto Costing'!$C$2</f>
        <v>1.2655714426110484E-2</v>
      </c>
      <c r="L72" s="49">
        <f>L70/'Proto Costing'!$C$2</f>
        <v>1.2655714426110484E-2</v>
      </c>
      <c r="M72" s="49">
        <f>M70/'Proto Costing'!$C$2</f>
        <v>1.5156772411745947E-2</v>
      </c>
      <c r="N72" s="49">
        <f>N70/'Proto Costing'!$C$2</f>
        <v>1.3249389777953384E-2</v>
      </c>
      <c r="O72" s="49">
        <f>O70/'Proto Costing'!$C$2</f>
        <v>1.5156772411745947E-2</v>
      </c>
      <c r="P72" s="49">
        <f>P70/'Proto Costing'!$C$2</f>
        <v>1.2655714426110484E-2</v>
      </c>
      <c r="Q72" s="49">
        <f>Q70/'Proto Costing'!$C$2</f>
        <v>1.2655714426110484E-2</v>
      </c>
      <c r="R72" s="49">
        <f>R70/'Proto Costing'!$C$2</f>
        <v>1.5156772411745947E-2</v>
      </c>
    </row>
    <row r="73" spans="2:18" x14ac:dyDescent="0.25">
      <c r="B73" s="1"/>
    </row>
    <row r="74" spans="2:18" x14ac:dyDescent="0.25">
      <c r="B74" s="1"/>
    </row>
    <row r="75" spans="2:18" x14ac:dyDescent="0.25">
      <c r="B75" s="1"/>
    </row>
    <row r="76" spans="2:18" x14ac:dyDescent="0.25">
      <c r="B76" s="1"/>
    </row>
    <row r="80" spans="2:18" x14ac:dyDescent="0.25">
      <c r="B80" s="62" t="s">
        <v>369</v>
      </c>
    </row>
    <row r="82" spans="2:2" x14ac:dyDescent="0.25">
      <c r="B82" s="55" t="s">
        <v>370</v>
      </c>
    </row>
    <row r="83" spans="2:2" x14ac:dyDescent="0.25">
      <c r="B83" s="55" t="s">
        <v>371</v>
      </c>
    </row>
    <row r="84" spans="2:2" x14ac:dyDescent="0.25">
      <c r="B84" s="55" t="s">
        <v>372</v>
      </c>
    </row>
    <row r="85" spans="2:2" x14ac:dyDescent="0.25">
      <c r="B85" s="55"/>
    </row>
    <row r="86" spans="2:2" x14ac:dyDescent="0.25">
      <c r="B86" s="56" t="s">
        <v>373</v>
      </c>
    </row>
    <row r="87" spans="2:2" x14ac:dyDescent="0.25">
      <c r="B87" s="55" t="s">
        <v>374</v>
      </c>
    </row>
    <row r="88" spans="2:2" x14ac:dyDescent="0.25">
      <c r="B88" s="55" t="s">
        <v>375</v>
      </c>
    </row>
    <row r="89" spans="2:2" x14ac:dyDescent="0.25">
      <c r="B89" s="55" t="s">
        <v>376</v>
      </c>
    </row>
    <row r="90" spans="2:2" x14ac:dyDescent="0.25">
      <c r="B90" s="57" t="s">
        <v>377</v>
      </c>
    </row>
    <row r="91" spans="2:2" x14ac:dyDescent="0.25">
      <c r="B91" s="56" t="s">
        <v>378</v>
      </c>
    </row>
    <row r="92" spans="2:2" x14ac:dyDescent="0.25">
      <c r="B92" s="55" t="s">
        <v>379</v>
      </c>
    </row>
    <row r="93" spans="2:2" x14ac:dyDescent="0.25">
      <c r="B93" s="55"/>
    </row>
    <row r="94" spans="2:2" x14ac:dyDescent="0.25">
      <c r="B94" s="55" t="s">
        <v>380</v>
      </c>
    </row>
    <row r="95" spans="2:2" x14ac:dyDescent="0.25">
      <c r="B95" s="55"/>
    </row>
    <row r="96" spans="2:2" x14ac:dyDescent="0.25">
      <c r="B96" s="55" t="s">
        <v>381</v>
      </c>
    </row>
    <row r="97" spans="2:2" x14ac:dyDescent="0.25">
      <c r="B97" s="55" t="s">
        <v>382</v>
      </c>
    </row>
    <row r="98" spans="2:2" x14ac:dyDescent="0.25">
      <c r="B98" s="55"/>
    </row>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4FE15-EE2E-46A8-8BA5-7AB9EC7C74A6}">
  <dimension ref="B1:T28"/>
  <sheetViews>
    <sheetView workbookViewId="0">
      <selection activeCell="B23" sqref="B23"/>
    </sheetView>
    <sheetView workbookViewId="1"/>
  </sheetViews>
  <sheetFormatPr defaultRowHeight="15" x14ac:dyDescent="0.25"/>
  <sheetData>
    <row r="1" spans="2:18" ht="15.75" thickBot="1" x14ac:dyDescent="0.3"/>
    <row r="2" spans="2:18" ht="15.75" thickBot="1" x14ac:dyDescent="0.3">
      <c r="B2" s="114" t="s">
        <v>383</v>
      </c>
      <c r="C2" s="115">
        <v>1</v>
      </c>
      <c r="D2" s="115">
        <v>2</v>
      </c>
      <c r="E2" s="115">
        <v>3</v>
      </c>
      <c r="F2" s="115">
        <v>4</v>
      </c>
      <c r="G2" s="115">
        <v>5</v>
      </c>
      <c r="H2" s="115">
        <v>6</v>
      </c>
      <c r="I2" s="115">
        <v>7</v>
      </c>
      <c r="J2" s="115">
        <v>8</v>
      </c>
      <c r="K2" s="115">
        <v>9</v>
      </c>
      <c r="L2" s="115">
        <v>10</v>
      </c>
      <c r="M2" s="115">
        <v>11</v>
      </c>
      <c r="N2" s="115">
        <v>12</v>
      </c>
      <c r="O2" s="115">
        <v>13</v>
      </c>
      <c r="P2" s="115">
        <v>14</v>
      </c>
      <c r="Q2" s="115">
        <v>15</v>
      </c>
      <c r="R2" s="115">
        <v>16</v>
      </c>
    </row>
    <row r="3" spans="2:18" ht="15.75" thickBot="1" x14ac:dyDescent="0.3">
      <c r="B3" s="118" t="s">
        <v>74</v>
      </c>
      <c r="C3" s="119">
        <v>0</v>
      </c>
      <c r="D3" s="119">
        <v>0</v>
      </c>
      <c r="E3" s="119">
        <v>3.234</v>
      </c>
      <c r="F3" s="119">
        <v>1.5780000000000001</v>
      </c>
      <c r="G3" s="119">
        <v>0</v>
      </c>
      <c r="H3" s="119">
        <v>1.4219999999999999</v>
      </c>
      <c r="I3" s="119">
        <v>0.82499999999999996</v>
      </c>
      <c r="J3" s="119">
        <v>2.2879999999999998</v>
      </c>
      <c r="K3" s="119">
        <v>4.1520000000000001</v>
      </c>
      <c r="L3" s="119">
        <v>0.3916</v>
      </c>
      <c r="M3" s="119">
        <v>0.10879999999999999</v>
      </c>
      <c r="N3" s="119">
        <v>0.57469999999999999</v>
      </c>
      <c r="O3" s="119">
        <v>0</v>
      </c>
      <c r="P3" s="119">
        <v>0.20019999999999999</v>
      </c>
      <c r="Q3" s="119">
        <v>1.303E-2</v>
      </c>
      <c r="R3" s="119">
        <v>4.9950000000000001E-2</v>
      </c>
    </row>
    <row r="4" spans="2:18" ht="15.75" thickBot="1" x14ac:dyDescent="0.3">
      <c r="B4" s="118" t="s">
        <v>339</v>
      </c>
      <c r="C4" s="119">
        <v>0.13020000000000001</v>
      </c>
      <c r="D4" s="119">
        <v>0.47610000000000002</v>
      </c>
      <c r="E4" s="119">
        <v>1.3720000000000001</v>
      </c>
      <c r="F4" s="119">
        <v>0.74419999999999997</v>
      </c>
      <c r="G4" s="119">
        <v>0.3705</v>
      </c>
      <c r="H4" s="119">
        <v>1.2010000000000001</v>
      </c>
      <c r="I4" s="119">
        <v>0.80459999999999998</v>
      </c>
      <c r="J4" s="119">
        <v>1.6459999999999999</v>
      </c>
      <c r="K4" s="119">
        <v>3.1840000000000002</v>
      </c>
      <c r="L4" s="119">
        <v>1.1739999999999999</v>
      </c>
      <c r="M4" s="119">
        <v>0.26850000000000002</v>
      </c>
      <c r="N4" s="119">
        <v>2.7989999999999999</v>
      </c>
      <c r="O4" s="119">
        <v>0.58589999999999998</v>
      </c>
      <c r="P4" s="119">
        <v>0.34820000000000001</v>
      </c>
      <c r="Q4" s="119">
        <v>0.26290000000000002</v>
      </c>
      <c r="R4" s="119">
        <v>0.10199999999999999</v>
      </c>
    </row>
    <row r="5" spans="2:18" ht="15.75" thickBot="1" x14ac:dyDescent="0.3">
      <c r="B5" s="116" t="s">
        <v>384</v>
      </c>
      <c r="C5" s="117">
        <v>1.306E-2</v>
      </c>
      <c r="D5" s="117">
        <v>0.43690000000000001</v>
      </c>
      <c r="E5" s="117">
        <v>0.18690000000000001</v>
      </c>
      <c r="F5" s="117">
        <v>2.019E-2</v>
      </c>
      <c r="G5" s="117">
        <v>6.4229999999999995E-2</v>
      </c>
      <c r="H5" s="117">
        <v>0.14810000000000001</v>
      </c>
      <c r="I5" s="117">
        <v>0.2339</v>
      </c>
      <c r="J5" s="117">
        <v>0.15939999999999999</v>
      </c>
      <c r="K5" s="117">
        <v>0.36</v>
      </c>
      <c r="L5" s="117">
        <v>0.41670000000000001</v>
      </c>
      <c r="M5" s="117">
        <v>9.3299999999999994E-2</v>
      </c>
      <c r="N5" s="117">
        <v>0.54430000000000001</v>
      </c>
      <c r="O5" s="117">
        <v>0.38519999999999999</v>
      </c>
      <c r="P5" s="117">
        <v>4.4040000000000003E-2</v>
      </c>
      <c r="Q5" s="117">
        <v>0.1051</v>
      </c>
      <c r="R5" s="117">
        <v>3.313E-2</v>
      </c>
    </row>
    <row r="6" spans="2:18" ht="15.75" thickBot="1" x14ac:dyDescent="0.3">
      <c r="B6" s="116" t="s">
        <v>385</v>
      </c>
      <c r="C6" s="117">
        <v>0</v>
      </c>
      <c r="D6" s="117">
        <v>0</v>
      </c>
      <c r="E6" s="117">
        <v>1.097</v>
      </c>
      <c r="F6" s="117">
        <v>0.54969999999999997</v>
      </c>
      <c r="G6" s="117">
        <v>0.14910000000000001</v>
      </c>
      <c r="H6" s="117">
        <v>0.69779999999999998</v>
      </c>
      <c r="I6" s="117">
        <v>0.37459999999999999</v>
      </c>
      <c r="J6" s="117">
        <v>0.83160000000000001</v>
      </c>
      <c r="K6" s="117">
        <v>1.6639999999999999</v>
      </c>
      <c r="L6" s="117">
        <v>0.63270000000000004</v>
      </c>
      <c r="M6" s="117">
        <v>0.29970000000000002</v>
      </c>
      <c r="N6" s="117">
        <v>1.3029999999999999</v>
      </c>
      <c r="O6" s="117">
        <v>0.35639999999999999</v>
      </c>
      <c r="P6" s="117">
        <v>0.14419999999999999</v>
      </c>
      <c r="Q6" s="117">
        <v>0.18029999999999999</v>
      </c>
      <c r="R6" s="117">
        <v>5.5469999999999998E-2</v>
      </c>
    </row>
    <row r="7" spans="2:18" ht="15.75" thickBot="1" x14ac:dyDescent="0.3">
      <c r="B7" s="116" t="s">
        <v>386</v>
      </c>
      <c r="C7" s="117">
        <v>8.4209999999999993E-2</v>
      </c>
      <c r="D7" s="117">
        <v>0.34799999999999998</v>
      </c>
      <c r="E7" s="117">
        <v>0.79469999999999996</v>
      </c>
      <c r="F7" s="117">
        <v>0.44590000000000002</v>
      </c>
      <c r="G7" s="117">
        <v>8.5739999999999997E-2</v>
      </c>
      <c r="H7" s="117">
        <v>0.60270000000000001</v>
      </c>
      <c r="I7" s="117">
        <v>0.28560000000000002</v>
      </c>
      <c r="J7" s="117">
        <v>0.86409999999999998</v>
      </c>
      <c r="K7" s="117">
        <v>1.4239999999999999</v>
      </c>
      <c r="L7" s="117">
        <v>0.82240000000000002</v>
      </c>
      <c r="M7" s="117">
        <v>0.14199999999999999</v>
      </c>
      <c r="N7" s="117">
        <v>0.62739999999999996</v>
      </c>
      <c r="O7" s="117">
        <v>0.379</v>
      </c>
      <c r="P7" s="117">
        <v>0.18</v>
      </c>
      <c r="Q7" s="117">
        <v>0.1242</v>
      </c>
      <c r="R7" s="117">
        <v>8.1220000000000001E-2</v>
      </c>
    </row>
    <row r="8" spans="2:18" ht="15.75" thickBot="1" x14ac:dyDescent="0.3">
      <c r="B8" s="116" t="s">
        <v>387</v>
      </c>
      <c r="C8" s="117">
        <v>1.1460000000000001E-3</v>
      </c>
      <c r="D8" s="117">
        <v>0.15429999999999999</v>
      </c>
      <c r="E8" s="117">
        <v>0.504</v>
      </c>
      <c r="F8" s="117">
        <v>0.22559999999999999</v>
      </c>
      <c r="G8" s="117">
        <v>7.4390000000000003E-3</v>
      </c>
      <c r="H8" s="117">
        <v>0.56289999999999996</v>
      </c>
      <c r="I8" s="117">
        <v>0.48780000000000001</v>
      </c>
      <c r="J8" s="117">
        <v>0.98550000000000004</v>
      </c>
      <c r="K8" s="117">
        <v>1.0649999999999999</v>
      </c>
      <c r="L8" s="117">
        <v>1.345</v>
      </c>
      <c r="M8" s="117">
        <v>7.1639999999999995E-2</v>
      </c>
      <c r="N8" s="117">
        <v>0.59279999999999999</v>
      </c>
      <c r="O8" s="117">
        <v>0.32529999999999998</v>
      </c>
      <c r="P8" s="117">
        <v>0.3206</v>
      </c>
      <c r="Q8" s="117">
        <v>0.10009999999999999</v>
      </c>
      <c r="R8" s="117">
        <v>6.0199999999999997E-2</v>
      </c>
    </row>
    <row r="9" spans="2:18" ht="15.75" thickBot="1" x14ac:dyDescent="0.3">
      <c r="B9" s="116" t="s">
        <v>388</v>
      </c>
      <c r="C9" s="117">
        <v>0</v>
      </c>
      <c r="D9" s="117">
        <v>0</v>
      </c>
      <c r="E9" s="117">
        <v>0</v>
      </c>
      <c r="F9" s="117">
        <v>0</v>
      </c>
      <c r="G9" s="117">
        <v>0</v>
      </c>
      <c r="H9" s="117">
        <v>0</v>
      </c>
      <c r="I9" s="117">
        <v>0</v>
      </c>
      <c r="J9" s="117">
        <v>0</v>
      </c>
      <c r="K9" s="117">
        <v>0</v>
      </c>
      <c r="L9" s="117">
        <v>0</v>
      </c>
      <c r="M9" s="117">
        <v>0</v>
      </c>
      <c r="N9" s="117">
        <v>0</v>
      </c>
      <c r="O9" s="117">
        <v>0</v>
      </c>
      <c r="P9" s="117">
        <v>0</v>
      </c>
      <c r="Q9" s="117">
        <v>0</v>
      </c>
      <c r="R9" s="117">
        <v>0</v>
      </c>
    </row>
    <row r="10" spans="2:18" ht="15.75" thickBot="1" x14ac:dyDescent="0.3">
      <c r="B10" s="118" t="s">
        <v>81</v>
      </c>
      <c r="C10" s="119">
        <v>6.476E-3</v>
      </c>
      <c r="D10" s="119">
        <v>0.1273</v>
      </c>
      <c r="E10" s="119">
        <v>0.87609999999999999</v>
      </c>
      <c r="F10" s="119">
        <v>0.44180000000000003</v>
      </c>
      <c r="G10" s="119">
        <v>3.6360000000000003E-2</v>
      </c>
      <c r="H10" s="119">
        <v>0.59409999999999996</v>
      </c>
      <c r="I10" s="119">
        <v>0.60840000000000005</v>
      </c>
      <c r="J10" s="119">
        <v>0.9052</v>
      </c>
      <c r="K10" s="119">
        <v>1.421</v>
      </c>
      <c r="L10" s="119">
        <v>0.85350000000000004</v>
      </c>
      <c r="M10" s="119">
        <v>0.35449999999999998</v>
      </c>
      <c r="N10" s="119">
        <v>1.1519999999999999</v>
      </c>
      <c r="O10" s="119">
        <v>0.6149</v>
      </c>
      <c r="P10" s="119">
        <v>0.1661</v>
      </c>
      <c r="Q10" s="119">
        <v>8.5730000000000001E-2</v>
      </c>
      <c r="R10" s="119">
        <v>6.8099999999999994E-2</v>
      </c>
    </row>
    <row r="11" spans="2:18" ht="15.75" thickBot="1" x14ac:dyDescent="0.3">
      <c r="B11" s="116" t="s">
        <v>389</v>
      </c>
      <c r="C11" s="117">
        <v>6.6500000000000004E-2</v>
      </c>
      <c r="D11" s="117">
        <v>0.26979999999999998</v>
      </c>
      <c r="E11" s="117">
        <v>0.45660000000000001</v>
      </c>
      <c r="F11" s="117">
        <v>0.22939999999999999</v>
      </c>
      <c r="G11" s="117">
        <v>0.13950000000000001</v>
      </c>
      <c r="H11" s="117">
        <v>0.3155</v>
      </c>
      <c r="I11" s="117">
        <v>0.2944</v>
      </c>
      <c r="J11" s="117">
        <v>0.35160000000000002</v>
      </c>
      <c r="K11" s="117">
        <v>0.65810000000000002</v>
      </c>
      <c r="L11" s="117">
        <v>0.34810000000000002</v>
      </c>
      <c r="M11" s="117">
        <v>9.8809999999999995E-2</v>
      </c>
      <c r="N11" s="117">
        <v>0.77629999999999999</v>
      </c>
      <c r="O11" s="117">
        <v>0.30249999999999999</v>
      </c>
      <c r="P11" s="117">
        <v>0.107</v>
      </c>
      <c r="Q11" s="117">
        <v>3.7280000000000001E-2</v>
      </c>
      <c r="R11" s="117">
        <v>4.4889999999999999E-2</v>
      </c>
    </row>
    <row r="12" spans="2:18" ht="15.75" thickBot="1" x14ac:dyDescent="0.3">
      <c r="B12" s="116" t="s">
        <v>390</v>
      </c>
      <c r="C12" s="117">
        <v>6.1769999999999999E-2</v>
      </c>
      <c r="D12" s="117">
        <v>0.36720000000000003</v>
      </c>
      <c r="E12" s="117">
        <v>2.16</v>
      </c>
      <c r="F12" s="117">
        <v>1.1180000000000001</v>
      </c>
      <c r="G12" s="117">
        <v>0.17760000000000001</v>
      </c>
      <c r="H12" s="117">
        <v>1.363</v>
      </c>
      <c r="I12" s="117">
        <v>0.71079999999999999</v>
      </c>
      <c r="J12" s="117">
        <v>1.948</v>
      </c>
      <c r="K12" s="117">
        <v>3.01</v>
      </c>
      <c r="L12" s="117">
        <v>1.36</v>
      </c>
      <c r="M12" s="117">
        <v>0.63149999999999995</v>
      </c>
      <c r="N12" s="117">
        <v>2.8439999999999999</v>
      </c>
      <c r="O12" s="117">
        <v>0.82030000000000003</v>
      </c>
      <c r="P12" s="117">
        <v>0.36180000000000001</v>
      </c>
      <c r="Q12" s="117">
        <v>0.36730000000000002</v>
      </c>
      <c r="R12" s="117">
        <v>0.1381</v>
      </c>
    </row>
    <row r="13" spans="2:18" ht="15.75" thickBot="1" x14ac:dyDescent="0.3">
      <c r="B13" s="116" t="s">
        <v>391</v>
      </c>
      <c r="C13" s="117">
        <v>3.6269999999999997E-2</v>
      </c>
      <c r="D13" s="117">
        <v>0.21540000000000001</v>
      </c>
      <c r="E13" s="117">
        <v>1.0329999999999999</v>
      </c>
      <c r="F13" s="117">
        <v>0.53059999999999996</v>
      </c>
      <c r="G13" s="117">
        <v>0.1095</v>
      </c>
      <c r="H13" s="117">
        <v>0.55269999999999997</v>
      </c>
      <c r="I13" s="117">
        <v>0.48220000000000002</v>
      </c>
      <c r="J13" s="117">
        <v>0.78349999999999997</v>
      </c>
      <c r="K13" s="117">
        <v>1.1830000000000001</v>
      </c>
      <c r="L13" s="117">
        <v>0.5716</v>
      </c>
      <c r="M13" s="117">
        <v>0.15340000000000001</v>
      </c>
      <c r="N13" s="117">
        <v>0.80289999999999995</v>
      </c>
      <c r="O13" s="117">
        <v>0.25569999999999998</v>
      </c>
      <c r="P13" s="117">
        <v>0.13750000000000001</v>
      </c>
      <c r="Q13" s="117">
        <v>0.12479999999999999</v>
      </c>
      <c r="R13" s="117">
        <v>4.3950000000000003E-2</v>
      </c>
    </row>
    <row r="14" spans="2:18" ht="15.75" thickBot="1" x14ac:dyDescent="0.3">
      <c r="B14" s="116" t="s">
        <v>392</v>
      </c>
      <c r="C14" s="117">
        <v>1.0279999999999999E-2</v>
      </c>
      <c r="D14" s="117">
        <v>0.39350000000000002</v>
      </c>
      <c r="E14" s="117">
        <v>1.583</v>
      </c>
      <c r="F14" s="117">
        <v>0.55740000000000001</v>
      </c>
      <c r="G14" s="117">
        <v>5.8689999999999999E-2</v>
      </c>
      <c r="H14" s="117">
        <v>0.78680000000000005</v>
      </c>
      <c r="I14" s="117">
        <v>0.79910000000000003</v>
      </c>
      <c r="J14" s="117">
        <v>1.431</v>
      </c>
      <c r="K14" s="117">
        <v>1.8240000000000001</v>
      </c>
      <c r="L14" s="117">
        <v>1.1439999999999999</v>
      </c>
      <c r="M14" s="117">
        <v>0.16689999999999999</v>
      </c>
      <c r="N14" s="117">
        <v>1.4139999999999999</v>
      </c>
      <c r="O14" s="117">
        <v>0.30430000000000001</v>
      </c>
      <c r="P14" s="117">
        <v>0.24529999999999999</v>
      </c>
      <c r="Q14" s="117">
        <v>0.11799999999999999</v>
      </c>
      <c r="R14" s="117">
        <v>8.4290000000000004E-2</v>
      </c>
    </row>
    <row r="15" spans="2:18" ht="15.75" thickBot="1" x14ac:dyDescent="0.3">
      <c r="B15" s="116" t="s">
        <v>393</v>
      </c>
      <c r="C15" s="117">
        <v>2.9389999999999999E-2</v>
      </c>
      <c r="D15" s="117">
        <v>0.17460000000000001</v>
      </c>
      <c r="E15" s="117">
        <v>0.84160000000000001</v>
      </c>
      <c r="F15" s="117">
        <v>0.43580000000000002</v>
      </c>
      <c r="G15" s="117">
        <v>7.9719999999999999E-2</v>
      </c>
      <c r="H15" s="117">
        <v>0.32850000000000001</v>
      </c>
      <c r="I15" s="117">
        <v>0.54900000000000004</v>
      </c>
      <c r="J15" s="117">
        <v>0.44119999999999998</v>
      </c>
      <c r="K15" s="117">
        <v>0.78939999999999999</v>
      </c>
      <c r="L15" s="117">
        <v>0.81279999999999997</v>
      </c>
      <c r="M15" s="117">
        <v>0.1459</v>
      </c>
      <c r="N15" s="117">
        <v>0.82530000000000003</v>
      </c>
      <c r="O15" s="117">
        <v>0.27289999999999998</v>
      </c>
      <c r="P15" s="117">
        <v>0.14169999999999999</v>
      </c>
      <c r="Q15" s="117">
        <v>0.115</v>
      </c>
      <c r="R15" s="117">
        <v>4.8129999999999999E-2</v>
      </c>
    </row>
    <row r="16" spans="2:18" ht="15.75" thickBot="1" x14ac:dyDescent="0.3">
      <c r="B16" s="116" t="s">
        <v>394</v>
      </c>
      <c r="C16" s="117">
        <v>8.1899999999999996E-4</v>
      </c>
      <c r="D16" s="117">
        <v>5.3100000000000001E-2</v>
      </c>
      <c r="E16" s="117">
        <v>0.63129999999999997</v>
      </c>
      <c r="F16" s="117">
        <v>0.36320000000000002</v>
      </c>
      <c r="G16" s="117">
        <v>2.078E-2</v>
      </c>
      <c r="H16" s="117">
        <v>7.3270000000000002E-2</v>
      </c>
      <c r="I16" s="117">
        <v>5.2650000000000002E-2</v>
      </c>
      <c r="J16" s="117">
        <v>0.1017</v>
      </c>
      <c r="K16" s="117">
        <v>0.12139999999999999</v>
      </c>
      <c r="L16" s="117">
        <v>6.2269999999999999E-2</v>
      </c>
      <c r="M16" s="117">
        <v>8.3719999999999992E-3</v>
      </c>
      <c r="N16" s="117">
        <v>4.9959999999999997E-2</v>
      </c>
      <c r="O16" s="117">
        <v>9.7230000000000007E-3</v>
      </c>
      <c r="P16" s="117">
        <v>1.0630000000000001E-2</v>
      </c>
      <c r="Q16" s="117">
        <v>6.1009999999999997E-3</v>
      </c>
      <c r="R16" s="117">
        <v>3.5179999999999999E-3</v>
      </c>
    </row>
    <row r="17" spans="2:20" ht="15.75" thickBot="1" x14ac:dyDescent="0.3">
      <c r="B17" s="116" t="s">
        <v>395</v>
      </c>
      <c r="C17" s="117">
        <v>1.3899999999999999E-2</v>
      </c>
      <c r="D17" s="117">
        <v>8.2559999999999995E-2</v>
      </c>
      <c r="E17" s="117">
        <v>0.32690000000000002</v>
      </c>
      <c r="F17" s="117">
        <v>0.16669999999999999</v>
      </c>
      <c r="G17" s="117">
        <v>3.4029999999999998E-2</v>
      </c>
      <c r="H17" s="117">
        <v>0.33650000000000002</v>
      </c>
      <c r="I17" s="117">
        <v>0.2036</v>
      </c>
      <c r="J17" s="117">
        <v>0.49330000000000002</v>
      </c>
      <c r="K17" s="117">
        <v>0.81889999999999996</v>
      </c>
      <c r="L17" s="117">
        <v>0.41289999999999999</v>
      </c>
      <c r="M17" s="117">
        <v>7.0989999999999998E-2</v>
      </c>
      <c r="N17" s="117">
        <v>0.3135</v>
      </c>
      <c r="O17" s="117">
        <v>0.1414</v>
      </c>
      <c r="P17" s="117">
        <v>0.10150000000000001</v>
      </c>
      <c r="Q17" s="117">
        <v>4.7390000000000002E-2</v>
      </c>
      <c r="R17" s="117">
        <v>2.9600000000000001E-2</v>
      </c>
    </row>
    <row r="18" spans="2:20" ht="15.75" thickBot="1" x14ac:dyDescent="0.3">
      <c r="B18" s="116" t="s">
        <v>396</v>
      </c>
      <c r="C18" s="117">
        <v>1.76E-4</v>
      </c>
      <c r="D18" s="117">
        <v>9.1369999999999993E-3</v>
      </c>
      <c r="E18" s="117">
        <v>1.83</v>
      </c>
      <c r="F18" s="117">
        <v>1.2450000000000001</v>
      </c>
      <c r="G18" s="117">
        <v>4.5580000000000004E-3</v>
      </c>
      <c r="H18" s="117">
        <v>2.585</v>
      </c>
      <c r="I18" s="117">
        <v>0.70589999999999997</v>
      </c>
      <c r="J18" s="117">
        <v>2.2650000000000001</v>
      </c>
      <c r="K18" s="117">
        <v>1.5269999999999999</v>
      </c>
      <c r="L18" s="117">
        <v>5.0529999999999999E-2</v>
      </c>
      <c r="M18" s="117">
        <v>1.585E-3</v>
      </c>
      <c r="N18" s="117">
        <v>4.1160000000000002E-2</v>
      </c>
      <c r="O18" s="117">
        <v>2.9719999999999998E-3</v>
      </c>
      <c r="P18" s="117">
        <v>1.52E-2</v>
      </c>
      <c r="Q18" s="117">
        <v>3.6909999999999998E-3</v>
      </c>
      <c r="R18" s="117">
        <v>7.247E-3</v>
      </c>
    </row>
    <row r="19" spans="2:20" ht="15.75" thickBot="1" x14ac:dyDescent="0.3">
      <c r="B19" s="116" t="s">
        <v>397</v>
      </c>
      <c r="C19" s="117">
        <v>2.2720000000000001E-3</v>
      </c>
      <c r="D19" s="117">
        <v>0.1182</v>
      </c>
      <c r="E19" s="117">
        <v>2.4740000000000002</v>
      </c>
      <c r="F19" s="117">
        <v>1.6819999999999999</v>
      </c>
      <c r="G19" s="117">
        <v>5.8939999999999999E-2</v>
      </c>
      <c r="H19" s="117">
        <v>3.6480000000000001</v>
      </c>
      <c r="I19" s="117">
        <v>1.2010000000000001</v>
      </c>
      <c r="J19" s="117">
        <v>3.1970000000000001</v>
      </c>
      <c r="K19" s="117">
        <v>2.1549999999999998</v>
      </c>
      <c r="L19" s="117">
        <v>0.65349999999999997</v>
      </c>
      <c r="M19" s="117">
        <v>2.0500000000000001E-2</v>
      </c>
      <c r="N19" s="117">
        <v>0.5323</v>
      </c>
      <c r="O19" s="117">
        <v>3.8429999999999999E-2</v>
      </c>
      <c r="P19" s="117">
        <v>0.19650000000000001</v>
      </c>
      <c r="Q19" s="117">
        <v>4.7730000000000002E-2</v>
      </c>
      <c r="R19" s="117">
        <v>9.3719999999999998E-2</v>
      </c>
    </row>
    <row r="22" spans="2:20" ht="15.75" thickBot="1" x14ac:dyDescent="0.3">
      <c r="B22" s="120" t="s">
        <v>398</v>
      </c>
    </row>
    <row r="23" spans="2:20" ht="15.75" thickBot="1" x14ac:dyDescent="0.3">
      <c r="B23" s="121"/>
      <c r="C23" s="122">
        <v>1</v>
      </c>
      <c r="D23" s="122">
        <v>2</v>
      </c>
      <c r="E23" s="122">
        <v>3</v>
      </c>
      <c r="F23" s="122">
        <v>4</v>
      </c>
      <c r="G23" s="122">
        <v>5</v>
      </c>
      <c r="H23" s="122">
        <v>6</v>
      </c>
      <c r="I23" s="122">
        <v>7</v>
      </c>
      <c r="J23" s="122">
        <v>8</v>
      </c>
      <c r="K23" s="122">
        <v>9</v>
      </c>
      <c r="L23" s="122">
        <v>10</v>
      </c>
      <c r="M23" s="122">
        <v>11</v>
      </c>
      <c r="N23" s="122">
        <v>12</v>
      </c>
      <c r="O23" s="122">
        <v>13</v>
      </c>
      <c r="P23" s="122">
        <v>14</v>
      </c>
      <c r="Q23" s="122">
        <v>15</v>
      </c>
      <c r="R23" s="122">
        <v>16</v>
      </c>
      <c r="S23" t="s">
        <v>399</v>
      </c>
    </row>
    <row r="24" spans="2:20" x14ac:dyDescent="0.25">
      <c r="B24" s="121" t="s">
        <v>400</v>
      </c>
      <c r="C24" s="123" t="e">
        <f>C3*'Final Results'!#REF!</f>
        <v>#REF!</v>
      </c>
      <c r="D24" s="123" t="e">
        <f>D3*'Final Results'!#REF!</f>
        <v>#REF!</v>
      </c>
      <c r="E24" s="123" t="e">
        <f>E3*'Final Results'!#REF!</f>
        <v>#REF!</v>
      </c>
      <c r="F24" s="123" t="e">
        <f>F3*'Final Results'!#REF!</f>
        <v>#REF!</v>
      </c>
      <c r="G24" s="123" t="e">
        <f>G3*'Final Results'!#REF!</f>
        <v>#REF!</v>
      </c>
      <c r="H24" s="123" t="e">
        <f>H3*'Final Results'!#REF!</f>
        <v>#REF!</v>
      </c>
      <c r="I24" s="123" t="e">
        <f>I3*'Final Results'!#REF!</f>
        <v>#REF!</v>
      </c>
      <c r="J24" s="123" t="e">
        <f>J3*'Final Results'!#REF!</f>
        <v>#REF!</v>
      </c>
      <c r="K24" s="123" t="e">
        <f>K3*'Final Results'!#REF!</f>
        <v>#REF!</v>
      </c>
      <c r="L24" s="123" t="e">
        <f>L3*'Final Results'!#REF!</f>
        <v>#REF!</v>
      </c>
      <c r="M24" s="123" t="e">
        <f>M3*'Final Results'!#REF!</f>
        <v>#REF!</v>
      </c>
      <c r="N24" s="123" t="e">
        <f>N3*'Final Results'!#REF!</f>
        <v>#REF!</v>
      </c>
      <c r="O24" s="123" t="e">
        <f>O3*'Final Results'!#REF!</f>
        <v>#REF!</v>
      </c>
      <c r="P24" s="123" t="e">
        <f>P3*'Final Results'!#REF!</f>
        <v>#REF!</v>
      </c>
      <c r="Q24" s="123" t="e">
        <f>Q3*'Final Results'!#REF!</f>
        <v>#REF!</v>
      </c>
      <c r="R24" s="123" t="e">
        <f>R3*'Final Results'!#REF!</f>
        <v>#REF!</v>
      </c>
      <c r="S24" s="125" t="e">
        <f>SUM(C24:R24)/(SUM(C3:R3))</f>
        <v>#REF!</v>
      </c>
    </row>
    <row r="25" spans="2:20" x14ac:dyDescent="0.25">
      <c r="B25" s="121" t="s">
        <v>401</v>
      </c>
      <c r="C25" s="123" t="e">
        <f>C4*'Final Results'!#REF!</f>
        <v>#REF!</v>
      </c>
      <c r="D25" s="123" t="e">
        <f>D4*'Final Results'!#REF!</f>
        <v>#REF!</v>
      </c>
      <c r="E25" s="123" t="e">
        <f>E4*'Final Results'!#REF!</f>
        <v>#REF!</v>
      </c>
      <c r="F25" s="123" t="e">
        <f>F4*'Final Results'!#REF!</f>
        <v>#REF!</v>
      </c>
      <c r="G25" s="123" t="e">
        <f>G4*'Final Results'!#REF!</f>
        <v>#REF!</v>
      </c>
      <c r="H25" s="123" t="e">
        <f>H4*'Final Results'!#REF!</f>
        <v>#REF!</v>
      </c>
      <c r="I25" s="123" t="e">
        <f>I4*'Final Results'!#REF!</f>
        <v>#REF!</v>
      </c>
      <c r="J25" s="123" t="e">
        <f>J4*'Final Results'!#REF!</f>
        <v>#REF!</v>
      </c>
      <c r="K25" s="123" t="e">
        <f>K4*'Final Results'!#REF!</f>
        <v>#REF!</v>
      </c>
      <c r="L25" s="123" t="e">
        <f>L4*'Final Results'!#REF!</f>
        <v>#REF!</v>
      </c>
      <c r="M25" s="123" t="e">
        <f>M4*'Final Results'!#REF!</f>
        <v>#REF!</v>
      </c>
      <c r="N25" s="123" t="e">
        <f>N4*'Final Results'!#REF!</f>
        <v>#REF!</v>
      </c>
      <c r="O25" s="123" t="e">
        <f>O4*'Final Results'!#REF!</f>
        <v>#REF!</v>
      </c>
      <c r="P25" s="123" t="e">
        <f>P4*'Final Results'!#REF!</f>
        <v>#REF!</v>
      </c>
      <c r="Q25" s="123" t="e">
        <f>Q4*'Final Results'!#REF!</f>
        <v>#REF!</v>
      </c>
      <c r="R25" s="123" t="e">
        <f>R4*'Final Results'!#REF!</f>
        <v>#REF!</v>
      </c>
      <c r="S25" s="126" t="e">
        <f>SUM(C25:R25)/SUM(C4:R4)</f>
        <v>#REF!</v>
      </c>
    </row>
    <row r="26" spans="2:20" x14ac:dyDescent="0.25">
      <c r="B26" s="121" t="s">
        <v>402</v>
      </c>
      <c r="C26" s="123" t="e">
        <f>C10*'Final Results'!#REF!</f>
        <v>#REF!</v>
      </c>
      <c r="D26" s="123" t="e">
        <f>D10*'Final Results'!#REF!</f>
        <v>#REF!</v>
      </c>
      <c r="E26" s="123" t="e">
        <f>E10*'Final Results'!#REF!</f>
        <v>#REF!</v>
      </c>
      <c r="F26" s="123" t="e">
        <f>F10*'Final Results'!#REF!</f>
        <v>#REF!</v>
      </c>
      <c r="G26" s="123" t="e">
        <f>G10*'Final Results'!#REF!</f>
        <v>#REF!</v>
      </c>
      <c r="H26" s="123" t="e">
        <f>H10*'Final Results'!#REF!</f>
        <v>#REF!</v>
      </c>
      <c r="I26" s="123" t="e">
        <f>I10*'Final Results'!#REF!</f>
        <v>#REF!</v>
      </c>
      <c r="J26" s="123" t="e">
        <f>J10*'Final Results'!#REF!</f>
        <v>#REF!</v>
      </c>
      <c r="K26" s="123" t="e">
        <f>K10*'Final Results'!#REF!</f>
        <v>#REF!</v>
      </c>
      <c r="L26" s="123" t="e">
        <f>L10*'Final Results'!#REF!</f>
        <v>#REF!</v>
      </c>
      <c r="M26" s="123" t="e">
        <f>M10*'Final Results'!#REF!</f>
        <v>#REF!</v>
      </c>
      <c r="N26" s="123" t="e">
        <f>N10*'Final Results'!#REF!</f>
        <v>#REF!</v>
      </c>
      <c r="O26" s="123" t="e">
        <f>O10*'Final Results'!#REF!</f>
        <v>#REF!</v>
      </c>
      <c r="P26" s="123" t="e">
        <f>P10*'Final Results'!#REF!</f>
        <v>#REF!</v>
      </c>
      <c r="Q26" s="123" t="e">
        <f>Q10*'Final Results'!#REF!</f>
        <v>#REF!</v>
      </c>
      <c r="R26" s="123" t="e">
        <f>R10*'Final Results'!#REF!</f>
        <v>#REF!</v>
      </c>
      <c r="S26" s="127" t="e">
        <f>SUM(C26:R26)/SUM(C10:R10)</f>
        <v>#REF!</v>
      </c>
    </row>
    <row r="27" spans="2:20" x14ac:dyDescent="0.25">
      <c r="S27" s="123" t="e">
        <f>SUM(C24:R26)/(SUM(C3:R3)+SUM(C4:R4)+SUM(C10:R10))</f>
        <v>#REF!</v>
      </c>
      <c r="T27" s="121" t="s">
        <v>403</v>
      </c>
    </row>
    <row r="28" spans="2:20" x14ac:dyDescent="0.25">
      <c r="S28" s="124">
        <f>SUM(C3:R4)+SUM(C10:R10)</f>
        <v>38.617946000000003</v>
      </c>
      <c r="T28" s="121" t="s">
        <v>404</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418C1C3CD522429F9295B4569DD6C1" ma:contentTypeVersion="17" ma:contentTypeDescription="Create a new document." ma:contentTypeScope="" ma:versionID="e9e03cde65a4c8555dff70f01aa8e45e">
  <xsd:schema xmlns:xsd="http://www.w3.org/2001/XMLSchema" xmlns:xs="http://www.w3.org/2001/XMLSchema" xmlns:p="http://schemas.microsoft.com/office/2006/metadata/properties" xmlns:ns2="64fd6132-5076-4b89-928a-d8e4a6334481" xmlns:ns3="3ebb0589-ab5a-4457-b858-f2bd68e554dd" targetNamespace="http://schemas.microsoft.com/office/2006/metadata/properties" ma:root="true" ma:fieldsID="bd7268890f30a616b196deecb7995ef8" ns2:_="" ns3:_="">
    <xsd:import namespace="64fd6132-5076-4b89-928a-d8e4a6334481"/>
    <xsd:import namespace="3ebb0589-ab5a-4457-b858-f2bd68e554d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fd6132-5076-4b89-928a-d8e4a63344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Notes" ma:index="22" nillable="true" ma:displayName="Notes" ma:description="General notes" ma:format="Dropdown" ma:internalName="Notes">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bb0589-ab5a-4457-b858-f2bd68e554d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9f0f2ed-d63e-4dfc-a5f0-579bed758327}" ma:internalName="TaxCatchAll" ma:showField="CatchAllData" ma:web="3ebb0589-ab5a-4457-b858-f2bd68e554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fd6132-5076-4b89-928a-d8e4a6334481">
      <Terms xmlns="http://schemas.microsoft.com/office/infopath/2007/PartnerControls"/>
    </lcf76f155ced4ddcb4097134ff3c332f>
    <TaxCatchAll xmlns="3ebb0589-ab5a-4457-b858-f2bd68e554dd" xsi:nil="true"/>
    <Notes xmlns="64fd6132-5076-4b89-928a-d8e4a6334481" xsi:nil="true"/>
  </documentManagement>
</p:properties>
</file>

<file path=customXml/itemProps1.xml><?xml version="1.0" encoding="utf-8"?>
<ds:datastoreItem xmlns:ds="http://schemas.openxmlformats.org/officeDocument/2006/customXml" ds:itemID="{9DFB6F8E-B2C5-4133-8AE2-DA5329867363}">
  <ds:schemaRefs>
    <ds:schemaRef ds:uri="http://schemas.microsoft.com/sharepoint/v3/contenttype/forms"/>
  </ds:schemaRefs>
</ds:datastoreItem>
</file>

<file path=customXml/itemProps2.xml><?xml version="1.0" encoding="utf-8"?>
<ds:datastoreItem xmlns:ds="http://schemas.openxmlformats.org/officeDocument/2006/customXml" ds:itemID="{F9FDAC99-68B6-4BBB-9687-BA703E8BD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fd6132-5076-4b89-928a-d8e4a6334481"/>
    <ds:schemaRef ds:uri="3ebb0589-ab5a-4457-b858-f2bd68e554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4BC58E-87C2-439D-B025-8DC4E506A33A}">
  <ds:schemaRefs>
    <ds:schemaRef ds:uri="http://schemas.microsoft.com/office/2006/metadata/properties"/>
    <ds:schemaRef ds:uri="http://schemas.microsoft.com/office/infopath/2007/PartnerControls"/>
    <ds:schemaRef ds:uri="64fd6132-5076-4b89-928a-d8e4a6334481"/>
    <ds:schemaRef ds:uri="3ebb0589-ab5a-4457-b858-f2bd68e554d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Final Results</vt:lpstr>
      <vt:lpstr>Proto Costing</vt:lpstr>
      <vt:lpstr>Plant-side Costs</vt:lpstr>
      <vt:lpstr>Air-side Costs</vt:lpstr>
      <vt:lpstr>Sizing</vt:lpstr>
      <vt:lpstr>Rough Work</vt:lpstr>
      <vt:lpstr>AGIC</vt:lpstr>
      <vt:lpstr>Implan_Costs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A NORESCO</dc:creator>
  <cp:keywords/>
  <dc:description/>
  <cp:lastModifiedBy>Perez, Javier@Energy</cp:lastModifiedBy>
  <cp:revision/>
  <dcterms:created xsi:type="dcterms:W3CDTF">2022-10-25T17:00:52Z</dcterms:created>
  <dcterms:modified xsi:type="dcterms:W3CDTF">2024-08-14T15:04:23Z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864bb8-b671-4bed-ba85-9478127ab5e9_Enabled">
    <vt:lpwstr>true</vt:lpwstr>
  </property>
  <property fmtid="{D5CDD505-2E9C-101B-9397-08002B2CF9AE}" pid="3" name="MSIP_Label_b7864bb8-b671-4bed-ba85-9478127ab5e9_SetDate">
    <vt:lpwstr>2024-07-23T20:55:47Z</vt:lpwstr>
  </property>
  <property fmtid="{D5CDD505-2E9C-101B-9397-08002B2CF9AE}" pid="4" name="MSIP_Label_b7864bb8-b671-4bed-ba85-9478127ab5e9_Method">
    <vt:lpwstr>Standard</vt:lpwstr>
  </property>
  <property fmtid="{D5CDD505-2E9C-101B-9397-08002B2CF9AE}" pid="5" name="MSIP_Label_b7864bb8-b671-4bed-ba85-9478127ab5e9_Name">
    <vt:lpwstr>Confidential – 2023</vt:lpwstr>
  </property>
  <property fmtid="{D5CDD505-2E9C-101B-9397-08002B2CF9AE}" pid="6" name="MSIP_Label_b7864bb8-b671-4bed-ba85-9478127ab5e9_SiteId">
    <vt:lpwstr>36839a65-7f3f-4bac-9ea4-f571f10a9a03</vt:lpwstr>
  </property>
  <property fmtid="{D5CDD505-2E9C-101B-9397-08002B2CF9AE}" pid="7" name="MSIP_Label_b7864bb8-b671-4bed-ba85-9478127ab5e9_ActionId">
    <vt:lpwstr>7ab551d2-26cb-4153-b81b-afe997a036c7</vt:lpwstr>
  </property>
  <property fmtid="{D5CDD505-2E9C-101B-9397-08002B2CF9AE}" pid="8" name="MSIP_Label_b7864bb8-b671-4bed-ba85-9478127ab5e9_ContentBits">
    <vt:lpwstr>0</vt:lpwstr>
  </property>
  <property fmtid="{D5CDD505-2E9C-101B-9397-08002B2CF9AE}" pid="9" name="ContentTypeId">
    <vt:lpwstr>0x01010062418C1C3CD522429F9295B4569DD6C1</vt:lpwstr>
  </property>
  <property fmtid="{D5CDD505-2E9C-101B-9397-08002B2CF9AE}" pid="10" name="MediaServiceImageTags">
    <vt:lpwstr/>
  </property>
</Properties>
</file>