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5"/>
  <workbookPr defaultThemeVersion="166925"/>
  <mc:AlternateContent xmlns:mc="http://schemas.openxmlformats.org/markup-compatibility/2006">
    <mc:Choice Requires="x15">
      <x15ac:absPath xmlns:x15ac="http://schemas.microsoft.com/office/spreadsheetml/2010/11/ac" url="C:\Users\Javie\Documents\III\2025 Cycle\2. Rulemaking Docs\12. 2nd 15-Day\2. Files for Docketing\1. Additional Docs Relied Upon\"/>
    </mc:Choice>
  </mc:AlternateContent>
  <xr:revisionPtr revIDLastSave="0" documentId="8_{E3BACAA5-0557-4B95-A25F-CE03668E0957}" xr6:coauthVersionLast="47" xr6:coauthVersionMax="47" xr10:uidLastSave="{00000000-0000-0000-0000-000000000000}"/>
  <bookViews>
    <workbookView xWindow="-120" yWindow="-120" windowWidth="38640" windowHeight="21120" xr2:uid="{CF196500-D188-434E-91C6-FD102ED45C71}"/>
  </bookViews>
  <sheets>
    <sheet name="Index" sheetId="10" r:id="rId1"/>
    <sheet name="Final Results" sheetId="9" r:id="rId2"/>
    <sheet name="Proto Costing" sheetId="3" r:id="rId3"/>
    <sheet name="Airside Component Costs" sheetId="1" r:id="rId4"/>
    <sheet name="Plant Equipment Costs" sheetId="4"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C60" i="4"/>
  <c r="C61" i="4" s="1"/>
  <c r="C63" i="4" s="1"/>
  <c r="C64" i="4" s="1"/>
  <c r="C65" i="4" s="1"/>
  <c r="E8" i="4"/>
  <c r="E9" i="4"/>
  <c r="E10" i="4"/>
  <c r="E11" i="4"/>
  <c r="E12" i="4"/>
  <c r="E13" i="4"/>
  <c r="E14" i="4"/>
  <c r="E15" i="4"/>
  <c r="E16" i="4"/>
  <c r="E17" i="4"/>
  <c r="E18" i="4"/>
  <c r="E19" i="4"/>
  <c r="E20" i="4"/>
  <c r="E21" i="4"/>
  <c r="E22" i="4"/>
  <c r="E23" i="4"/>
  <c r="E24" i="4"/>
  <c r="E25" i="4"/>
  <c r="E26" i="4"/>
  <c r="E27" i="4"/>
  <c r="R37" i="3" l="1"/>
  <c r="Q37" i="3"/>
  <c r="P37" i="3"/>
  <c r="O37" i="3"/>
  <c r="N37" i="3"/>
  <c r="M37" i="3"/>
  <c r="L37" i="3"/>
  <c r="K37" i="3"/>
  <c r="J37" i="3"/>
  <c r="I37" i="3"/>
  <c r="H37" i="3"/>
  <c r="G37" i="3"/>
  <c r="F37" i="3"/>
  <c r="E37" i="3"/>
  <c r="D37" i="3"/>
  <c r="C37" i="3"/>
  <c r="E46" i="9"/>
  <c r="H17" i="9" l="1"/>
  <c r="G17" i="9"/>
  <c r="H16" i="9"/>
  <c r="G16" i="9"/>
  <c r="H15" i="9"/>
  <c r="G15" i="9"/>
  <c r="H14" i="9"/>
  <c r="G14" i="9"/>
  <c r="H13" i="9"/>
  <c r="G13" i="9"/>
  <c r="H12" i="9"/>
  <c r="G12" i="9"/>
  <c r="H11" i="9"/>
  <c r="G11" i="9"/>
  <c r="H10" i="9"/>
  <c r="G10" i="9"/>
  <c r="R79" i="3"/>
  <c r="Q79" i="3"/>
  <c r="P79" i="3"/>
  <c r="O79" i="3"/>
  <c r="N79" i="3"/>
  <c r="M79" i="3"/>
  <c r="L79" i="3"/>
  <c r="K79" i="3"/>
  <c r="J79" i="3"/>
  <c r="I79" i="3"/>
  <c r="H79" i="3"/>
  <c r="G79" i="3"/>
  <c r="F79" i="3"/>
  <c r="E79" i="3"/>
  <c r="D79" i="3"/>
  <c r="C79" i="3"/>
  <c r="R99" i="3"/>
  <c r="Q99" i="3"/>
  <c r="P99" i="3"/>
  <c r="O99" i="3"/>
  <c r="N99" i="3"/>
  <c r="M99" i="3"/>
  <c r="L99" i="3"/>
  <c r="K99" i="3"/>
  <c r="J99" i="3"/>
  <c r="I99" i="3"/>
  <c r="H99" i="3"/>
  <c r="G99" i="3"/>
  <c r="F99" i="3"/>
  <c r="E99" i="3"/>
  <c r="D99" i="3"/>
  <c r="C99" i="3"/>
  <c r="R45" i="3"/>
  <c r="Q45" i="3"/>
  <c r="P45" i="3"/>
  <c r="O45" i="3"/>
  <c r="N45" i="3"/>
  <c r="M45" i="3"/>
  <c r="L45" i="3"/>
  <c r="K45" i="3"/>
  <c r="J45" i="3"/>
  <c r="I45" i="3"/>
  <c r="H45" i="3"/>
  <c r="G45" i="3"/>
  <c r="F45" i="3"/>
  <c r="E45" i="3"/>
  <c r="D45" i="3"/>
  <c r="C45" i="3"/>
  <c r="R92" i="3"/>
  <c r="Q92" i="3"/>
  <c r="P92" i="3"/>
  <c r="O92" i="3"/>
  <c r="N92" i="3"/>
  <c r="M92" i="3"/>
  <c r="L92" i="3"/>
  <c r="K92" i="3"/>
  <c r="J92" i="3"/>
  <c r="I92" i="3"/>
  <c r="H92" i="3"/>
  <c r="G92" i="3"/>
  <c r="F92" i="3"/>
  <c r="E92" i="3"/>
  <c r="D92" i="3"/>
  <c r="C92" i="3"/>
  <c r="R91" i="3"/>
  <c r="Q91" i="3"/>
  <c r="P91" i="3"/>
  <c r="O91" i="3"/>
  <c r="N91" i="3"/>
  <c r="M91" i="3"/>
  <c r="L91" i="3"/>
  <c r="K91" i="3"/>
  <c r="J91" i="3"/>
  <c r="I91" i="3"/>
  <c r="H91" i="3"/>
  <c r="G91" i="3"/>
  <c r="F91" i="3"/>
  <c r="E91" i="3"/>
  <c r="D91" i="3"/>
  <c r="C91" i="3"/>
  <c r="R85" i="3"/>
  <c r="Q85" i="3"/>
  <c r="P85" i="3"/>
  <c r="O85" i="3"/>
  <c r="N85" i="3"/>
  <c r="M85" i="3"/>
  <c r="L85" i="3"/>
  <c r="K85" i="3"/>
  <c r="J85" i="3"/>
  <c r="I85" i="3"/>
  <c r="H85" i="3"/>
  <c r="G85" i="3"/>
  <c r="F85" i="3"/>
  <c r="E85" i="3"/>
  <c r="D85" i="3"/>
  <c r="C85" i="3"/>
  <c r="R84" i="3"/>
  <c r="Q84" i="3"/>
  <c r="P84" i="3"/>
  <c r="O84" i="3"/>
  <c r="N84" i="3"/>
  <c r="M84" i="3"/>
  <c r="L84" i="3"/>
  <c r="K84" i="3"/>
  <c r="J84" i="3"/>
  <c r="I84" i="3"/>
  <c r="H84" i="3"/>
  <c r="G84" i="3"/>
  <c r="F84" i="3"/>
  <c r="E84" i="3"/>
  <c r="D84" i="3"/>
  <c r="C84" i="3"/>
  <c r="R69" i="3"/>
  <c r="Q69" i="3"/>
  <c r="P69" i="3"/>
  <c r="O69" i="3"/>
  <c r="N69" i="3"/>
  <c r="M69" i="3"/>
  <c r="L69" i="3"/>
  <c r="K69" i="3"/>
  <c r="J69" i="3"/>
  <c r="I69" i="3"/>
  <c r="H69" i="3"/>
  <c r="G69" i="3"/>
  <c r="F69" i="3"/>
  <c r="E69" i="3"/>
  <c r="D69" i="3"/>
  <c r="C69" i="3"/>
  <c r="N66" i="3"/>
  <c r="M66" i="3"/>
  <c r="L66" i="3"/>
  <c r="J63" i="3"/>
  <c r="J64" i="3" s="1"/>
  <c r="I63" i="3"/>
  <c r="I64" i="3" s="1"/>
  <c r="H63" i="3"/>
  <c r="H64" i="3" s="1"/>
  <c r="G63" i="3"/>
  <c r="G64" i="3" s="1"/>
  <c r="N61" i="3"/>
  <c r="M61" i="3"/>
  <c r="L61" i="3"/>
  <c r="K61" i="3"/>
  <c r="R63" i="3"/>
  <c r="R64" i="3" s="1"/>
  <c r="Q63" i="3"/>
  <c r="Q64" i="3" s="1"/>
  <c r="P63" i="3"/>
  <c r="P64" i="3" s="1"/>
  <c r="O63" i="3"/>
  <c r="O64" i="3" s="1"/>
  <c r="N63" i="3"/>
  <c r="N64" i="3" s="1"/>
  <c r="M63" i="3"/>
  <c r="M64" i="3" s="1"/>
  <c r="L63" i="3"/>
  <c r="L64" i="3" s="1"/>
  <c r="K63" i="3"/>
  <c r="K64" i="3" s="1"/>
  <c r="J66" i="3"/>
  <c r="I66" i="3"/>
  <c r="H66" i="3"/>
  <c r="G66" i="3"/>
  <c r="F63" i="3"/>
  <c r="F64" i="3" s="1"/>
  <c r="E63" i="3"/>
  <c r="E64" i="3" s="1"/>
  <c r="D63" i="3"/>
  <c r="D64" i="3" s="1"/>
  <c r="C63" i="3"/>
  <c r="C64" i="3" s="1"/>
  <c r="R46" i="3"/>
  <c r="R100" i="3" s="1"/>
  <c r="Q46" i="3"/>
  <c r="Q100" i="3" s="1"/>
  <c r="P46" i="3"/>
  <c r="P100" i="3" s="1"/>
  <c r="O46" i="3"/>
  <c r="O100" i="3" s="1"/>
  <c r="N46" i="3"/>
  <c r="N100" i="3" s="1"/>
  <c r="M46" i="3"/>
  <c r="M100" i="3" s="1"/>
  <c r="L46" i="3"/>
  <c r="K46" i="3"/>
  <c r="K100" i="3" s="1"/>
  <c r="J46" i="3"/>
  <c r="J100" i="3" s="1"/>
  <c r="I46" i="3"/>
  <c r="I100" i="3" s="1"/>
  <c r="H46" i="3"/>
  <c r="H100" i="3" s="1"/>
  <c r="G46" i="3"/>
  <c r="G100" i="3" s="1"/>
  <c r="F46" i="3"/>
  <c r="F100" i="3" s="1"/>
  <c r="E46" i="3"/>
  <c r="E100" i="3" s="1"/>
  <c r="D46" i="3"/>
  <c r="D100" i="3" s="1"/>
  <c r="C46" i="3"/>
  <c r="C100" i="3" s="1"/>
  <c r="R17" i="3"/>
  <c r="R20" i="3" s="1"/>
  <c r="N17" i="3"/>
  <c r="N20" i="3" s="1"/>
  <c r="L17" i="3"/>
  <c r="L20" i="3" s="1"/>
  <c r="I17" i="3"/>
  <c r="I20" i="3" s="1"/>
  <c r="G17" i="3"/>
  <c r="G20" i="3" s="1"/>
  <c r="F17" i="3"/>
  <c r="F20" i="3" s="1"/>
  <c r="Q17" i="3"/>
  <c r="Q20" i="3" s="1"/>
  <c r="P17" i="3"/>
  <c r="P20" i="3" s="1"/>
  <c r="O17" i="3"/>
  <c r="O20" i="3" s="1"/>
  <c r="M17" i="3"/>
  <c r="M20" i="3" s="1"/>
  <c r="K17" i="3"/>
  <c r="K20" i="3" s="1"/>
  <c r="J17" i="3"/>
  <c r="J20" i="3" s="1"/>
  <c r="H17" i="3"/>
  <c r="H20" i="3" s="1"/>
  <c r="E17" i="3"/>
  <c r="E20" i="3" s="1"/>
  <c r="D17" i="3"/>
  <c r="D20" i="3" s="1"/>
  <c r="C17" i="3"/>
  <c r="C20" i="3" s="1"/>
  <c r="R10" i="3"/>
  <c r="P10" i="3"/>
  <c r="M10" i="3"/>
  <c r="L10" i="3"/>
  <c r="I10" i="3"/>
  <c r="G10" i="3"/>
  <c r="F10" i="3"/>
  <c r="D10" i="3"/>
  <c r="R9" i="3"/>
  <c r="P9" i="3"/>
  <c r="M9" i="3"/>
  <c r="K9" i="3"/>
  <c r="J9" i="3"/>
  <c r="F9" i="3"/>
  <c r="D9" i="3"/>
  <c r="K10" i="3"/>
  <c r="J10" i="3"/>
  <c r="H10" i="3"/>
  <c r="L87" i="3" l="1"/>
  <c r="N41" i="9" s="1"/>
  <c r="N94" i="3"/>
  <c r="L94" i="3"/>
  <c r="M94" i="3"/>
  <c r="F87" i="3"/>
  <c r="H41" i="9" s="1"/>
  <c r="R87" i="3"/>
  <c r="T41" i="9" s="1"/>
  <c r="H94" i="3"/>
  <c r="M42" i="9"/>
  <c r="F42" i="9"/>
  <c r="P42" i="9"/>
  <c r="K42" i="9"/>
  <c r="E42" i="9"/>
  <c r="N42" i="9"/>
  <c r="Q42" i="9"/>
  <c r="R42" i="9"/>
  <c r="Q38" i="9"/>
  <c r="H38" i="9"/>
  <c r="I38" i="9"/>
  <c r="R38" i="9"/>
  <c r="J38" i="9"/>
  <c r="T38" i="9"/>
  <c r="F38" i="9"/>
  <c r="G38" i="9"/>
  <c r="S38" i="9"/>
  <c r="O42" i="9"/>
  <c r="K38" i="9"/>
  <c r="G42" i="9"/>
  <c r="S42" i="9"/>
  <c r="L38" i="9"/>
  <c r="H42" i="9"/>
  <c r="T42" i="9"/>
  <c r="M38" i="9"/>
  <c r="I42" i="9"/>
  <c r="N38" i="9"/>
  <c r="J42" i="9"/>
  <c r="O38" i="9"/>
  <c r="P38" i="9"/>
  <c r="L42" i="9"/>
  <c r="E38" i="9"/>
  <c r="F47" i="3"/>
  <c r="R47" i="3"/>
  <c r="K87" i="3"/>
  <c r="M41" i="9" s="1"/>
  <c r="H72" i="3"/>
  <c r="D47" i="3"/>
  <c r="J12" i="3"/>
  <c r="L47" i="3"/>
  <c r="K94" i="3"/>
  <c r="P47" i="3"/>
  <c r="G72" i="3"/>
  <c r="D12" i="3"/>
  <c r="K12" i="3"/>
  <c r="M47" i="3"/>
  <c r="C47" i="3"/>
  <c r="O47" i="3"/>
  <c r="E47" i="3"/>
  <c r="H87" i="3"/>
  <c r="J41" i="9" s="1"/>
  <c r="L100" i="3"/>
  <c r="Q47" i="3"/>
  <c r="J47" i="3"/>
  <c r="M72" i="3"/>
  <c r="I72" i="3"/>
  <c r="M87" i="3"/>
  <c r="O41" i="9" s="1"/>
  <c r="N87" i="3"/>
  <c r="P41" i="9" s="1"/>
  <c r="F94" i="3"/>
  <c r="R94" i="3"/>
  <c r="C87" i="3"/>
  <c r="E41" i="9" s="1"/>
  <c r="O87" i="3"/>
  <c r="Q41" i="9" s="1"/>
  <c r="N47" i="3"/>
  <c r="G87" i="3"/>
  <c r="I41" i="9" s="1"/>
  <c r="G94" i="3"/>
  <c r="D87" i="3"/>
  <c r="F41" i="9" s="1"/>
  <c r="P94" i="3"/>
  <c r="I87" i="3"/>
  <c r="K41" i="9" s="1"/>
  <c r="E87" i="3"/>
  <c r="G41" i="9" s="1"/>
  <c r="Q87" i="3"/>
  <c r="S41" i="9" s="1"/>
  <c r="I94" i="3"/>
  <c r="E94" i="3"/>
  <c r="Q94" i="3"/>
  <c r="H47" i="3"/>
  <c r="P87" i="3"/>
  <c r="R41" i="9" s="1"/>
  <c r="D94" i="3"/>
  <c r="J87" i="3"/>
  <c r="L41" i="9" s="1"/>
  <c r="K47" i="3"/>
  <c r="G47" i="3"/>
  <c r="I47" i="3"/>
  <c r="J94" i="3"/>
  <c r="O94" i="3"/>
  <c r="C94" i="3"/>
  <c r="L72" i="3"/>
  <c r="L97" i="3" s="1"/>
  <c r="N72" i="3"/>
  <c r="N97" i="3" s="1"/>
  <c r="J72" i="3"/>
  <c r="K66" i="3"/>
  <c r="K72" i="3" s="1"/>
  <c r="K97" i="3" s="1"/>
  <c r="C61" i="3"/>
  <c r="O61" i="3"/>
  <c r="C66" i="3"/>
  <c r="C72" i="3" s="1"/>
  <c r="O66" i="3"/>
  <c r="O72" i="3" s="1"/>
  <c r="D61" i="3"/>
  <c r="P61" i="3"/>
  <c r="D66" i="3"/>
  <c r="D72" i="3" s="1"/>
  <c r="P66" i="3"/>
  <c r="P72" i="3" s="1"/>
  <c r="E61" i="3"/>
  <c r="Q61" i="3"/>
  <c r="E66" i="3"/>
  <c r="E72" i="3" s="1"/>
  <c r="Q66" i="3"/>
  <c r="Q72" i="3" s="1"/>
  <c r="F61" i="3"/>
  <c r="R61" i="3"/>
  <c r="F66" i="3"/>
  <c r="F72" i="3" s="1"/>
  <c r="R66" i="3"/>
  <c r="R72" i="3" s="1"/>
  <c r="G61" i="3"/>
  <c r="H61" i="3"/>
  <c r="I61" i="3"/>
  <c r="J61" i="3"/>
  <c r="F12" i="3"/>
  <c r="M12" i="3"/>
  <c r="P12" i="3"/>
  <c r="R12" i="3"/>
  <c r="G9" i="3"/>
  <c r="G12" i="3" s="1"/>
  <c r="C10" i="3"/>
  <c r="O10" i="3"/>
  <c r="N10" i="3"/>
  <c r="H9" i="3"/>
  <c r="H12" i="3" s="1"/>
  <c r="I9" i="3"/>
  <c r="I12" i="3" s="1"/>
  <c r="E10" i="3"/>
  <c r="Q10" i="3"/>
  <c r="L9" i="3"/>
  <c r="L12" i="3" s="1"/>
  <c r="N9" i="3"/>
  <c r="C9" i="3"/>
  <c r="O9" i="3"/>
  <c r="E9" i="3"/>
  <c r="Q9" i="3"/>
  <c r="O97" i="3" l="1"/>
  <c r="O102" i="3" s="1"/>
  <c r="Q40" i="9" s="1"/>
  <c r="Q43" i="9" s="1"/>
  <c r="C97" i="3"/>
  <c r="C102" i="3" s="1"/>
  <c r="E40" i="9" s="1"/>
  <c r="E43" i="9" s="1"/>
  <c r="I97" i="3"/>
  <c r="I102" i="3" s="1"/>
  <c r="K40" i="9" s="1"/>
  <c r="K43" i="9" s="1"/>
  <c r="H97" i="3"/>
  <c r="H102" i="3" s="1"/>
  <c r="J40" i="9" s="1"/>
  <c r="J43" i="9" s="1"/>
  <c r="F97" i="3"/>
  <c r="F102" i="3" s="1"/>
  <c r="H40" i="9" s="1"/>
  <c r="H43" i="9" s="1"/>
  <c r="M97" i="3"/>
  <c r="M102" i="3" s="1"/>
  <c r="O40" i="9" s="1"/>
  <c r="O43" i="9" s="1"/>
  <c r="E97" i="3"/>
  <c r="E102" i="3" s="1"/>
  <c r="G40" i="9" s="1"/>
  <c r="G43" i="9" s="1"/>
  <c r="J97" i="3"/>
  <c r="J102" i="3" s="1"/>
  <c r="P97" i="3"/>
  <c r="P102" i="3" s="1"/>
  <c r="D97" i="3"/>
  <c r="D102" i="3" s="1"/>
  <c r="N102" i="3"/>
  <c r="P40" i="9" s="1"/>
  <c r="P43" i="9" s="1"/>
  <c r="G97" i="3"/>
  <c r="G102" i="3" s="1"/>
  <c r="I40" i="9" s="1"/>
  <c r="I43" i="9" s="1"/>
  <c r="R97" i="3"/>
  <c r="R102" i="3" s="1"/>
  <c r="Q97" i="3"/>
  <c r="Q102" i="3" s="1"/>
  <c r="S40" i="9" s="1"/>
  <c r="S43" i="9" s="1"/>
  <c r="L102" i="3"/>
  <c r="N40" i="9" s="1"/>
  <c r="N43" i="9" s="1"/>
  <c r="K102" i="3"/>
  <c r="M40" i="9" s="1"/>
  <c r="Q12" i="3"/>
  <c r="E12" i="3"/>
  <c r="O12" i="3"/>
  <c r="C12" i="3"/>
  <c r="N12" i="3"/>
  <c r="R40" i="9" l="1"/>
  <c r="M43" i="9"/>
  <c r="T40" i="9"/>
  <c r="F40" i="9"/>
  <c r="L40" i="9"/>
  <c r="F43" i="9" l="1"/>
  <c r="T43" i="9"/>
  <c r="L43" i="9"/>
  <c r="R43" i="9"/>
  <c r="C52" i="1"/>
  <c r="E52" i="1" s="1"/>
  <c r="E51" i="1"/>
  <c r="E50" i="1"/>
  <c r="L31" i="3" l="1"/>
  <c r="L32" i="3" s="1"/>
  <c r="L35" i="3" s="1"/>
  <c r="Q31" i="3"/>
  <c r="Q32" i="3" s="1"/>
  <c r="Q35" i="3" s="1"/>
  <c r="J31" i="3"/>
  <c r="J32" i="3" s="1"/>
  <c r="J35" i="3" s="1"/>
  <c r="C31" i="3"/>
  <c r="C32" i="3" s="1"/>
  <c r="C35" i="3" s="1"/>
  <c r="N31" i="3"/>
  <c r="N32" i="3" s="1"/>
  <c r="N35" i="3" s="1"/>
  <c r="D31" i="3"/>
  <c r="D32" i="3" s="1"/>
  <c r="D35" i="3" s="1"/>
  <c r="M31" i="3"/>
  <c r="M32" i="3" s="1"/>
  <c r="M35" i="3" s="1"/>
  <c r="K31" i="3"/>
  <c r="K32" i="3" s="1"/>
  <c r="K35" i="3" s="1"/>
  <c r="H31" i="3"/>
  <c r="H32" i="3" s="1"/>
  <c r="H35" i="3" s="1"/>
  <c r="F31" i="3"/>
  <c r="F32" i="3" s="1"/>
  <c r="F35" i="3" s="1"/>
  <c r="R31" i="3"/>
  <c r="R32" i="3" s="1"/>
  <c r="R35" i="3" s="1"/>
  <c r="I31" i="3"/>
  <c r="I32" i="3" s="1"/>
  <c r="I35" i="3" s="1"/>
  <c r="G31" i="3"/>
  <c r="G32" i="3" s="1"/>
  <c r="G35" i="3" s="1"/>
  <c r="P31" i="3"/>
  <c r="P32" i="3" s="1"/>
  <c r="P35" i="3" s="1"/>
  <c r="O31" i="3"/>
  <c r="O32" i="3" s="1"/>
  <c r="O35" i="3" s="1"/>
  <c r="E31" i="3"/>
  <c r="E32" i="3" s="1"/>
  <c r="E35" i="3" s="1"/>
  <c r="R24" i="3"/>
  <c r="R25" i="3" s="1"/>
  <c r="R28" i="3" s="1"/>
  <c r="J24" i="3"/>
  <c r="J25" i="3" s="1"/>
  <c r="J28" i="3" s="1"/>
  <c r="D24" i="3"/>
  <c r="D25" i="3" s="1"/>
  <c r="D28" i="3" s="1"/>
  <c r="Q24" i="3"/>
  <c r="Q25" i="3" s="1"/>
  <c r="Q28" i="3" s="1"/>
  <c r="P24" i="3"/>
  <c r="P25" i="3" s="1"/>
  <c r="P28" i="3" s="1"/>
  <c r="O24" i="3"/>
  <c r="O25" i="3" s="1"/>
  <c r="O28" i="3" s="1"/>
  <c r="M24" i="3"/>
  <c r="M25" i="3" s="1"/>
  <c r="M28" i="3" s="1"/>
  <c r="H24" i="3"/>
  <c r="H25" i="3" s="1"/>
  <c r="H28" i="3" s="1"/>
  <c r="F24" i="3"/>
  <c r="F25" i="3" s="1"/>
  <c r="F28" i="3" s="1"/>
  <c r="E24" i="3"/>
  <c r="E25" i="3" s="1"/>
  <c r="E28" i="3" s="1"/>
  <c r="N24" i="3"/>
  <c r="N25" i="3" s="1"/>
  <c r="N28" i="3" s="1"/>
  <c r="I24" i="3"/>
  <c r="I25" i="3" s="1"/>
  <c r="I28" i="3" s="1"/>
  <c r="G24" i="3"/>
  <c r="G25" i="3" s="1"/>
  <c r="G28" i="3" s="1"/>
  <c r="L24" i="3"/>
  <c r="L25" i="3" s="1"/>
  <c r="L28" i="3" s="1"/>
  <c r="K24" i="3"/>
  <c r="K25" i="3" s="1"/>
  <c r="K28" i="3" s="1"/>
  <c r="C24" i="3"/>
  <c r="C25" i="3" s="1"/>
  <c r="C28" i="3" s="1"/>
  <c r="P40" i="3" l="1"/>
  <c r="P41" i="3" s="1"/>
  <c r="L40" i="3"/>
  <c r="L41" i="3" s="1"/>
  <c r="C40" i="3"/>
  <c r="C41" i="3" s="1"/>
  <c r="R40" i="3"/>
  <c r="R41" i="3" s="1"/>
  <c r="M40" i="3"/>
  <c r="M41" i="3" s="1"/>
  <c r="F40" i="3"/>
  <c r="F41" i="3" s="1"/>
  <c r="K40" i="3"/>
  <c r="K41" i="3" s="1"/>
  <c r="G40" i="3"/>
  <c r="G41" i="3" s="1"/>
  <c r="N40" i="3"/>
  <c r="N41" i="3" s="1"/>
  <c r="J40" i="3"/>
  <c r="J41" i="3" s="1"/>
  <c r="I40" i="3"/>
  <c r="I41" i="3" s="1"/>
  <c r="D40" i="3"/>
  <c r="D41" i="3" s="1"/>
  <c r="O40" i="3"/>
  <c r="O41" i="3" s="1"/>
  <c r="Q40" i="3"/>
  <c r="Q41" i="3" s="1"/>
  <c r="E40" i="3"/>
  <c r="E41" i="3" s="1"/>
  <c r="H40" i="3"/>
  <c r="H41" i="3" s="1"/>
  <c r="Q37" i="9" l="1"/>
  <c r="O43" i="3"/>
  <c r="T37" i="9"/>
  <c r="R43" i="3"/>
  <c r="E37" i="9"/>
  <c r="C43" i="3"/>
  <c r="J37" i="9"/>
  <c r="H43" i="3"/>
  <c r="S37" i="9"/>
  <c r="Q43" i="3"/>
  <c r="K37" i="9"/>
  <c r="I43" i="3"/>
  <c r="P37" i="9"/>
  <c r="N43" i="3"/>
  <c r="M37" i="9"/>
  <c r="K43" i="3"/>
  <c r="O37" i="9"/>
  <c r="M43" i="3"/>
  <c r="N37" i="9"/>
  <c r="L43" i="3"/>
  <c r="G37" i="9"/>
  <c r="E43" i="3"/>
  <c r="F37" i="9"/>
  <c r="D43" i="3"/>
  <c r="L37" i="9"/>
  <c r="J43" i="3"/>
  <c r="I37" i="9"/>
  <c r="G43" i="3"/>
  <c r="H37" i="9"/>
  <c r="F43" i="3"/>
  <c r="R37" i="9"/>
  <c r="P43" i="3"/>
  <c r="R49" i="3" l="1"/>
  <c r="R111" i="3"/>
  <c r="R112" i="3" s="1"/>
  <c r="M49" i="3"/>
  <c r="M111" i="3"/>
  <c r="M112" i="3" s="1"/>
  <c r="N49" i="3"/>
  <c r="N111" i="3"/>
  <c r="N112" i="3" s="1"/>
  <c r="Q49" i="3"/>
  <c r="Q111" i="3"/>
  <c r="Q112" i="3" s="1"/>
  <c r="C49" i="3"/>
  <c r="C111" i="3"/>
  <c r="C112" i="3" s="1"/>
  <c r="L49" i="3"/>
  <c r="L111" i="3"/>
  <c r="L112" i="3" s="1"/>
  <c r="K49" i="3"/>
  <c r="K111" i="3"/>
  <c r="K112" i="3" s="1"/>
  <c r="P49" i="3"/>
  <c r="P111" i="3"/>
  <c r="P112" i="3" s="1"/>
  <c r="G49" i="3"/>
  <c r="G111" i="3"/>
  <c r="G112" i="3" s="1"/>
  <c r="J49" i="3"/>
  <c r="J111" i="3"/>
  <c r="J112" i="3" s="1"/>
  <c r="D49" i="3"/>
  <c r="D111" i="3"/>
  <c r="D112" i="3" s="1"/>
  <c r="O49" i="3"/>
  <c r="O111" i="3"/>
  <c r="O112" i="3" s="1"/>
  <c r="I49" i="3"/>
  <c r="I111" i="3"/>
  <c r="I112" i="3" s="1"/>
  <c r="F49" i="3"/>
  <c r="F111" i="3"/>
  <c r="F112" i="3" s="1"/>
  <c r="H49" i="3"/>
  <c r="H111" i="3"/>
  <c r="H112" i="3" s="1"/>
  <c r="E49" i="3"/>
  <c r="E111" i="3"/>
  <c r="E112" i="3" s="1"/>
  <c r="E113" i="3" l="1"/>
  <c r="E114" i="3" s="1"/>
  <c r="G36" i="9"/>
  <c r="G39" i="9" s="1"/>
  <c r="G44" i="9" s="1"/>
  <c r="G45" i="9" s="1"/>
  <c r="G47" i="9" s="1"/>
  <c r="H36" i="9"/>
  <c r="H39" i="9" s="1"/>
  <c r="H44" i="9" s="1"/>
  <c r="H45" i="9" s="1"/>
  <c r="H47" i="9" s="1"/>
  <c r="F113" i="3"/>
  <c r="F114" i="3" s="1"/>
  <c r="S36" i="9"/>
  <c r="S39" i="9" s="1"/>
  <c r="S44" i="9" s="1"/>
  <c r="S45" i="9" s="1"/>
  <c r="S47" i="9" s="1"/>
  <c r="Q113" i="3"/>
  <c r="Q114" i="3" s="1"/>
  <c r="K36" i="9"/>
  <c r="K39" i="9" s="1"/>
  <c r="K44" i="9" s="1"/>
  <c r="K45" i="9" s="1"/>
  <c r="K47" i="9" s="1"/>
  <c r="I113" i="3"/>
  <c r="I114" i="3" s="1"/>
  <c r="N113" i="3"/>
  <c r="N114" i="3" s="1"/>
  <c r="P36" i="9"/>
  <c r="P39" i="9" s="1"/>
  <c r="P44" i="9" s="1"/>
  <c r="P45" i="9" s="1"/>
  <c r="P47" i="9" s="1"/>
  <c r="Q36" i="9"/>
  <c r="Q39" i="9" s="1"/>
  <c r="Q44" i="9" s="1"/>
  <c r="Q45" i="9" s="1"/>
  <c r="Q47" i="9" s="1"/>
  <c r="O113" i="3"/>
  <c r="O114" i="3" s="1"/>
  <c r="O36" i="9"/>
  <c r="O39" i="9" s="1"/>
  <c r="O44" i="9" s="1"/>
  <c r="O45" i="9" s="1"/>
  <c r="O47" i="9" s="1"/>
  <c r="M113" i="3"/>
  <c r="M114" i="3" s="1"/>
  <c r="E36" i="9"/>
  <c r="E39" i="9" s="1"/>
  <c r="E44" i="9" s="1"/>
  <c r="E45" i="9" s="1"/>
  <c r="E47" i="9" s="1"/>
  <c r="C113" i="3"/>
  <c r="C114" i="3" s="1"/>
  <c r="L36" i="9"/>
  <c r="L39" i="9" s="1"/>
  <c r="L44" i="9" s="1"/>
  <c r="L45" i="9" s="1"/>
  <c r="L47" i="9" s="1"/>
  <c r="J113" i="3"/>
  <c r="J114" i="3" s="1"/>
  <c r="I36" i="9"/>
  <c r="I39" i="9" s="1"/>
  <c r="I44" i="9" s="1"/>
  <c r="I45" i="9" s="1"/>
  <c r="I47" i="9" s="1"/>
  <c r="G113" i="3"/>
  <c r="G114" i="3" s="1"/>
  <c r="R36" i="9"/>
  <c r="R39" i="9" s="1"/>
  <c r="R44" i="9" s="1"/>
  <c r="R45" i="9" s="1"/>
  <c r="R47" i="9" s="1"/>
  <c r="P113" i="3"/>
  <c r="P114" i="3" s="1"/>
  <c r="M36" i="9"/>
  <c r="M39" i="9" s="1"/>
  <c r="M44" i="9" s="1"/>
  <c r="M45" i="9" s="1"/>
  <c r="M47" i="9" s="1"/>
  <c r="K113" i="3"/>
  <c r="K114" i="3" s="1"/>
  <c r="L113" i="3"/>
  <c r="L114" i="3" s="1"/>
  <c r="N36" i="9"/>
  <c r="N39" i="9" s="1"/>
  <c r="N44" i="9" s="1"/>
  <c r="N45" i="9" s="1"/>
  <c r="N47" i="9" s="1"/>
  <c r="J36" i="9"/>
  <c r="J39" i="9" s="1"/>
  <c r="J44" i="9" s="1"/>
  <c r="J45" i="9" s="1"/>
  <c r="J47" i="9" s="1"/>
  <c r="H113" i="3"/>
  <c r="H114" i="3" s="1"/>
  <c r="F36" i="9"/>
  <c r="F39" i="9" s="1"/>
  <c r="F44" i="9" s="1"/>
  <c r="F45" i="9" s="1"/>
  <c r="F47" i="9" s="1"/>
  <c r="D113" i="3"/>
  <c r="D114" i="3" s="1"/>
  <c r="T36" i="9"/>
  <c r="T39" i="9" s="1"/>
  <c r="T44" i="9" s="1"/>
  <c r="T45" i="9" s="1"/>
  <c r="T47" i="9" s="1"/>
  <c r="R113" i="3"/>
  <c r="R114" i="3" s="1"/>
</calcChain>
</file>

<file path=xl/sharedStrings.xml><?xml version="1.0" encoding="utf-8"?>
<sst xmlns="http://schemas.openxmlformats.org/spreadsheetml/2006/main" count="309" uniqueCount="185">
  <si>
    <t>Tab Name</t>
  </si>
  <si>
    <t>Purpose</t>
  </si>
  <si>
    <t>Final Results</t>
  </si>
  <si>
    <t>Final incremental costs including first costs, maintenance costs, and replacement costs</t>
  </si>
  <si>
    <t>Proto Costing</t>
  </si>
  <si>
    <t>Cost buildup for each prototype and system type</t>
  </si>
  <si>
    <t>Air-side Component Costs</t>
  </si>
  <si>
    <t>Air-side distribution component costs</t>
  </si>
  <si>
    <t>Plant Equipment Costs</t>
  </si>
  <si>
    <t>Plant component data and regressions</t>
  </si>
  <si>
    <t>Small School Prototype Incremental First Costs and Maintenance and Replacement Costs</t>
  </si>
  <si>
    <t>Maintenance and Replacement Costs Calculation</t>
  </si>
  <si>
    <t>Parameter</t>
  </si>
  <si>
    <t>Value</t>
  </si>
  <si>
    <t>Source</t>
  </si>
  <si>
    <t>Discount Rate</t>
  </si>
  <si>
    <t>CEC Assumption</t>
  </si>
  <si>
    <t>Small School Num Zones</t>
  </si>
  <si>
    <t>Assume 1 zone per classroom; avg approximately 1,000 SF/zone</t>
  </si>
  <si>
    <t>Small School Floor Area</t>
  </si>
  <si>
    <t>Prototype Definition</t>
  </si>
  <si>
    <t>Component</t>
  </si>
  <si>
    <t>Annual Maint</t>
  </si>
  <si>
    <t>EUL</t>
  </si>
  <si>
    <t>Repl Discount</t>
  </si>
  <si>
    <t>PV of Maint. Cost</t>
  </si>
  <si>
    <t>PVAV</t>
  </si>
  <si>
    <t>VRF</t>
  </si>
  <si>
    <t>Boiler</t>
  </si>
  <si>
    <t>AWHP</t>
  </si>
  <si>
    <t>Pump</t>
  </si>
  <si>
    <t>FPFC</t>
  </si>
  <si>
    <t>VAV Terminal Unit</t>
  </si>
  <si>
    <t>DOAS</t>
  </si>
  <si>
    <t>1. O&amp;M for Built-Up VAV assumes replacement of fans and coils without entire cabinet. Pump maintenance cost is neutral for the AWHP case.</t>
  </si>
  <si>
    <t>2. Annual Maintenance Cost estimates from O&amp;M equipment task lists and an assumed burdened labor rate of $100-$120/hr.</t>
  </si>
  <si>
    <t>3. EUL = Expected Useful Life of Equipment, from ASHRAE Equipment Life Expectancy Chart</t>
  </si>
  <si>
    <t>4. Repl Discount = Discount factor for equipment replacement after EUL period.</t>
  </si>
  <si>
    <t>5. PV of Maint Cost = Total maintenance cost over expected life, per unit, accounting for the discount rate.</t>
  </si>
  <si>
    <t>6. FPFC estimated annual maintenance (incremental over VAV terminal units) is 2 hours per FPFC unit.</t>
  </si>
  <si>
    <t>Proposed First Cost - proposed HVAC system first cost of all costed components.  Note for some buildings this may not include systems (chiller, tower) that have a neutral cost.</t>
  </si>
  <si>
    <t xml:space="preserve">Replacement Cost - replacement cost of all systems in table above applicable to the design, modified by the Replacement Discount factor in colum G.  </t>
  </si>
  <si>
    <t>For VRF/DOAS, Replacement Cost includes condenser unit replacement at $1620/ton and energy recovery section of DOAS replacement at $14,585, with discount rate aplpied..</t>
  </si>
  <si>
    <t>Maintenance Cost - the total maintenance cost of all system components in the table above, column H, multiplied by the number of components of each type.</t>
  </si>
  <si>
    <t>Incr Cost - the incremental HVAC system cost over the baseline, per square foot of building floor area.</t>
  </si>
  <si>
    <t xml:space="preserve">AGIC Avoided Cost - the avoided cost of gas infrastructure (running gas lines to building, and runnling gas lines to HVAC units).  This only applies to office buildings, not to schools. </t>
  </si>
  <si>
    <t>Net Incremental Cost - the net incremental cost over the standard design (2022 baseline) HVAC system, per square foot of floor area.</t>
  </si>
  <si>
    <t>Small School VRF/DOAS Cost-Effectiveness</t>
  </si>
  <si>
    <t>CZ</t>
  </si>
  <si>
    <t>Base</t>
  </si>
  <si>
    <t>Baseline First Cost</t>
  </si>
  <si>
    <t>Replacement Cost</t>
  </si>
  <si>
    <t>Maintenance Cost</t>
  </si>
  <si>
    <t>Total</t>
  </si>
  <si>
    <t>VRF/DOAS</t>
  </si>
  <si>
    <t>Cost-Effectiveness</t>
  </si>
  <si>
    <t>Incremental Cost</t>
  </si>
  <si>
    <t>Incremental Cost / SF</t>
  </si>
  <si>
    <t>LSC Energy Model Savings</t>
  </si>
  <si>
    <t>BCR, Small School LCC</t>
  </si>
  <si>
    <t>Infinite</t>
  </si>
  <si>
    <t>Small School</t>
  </si>
  <si>
    <t>FloorArea</t>
  </si>
  <si>
    <t>sf</t>
  </si>
  <si>
    <t>Small School Prototype - Base Case</t>
  </si>
  <si>
    <t>CZ1</t>
  </si>
  <si>
    <t>CZ2</t>
  </si>
  <si>
    <t>CZ3</t>
  </si>
  <si>
    <t>CZ4</t>
  </si>
  <si>
    <t>CZ5</t>
  </si>
  <si>
    <t>CZ6</t>
  </si>
  <si>
    <t>CZ7</t>
  </si>
  <si>
    <t>CZ8</t>
  </si>
  <si>
    <t>CZ9</t>
  </si>
  <si>
    <t>CZ10</t>
  </si>
  <si>
    <t>CZ11</t>
  </si>
  <si>
    <t>CZ12</t>
  </si>
  <si>
    <t>CZ13</t>
  </si>
  <si>
    <t>CZ14</t>
  </si>
  <si>
    <t>CZ15</t>
  </si>
  <si>
    <t>CZ16</t>
  </si>
  <si>
    <t>Gas Boiler</t>
  </si>
  <si>
    <t>Capacity</t>
  </si>
  <si>
    <t>Qty</t>
  </si>
  <si>
    <t>Mat Cost</t>
  </si>
  <si>
    <t>Labor Cost</t>
  </si>
  <si>
    <t>O&amp;P</t>
  </si>
  <si>
    <t>Subtotal</t>
  </si>
  <si>
    <t xml:space="preserve">PVAV </t>
  </si>
  <si>
    <t>Qty (CFM)</t>
  </si>
  <si>
    <t>Unit Cost</t>
  </si>
  <si>
    <t>n/a</t>
  </si>
  <si>
    <t>HW Ductwork</t>
  </si>
  <si>
    <t>Qty (ft)</t>
  </si>
  <si>
    <t>HW Piping</t>
  </si>
  <si>
    <t>Capacity (ft)</t>
  </si>
  <si>
    <t>VAV Box</t>
  </si>
  <si>
    <t>Number Zones</t>
  </si>
  <si>
    <t>Circ Pump</t>
  </si>
  <si>
    <t>Pump Motorhorsepower</t>
  </si>
  <si>
    <t>SUBTOTAL</t>
  </si>
  <si>
    <t>No controls, Cx</t>
  </si>
  <si>
    <t>Controls</t>
  </si>
  <si>
    <t>Commissioning (Htg System)</t>
  </si>
  <si>
    <t>TOTAL</t>
  </si>
  <si>
    <t>Project Total (Costed Portion)</t>
  </si>
  <si>
    <t>Small School Prototype - VRF/DOAS (Proposed Case)</t>
  </si>
  <si>
    <t>Mat Cost (per ton)</t>
  </si>
  <si>
    <t>Labor Cost (per ton)</t>
  </si>
  <si>
    <t xml:space="preserve">O&amp;P </t>
  </si>
  <si>
    <t>Condensate Line</t>
  </si>
  <si>
    <t>Rx Piping</t>
  </si>
  <si>
    <t>Indoor Units</t>
  </si>
  <si>
    <t>Installed Cost per Unit</t>
  </si>
  <si>
    <t xml:space="preserve">DOAS Unit </t>
  </si>
  <si>
    <t>"Std Package"</t>
  </si>
  <si>
    <t>110% multiplier</t>
  </si>
  <si>
    <t>on Std HRV Cost</t>
  </si>
  <si>
    <t>for bypass</t>
  </si>
  <si>
    <t>DOAS Ductwork</t>
  </si>
  <si>
    <t>DOAS vs. VAV Ductwork (Note 1)</t>
  </si>
  <si>
    <t>Qty (LF)</t>
  </si>
  <si>
    <t>Note 1.  DOAS Ductwork installation costs discounted by 20% in comparison to central AHU VAV ductwork costs.  DOAS ductwork serving only ventiation will be much smaller than conventional ductwork.</t>
  </si>
  <si>
    <t>Table 1-08162024.  Incremental First Cost, Small School, PVAV to VRF/DOAS</t>
  </si>
  <si>
    <t>Incr First Cost, less controls, Cx</t>
  </si>
  <si>
    <t>Incr Cost/SF, less controls, Cx</t>
  </si>
  <si>
    <t>Incr First Cost</t>
  </si>
  <si>
    <t>Incr First Cost/SF</t>
  </si>
  <si>
    <t xml:space="preserve">Assumptions: </t>
  </si>
  <si>
    <t>1. Prototype Model of 24,404 SF floor area, single story assumed.</t>
  </si>
  <si>
    <t>2.Assume similar zoning as energy model, but with each classroom as having its own zone, for a total of 24 zones (energy model has 12).</t>
  </si>
  <si>
    <t>3. Duct Layout assumes perimeter band of ductwork  as ~20 feet from exterior for 480 LF of ductwork; assumes 40 LF of ductwork for each zone, for duct costing purposes.</t>
  </si>
  <si>
    <t>4. All zones except corridor zones and MEP/elec room assumed to require reheat.  HW piping length is 20/24 times the duct length.</t>
  </si>
  <si>
    <t>5. Ductwork and piping instlled costs per LF the same as other building types.</t>
  </si>
  <si>
    <t>6. Revised Indoor Unit average installation cost of $2500 per unit (zone)as a conservativ estimate.</t>
  </si>
  <si>
    <t>7. VRF Condensate Piping at $317 per ton.</t>
  </si>
  <si>
    <t>8. Maintenace Costs not included in this estimate.</t>
  </si>
  <si>
    <t>9. Controls costs assumes slight increment for VRF system ($2.25-$2.50/sf).  Commissioning assumes 50% labor increment for VRF system, depending on Cx agent familiarity.</t>
  </si>
  <si>
    <t>Airside Component Costs</t>
  </si>
  <si>
    <t>Terminal Unit Costs</t>
  </si>
  <si>
    <t>Average Capacity</t>
  </si>
  <si>
    <t>3.5ton/1250cfm</t>
  </si>
  <si>
    <t>RSMeans 233616105660</t>
  </si>
  <si>
    <t>Labor Costs - PVAV (RSMeansOnline), gas heat</t>
  </si>
  <si>
    <t>Nominal Tons</t>
  </si>
  <si>
    <t>Bare Labor</t>
  </si>
  <si>
    <t>Eqp Cost (Ref only)</t>
  </si>
  <si>
    <t>Distribution Costs - J. Singer (Northern California recent Large Office MEP projects)</t>
  </si>
  <si>
    <t>Material Cost per ft</t>
  </si>
  <si>
    <t>Labor</t>
  </si>
  <si>
    <t>Total Cost</t>
  </si>
  <si>
    <t>Duct</t>
  </si>
  <si>
    <t>Pipe</t>
  </si>
  <si>
    <t>Pipe Base</t>
  </si>
  <si>
    <t>Duct 32.80 - 16" round with labor</t>
  </si>
  <si>
    <t>Assume 24.50 with fittings - $50</t>
  </si>
  <si>
    <t>Duct Insulation - $4.77</t>
  </si>
  <si>
    <t>Total: $54.77/LF</t>
  </si>
  <si>
    <t>Component Data and Regressions</t>
  </si>
  <si>
    <t>Electric Boiler</t>
  </si>
  <si>
    <t>RSMeans #235213102040</t>
  </si>
  <si>
    <t>MBH</t>
  </si>
  <si>
    <t>Mat</t>
  </si>
  <si>
    <t>Commercial NG Boilers - AF Supply, Distributor</t>
  </si>
  <si>
    <t>RS Means for Labor</t>
  </si>
  <si>
    <t>Make</t>
  </si>
  <si>
    <t>Eff</t>
  </si>
  <si>
    <t>Cost</t>
  </si>
  <si>
    <t>Well-McLain</t>
  </si>
  <si>
    <t>Lochinvar Cu</t>
  </si>
  <si>
    <t>Lochinvar</t>
  </si>
  <si>
    <t>LAARS</t>
  </si>
  <si>
    <t>Pump Sizing</t>
  </si>
  <si>
    <t>Load</t>
  </si>
  <si>
    <t>gpm</t>
  </si>
  <si>
    <t>W/gpm</t>
  </si>
  <si>
    <t>From RS Means:  assume base mounted pump with coupling guard for easier service (more expensive than close mounted)</t>
  </si>
  <si>
    <t>Material</t>
  </si>
  <si>
    <t>Total Installed</t>
  </si>
  <si>
    <t>2 HP to 50 gpm</t>
  </si>
  <si>
    <t>3 HP to 90 gpm</t>
  </si>
  <si>
    <t>5 HP to 225 gpm</t>
  </si>
  <si>
    <t>7 1/2 HP to 350 gpm</t>
  </si>
  <si>
    <t>10 HP to 600 gpm</t>
  </si>
  <si>
    <t>15 H to 1000 gpm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</si>
</sst>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164" formatCode="&quot;$&quot;#,##0"/>
    <numFmt numFmtId="165" formatCode="&quot;$&quot;#,##0.000_);[Red]\(&quot;$&quot;#,##0.000\)"/>
    <numFmt numFmtId="166" formatCode="0.000"/>
    <numFmt numFmtId="167" formatCode="0.000000"/>
    <numFmt numFmtId="168" formatCode="&quot;$&quot;#,##0.00"/>
    <numFmt numFmtId="169" formatCode="0.0"/>
    <numFmt numFmtId="170" formatCode="0.00_);[Red]\(0.00\)"/>
  </numFmts>
  <fonts count="13">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b/>
      <sz val="16"/>
      <color theme="1"/>
      <name val="Calibri"/>
      <family val="2"/>
      <scheme val="minor"/>
    </font>
    <font>
      <b/>
      <sz val="14"/>
      <color theme="1"/>
      <name val="Calibri"/>
      <family val="2"/>
      <scheme val="minor"/>
    </font>
    <font>
      <sz val="9"/>
      <color theme="1"/>
      <name val="Calibri"/>
      <family val="2"/>
      <scheme val="minor"/>
    </font>
    <font>
      <sz val="11"/>
      <name val="Calibri"/>
      <family val="2"/>
      <scheme val="minor"/>
    </font>
    <font>
      <sz val="11"/>
      <color rgb="FF000000"/>
      <name val="Calibri"/>
      <family val="2"/>
      <scheme val="minor"/>
    </font>
    <font>
      <b/>
      <sz val="20"/>
      <color theme="1"/>
      <name val="Calibri"/>
      <family val="2"/>
      <scheme val="minor"/>
    </font>
    <font>
      <b/>
      <sz val="14"/>
      <name val="Calibri"/>
      <family val="2"/>
      <scheme val="minor"/>
    </font>
    <font>
      <b/>
      <sz val="11"/>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1" tint="0.14999847407452621"/>
        <bgColor indexed="64"/>
      </patternFill>
    </fill>
    <fill>
      <patternFill patternType="solid">
        <fgColor theme="7" tint="0.79998168889431442"/>
        <bgColor indexed="64"/>
      </patternFill>
    </fill>
    <fill>
      <patternFill patternType="solid">
        <fgColor theme="1"/>
        <bgColor indexed="64"/>
      </patternFill>
    </fill>
    <fill>
      <patternFill patternType="solid">
        <fgColor rgb="FF92D050"/>
        <bgColor indexed="64"/>
      </patternFill>
    </fill>
    <fill>
      <patternFill patternType="solid">
        <fgColor theme="5" tint="0.79998168889431442"/>
        <bgColor indexed="64"/>
      </patternFill>
    </fill>
  </fills>
  <borders count="15">
    <border>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indexed="64"/>
      </left>
      <right style="thin">
        <color indexed="64"/>
      </right>
      <top/>
      <bottom style="thin">
        <color auto="1"/>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45">
    <xf numFmtId="0" fontId="0" fillId="0" borderId="0" xfId="0"/>
    <xf numFmtId="0" fontId="1" fillId="0" borderId="0" xfId="0" applyFont="1"/>
    <xf numFmtId="0" fontId="0" fillId="0" borderId="1" xfId="0" applyBorder="1"/>
    <xf numFmtId="0" fontId="0" fillId="0" borderId="2" xfId="0" applyBorder="1"/>
    <xf numFmtId="0" fontId="0" fillId="0" borderId="4" xfId="0" applyBorder="1"/>
    <xf numFmtId="0" fontId="0" fillId="0" borderId="5" xfId="0" applyBorder="1"/>
    <xf numFmtId="0" fontId="0" fillId="0" borderId="6" xfId="0" applyBorder="1"/>
    <xf numFmtId="0" fontId="0" fillId="0" borderId="7" xfId="0" applyBorder="1"/>
    <xf numFmtId="6" fontId="0" fillId="0" borderId="5" xfId="0" applyNumberFormat="1" applyBorder="1"/>
    <xf numFmtId="8" fontId="0" fillId="0" borderId="0" xfId="0" applyNumberFormat="1"/>
    <xf numFmtId="0" fontId="0" fillId="0" borderId="0" xfId="0" applyAlignment="1">
      <alignment horizontal="center"/>
    </xf>
    <xf numFmtId="0" fontId="0" fillId="0" borderId="1" xfId="0" applyBorder="1" applyAlignment="1">
      <alignment horizontal="center"/>
    </xf>
    <xf numFmtId="6" fontId="0" fillId="0" borderId="0" xfId="0" applyNumberFormat="1"/>
    <xf numFmtId="1" fontId="0" fillId="0" borderId="0" xfId="0" applyNumberFormat="1"/>
    <xf numFmtId="0" fontId="0" fillId="0" borderId="8" xfId="0" applyBorder="1"/>
    <xf numFmtId="164" fontId="0" fillId="0" borderId="0" xfId="0" applyNumberFormat="1"/>
    <xf numFmtId="164" fontId="0" fillId="0" borderId="0" xfId="1" applyNumberFormat="1" applyFont="1" applyBorder="1"/>
    <xf numFmtId="0" fontId="0" fillId="2" borderId="10" xfId="0" applyFill="1" applyBorder="1"/>
    <xf numFmtId="0" fontId="5" fillId="2" borderId="9" xfId="0" applyFont="1" applyFill="1" applyBorder="1"/>
    <xf numFmtId="0" fontId="0" fillId="2" borderId="9" xfId="0" applyFill="1" applyBorder="1"/>
    <xf numFmtId="0" fontId="0" fillId="2" borderId="8" xfId="0" applyFill="1" applyBorder="1"/>
    <xf numFmtId="0" fontId="0" fillId="2" borderId="4" xfId="0" applyFill="1" applyBorder="1"/>
    <xf numFmtId="0" fontId="0" fillId="2" borderId="0" xfId="0" applyFill="1"/>
    <xf numFmtId="0" fontId="0" fillId="2" borderId="5" xfId="0" applyFill="1" applyBorder="1"/>
    <xf numFmtId="164" fontId="0" fillId="2" borderId="0" xfId="0" applyNumberFormat="1" applyFill="1"/>
    <xf numFmtId="6" fontId="0" fillId="2" borderId="0" xfId="0" applyNumberFormat="1" applyFill="1"/>
    <xf numFmtId="9" fontId="0" fillId="2" borderId="0" xfId="0" applyNumberFormat="1" applyFill="1"/>
    <xf numFmtId="9" fontId="0" fillId="2" borderId="5" xfId="0" applyNumberFormat="1" applyFill="1" applyBorder="1"/>
    <xf numFmtId="0" fontId="1" fillId="2" borderId="0" xfId="0" applyFont="1" applyFill="1"/>
    <xf numFmtId="6" fontId="1" fillId="2" borderId="9" xfId="0" applyNumberFormat="1" applyFont="1" applyFill="1" applyBorder="1"/>
    <xf numFmtId="6" fontId="1" fillId="2" borderId="8" xfId="0" applyNumberFormat="1" applyFont="1" applyFill="1" applyBorder="1"/>
    <xf numFmtId="0" fontId="4" fillId="3" borderId="4" xfId="0" applyFont="1" applyFill="1" applyBorder="1"/>
    <xf numFmtId="0" fontId="5" fillId="4" borderId="9" xfId="0" applyFont="1" applyFill="1" applyBorder="1"/>
    <xf numFmtId="0" fontId="0" fillId="4" borderId="0" xfId="0" applyFill="1"/>
    <xf numFmtId="0" fontId="0" fillId="4" borderId="5" xfId="0" applyFill="1" applyBorder="1"/>
    <xf numFmtId="0" fontId="0" fillId="4" borderId="4" xfId="0" applyFill="1" applyBorder="1"/>
    <xf numFmtId="164" fontId="0" fillId="4" borderId="0" xfId="1" applyNumberFormat="1" applyFont="1" applyFill="1" applyBorder="1"/>
    <xf numFmtId="6" fontId="0" fillId="4" borderId="0" xfId="0" applyNumberFormat="1" applyFill="1"/>
    <xf numFmtId="9" fontId="0" fillId="4" borderId="0" xfId="0" applyNumberFormat="1" applyFill="1"/>
    <xf numFmtId="9" fontId="0" fillId="4" borderId="5" xfId="0" applyNumberFormat="1" applyFill="1" applyBorder="1"/>
    <xf numFmtId="6" fontId="0" fillId="4" borderId="5" xfId="0" applyNumberFormat="1" applyFill="1" applyBorder="1"/>
    <xf numFmtId="164" fontId="0" fillId="4" borderId="0" xfId="0" applyNumberFormat="1" applyFill="1"/>
    <xf numFmtId="6" fontId="0" fillId="4" borderId="9" xfId="0" applyNumberFormat="1" applyFill="1" applyBorder="1"/>
    <xf numFmtId="0" fontId="4" fillId="5" borderId="4" xfId="0" applyFont="1" applyFill="1" applyBorder="1"/>
    <xf numFmtId="166" fontId="0" fillId="0" borderId="0" xfId="0" applyNumberFormat="1"/>
    <xf numFmtId="0" fontId="6" fillId="0" borderId="0" xfId="0" applyFont="1"/>
    <xf numFmtId="0" fontId="0" fillId="0" borderId="9" xfId="0" applyBorder="1"/>
    <xf numFmtId="0" fontId="1" fillId="0" borderId="10" xfId="0" applyFont="1" applyBorder="1"/>
    <xf numFmtId="0" fontId="1" fillId="0" borderId="4" xfId="0" applyFont="1" applyBorder="1"/>
    <xf numFmtId="2" fontId="1" fillId="4" borderId="0" xfId="0" applyNumberFormat="1" applyFont="1" applyFill="1"/>
    <xf numFmtId="0" fontId="3" fillId="0" borderId="0" xfId="0" applyFont="1"/>
    <xf numFmtId="0" fontId="1" fillId="4" borderId="0" xfId="0" applyFont="1" applyFill="1"/>
    <xf numFmtId="0" fontId="5" fillId="0" borderId="0" xfId="0" applyFont="1"/>
    <xf numFmtId="0" fontId="3" fillId="2" borderId="4" xfId="0" applyFont="1" applyFill="1" applyBorder="1"/>
    <xf numFmtId="9" fontId="0" fillId="2" borderId="0" xfId="2" applyFont="1" applyFill="1" applyBorder="1"/>
    <xf numFmtId="164" fontId="0" fillId="0" borderId="0" xfId="0" applyNumberFormat="1" applyAlignment="1">
      <alignment horizontal="center" wrapText="1"/>
    </xf>
    <xf numFmtId="168" fontId="1" fillId="6" borderId="0" xfId="0" applyNumberFormat="1" applyFont="1" applyFill="1"/>
    <xf numFmtId="6" fontId="0" fillId="0" borderId="0" xfId="0" applyNumberFormat="1" applyAlignment="1">
      <alignment horizontal="center"/>
    </xf>
    <xf numFmtId="0" fontId="1" fillId="2" borderId="5" xfId="0" applyFont="1" applyFill="1" applyBorder="1"/>
    <xf numFmtId="6" fontId="0" fillId="0" borderId="4" xfId="0" applyNumberFormat="1" applyBorder="1"/>
    <xf numFmtId="8" fontId="0" fillId="0" borderId="4" xfId="0" applyNumberFormat="1" applyBorder="1"/>
    <xf numFmtId="8" fontId="0" fillId="0" borderId="5" xfId="0" applyNumberFormat="1" applyBorder="1"/>
    <xf numFmtId="9" fontId="0" fillId="0" borderId="0" xfId="2" applyFont="1" applyFill="1"/>
    <xf numFmtId="165" fontId="0" fillId="0" borderId="1" xfId="0" applyNumberFormat="1" applyBorder="1" applyAlignment="1">
      <alignment horizontal="center" wrapText="1"/>
    </xf>
    <xf numFmtId="0" fontId="0" fillId="0" borderId="1" xfId="0" applyBorder="1" applyAlignment="1">
      <alignment wrapText="1"/>
    </xf>
    <xf numFmtId="0" fontId="1" fillId="0" borderId="0" xfId="0" applyFont="1" applyAlignment="1">
      <alignment horizontal="center" vertical="center"/>
    </xf>
    <xf numFmtId="6" fontId="0" fillId="0" borderId="9" xfId="0" applyNumberFormat="1" applyBorder="1"/>
    <xf numFmtId="166" fontId="0" fillId="0" borderId="9" xfId="0" applyNumberFormat="1" applyBorder="1"/>
    <xf numFmtId="0" fontId="10" fillId="0" borderId="0" xfId="0" applyFont="1"/>
    <xf numFmtId="0" fontId="1" fillId="0" borderId="11" xfId="0" applyFont="1" applyBorder="1"/>
    <xf numFmtId="0" fontId="0" fillId="0" borderId="11" xfId="0" applyBorder="1"/>
    <xf numFmtId="0" fontId="0" fillId="0" borderId="11" xfId="0" applyBorder="1" applyAlignment="1">
      <alignment wrapText="1"/>
    </xf>
    <xf numFmtId="3" fontId="0" fillId="0" borderId="1" xfId="0" applyNumberFormat="1" applyBorder="1"/>
    <xf numFmtId="164" fontId="0" fillId="2" borderId="5" xfId="0" applyNumberFormat="1" applyFill="1" applyBorder="1"/>
    <xf numFmtId="6" fontId="0" fillId="2" borderId="5" xfId="0" applyNumberFormat="1" applyFill="1" applyBorder="1"/>
    <xf numFmtId="0" fontId="9" fillId="2" borderId="0" xfId="0" applyFont="1" applyFill="1"/>
    <xf numFmtId="0" fontId="9" fillId="2" borderId="5" xfId="0" applyFont="1" applyFill="1" applyBorder="1"/>
    <xf numFmtId="9" fontId="0" fillId="2" borderId="5" xfId="2" applyFont="1" applyFill="1" applyBorder="1"/>
    <xf numFmtId="0" fontId="0" fillId="2" borderId="6" xfId="0" applyFill="1" applyBorder="1"/>
    <xf numFmtId="0" fontId="0" fillId="2" borderId="1" xfId="0" applyFill="1" applyBorder="1"/>
    <xf numFmtId="0" fontId="0" fillId="2" borderId="7" xfId="0" applyFill="1" applyBorder="1"/>
    <xf numFmtId="0" fontId="0" fillId="4" borderId="10" xfId="0" applyFill="1" applyBorder="1"/>
    <xf numFmtId="0" fontId="0" fillId="4" borderId="9" xfId="0" applyFill="1" applyBorder="1"/>
    <xf numFmtId="0" fontId="0" fillId="4" borderId="8" xfId="0" applyFill="1" applyBorder="1"/>
    <xf numFmtId="164" fontId="0" fillId="4" borderId="5" xfId="1" applyNumberFormat="1" applyFont="1" applyFill="1" applyBorder="1"/>
    <xf numFmtId="0" fontId="7" fillId="4" borderId="0" xfId="0" applyFont="1" applyFill="1"/>
    <xf numFmtId="0" fontId="7" fillId="4" borderId="5" xfId="0" applyFont="1" applyFill="1" applyBorder="1"/>
    <xf numFmtId="168" fontId="0" fillId="4" borderId="0" xfId="0" applyNumberFormat="1" applyFill="1"/>
    <xf numFmtId="168" fontId="0" fillId="4" borderId="5" xfId="0" applyNumberFormat="1" applyFill="1" applyBorder="1"/>
    <xf numFmtId="164" fontId="0" fillId="4" borderId="5" xfId="0" applyNumberFormat="1" applyFill="1" applyBorder="1"/>
    <xf numFmtId="0" fontId="1" fillId="4" borderId="5" xfId="0" applyFont="1" applyFill="1" applyBorder="1"/>
    <xf numFmtId="2" fontId="1" fillId="4" borderId="5" xfId="0" applyNumberFormat="1" applyFont="1" applyFill="1" applyBorder="1"/>
    <xf numFmtId="6" fontId="0" fillId="4" borderId="8" xfId="0" applyNumberFormat="1" applyFill="1" applyBorder="1"/>
    <xf numFmtId="0" fontId="4" fillId="5" borderId="6" xfId="0" applyFont="1" applyFill="1" applyBorder="1"/>
    <xf numFmtId="0" fontId="0" fillId="4" borderId="1" xfId="0" applyFill="1" applyBorder="1"/>
    <xf numFmtId="6" fontId="0" fillId="4" borderId="1" xfId="0" applyNumberFormat="1" applyFill="1" applyBorder="1"/>
    <xf numFmtId="6" fontId="0" fillId="4" borderId="7" xfId="0" applyNumberFormat="1" applyFill="1" applyBorder="1"/>
    <xf numFmtId="0" fontId="1" fillId="0" borderId="1" xfId="0" applyFont="1" applyBorder="1"/>
    <xf numFmtId="0" fontId="1" fillId="0" borderId="6" xfId="0" applyFont="1" applyBorder="1"/>
    <xf numFmtId="0" fontId="1" fillId="0" borderId="7" xfId="0" applyFont="1" applyBorder="1"/>
    <xf numFmtId="1" fontId="0" fillId="2" borderId="0" xfId="0" applyNumberFormat="1" applyFill="1"/>
    <xf numFmtId="1" fontId="0" fillId="2" borderId="5" xfId="0" applyNumberFormat="1" applyFill="1" applyBorder="1"/>
    <xf numFmtId="3" fontId="9" fillId="2" borderId="0" xfId="0" applyNumberFormat="1" applyFont="1" applyFill="1"/>
    <xf numFmtId="3" fontId="9" fillId="2" borderId="0" xfId="0" applyNumberFormat="1" applyFont="1" applyFill="1" applyAlignment="1">
      <alignment horizontal="right" vertical="center" wrapText="1"/>
    </xf>
    <xf numFmtId="3" fontId="9" fillId="2" borderId="5" xfId="0" applyNumberFormat="1" applyFont="1" applyFill="1" applyBorder="1"/>
    <xf numFmtId="2" fontId="0" fillId="0" borderId="0" xfId="0" applyNumberFormat="1"/>
    <xf numFmtId="0" fontId="0" fillId="0" borderId="10" xfId="0" applyBorder="1"/>
    <xf numFmtId="167" fontId="1" fillId="0" borderId="1" xfId="0" applyNumberFormat="1" applyFont="1" applyBorder="1"/>
    <xf numFmtId="6" fontId="0" fillId="0" borderId="8" xfId="0" applyNumberFormat="1" applyBorder="1"/>
    <xf numFmtId="6" fontId="0" fillId="0" borderId="1" xfId="0" applyNumberFormat="1" applyBorder="1"/>
    <xf numFmtId="6" fontId="0" fillId="0" borderId="7" xfId="0" applyNumberFormat="1" applyBorder="1"/>
    <xf numFmtId="6" fontId="8" fillId="0" borderId="0" xfId="0" applyNumberFormat="1" applyFont="1"/>
    <xf numFmtId="6" fontId="8" fillId="0" borderId="5" xfId="0" applyNumberFormat="1" applyFont="1" applyBorder="1"/>
    <xf numFmtId="0" fontId="0" fillId="0" borderId="3" xfId="0" applyBorder="1"/>
    <xf numFmtId="0" fontId="0" fillId="0" borderId="12" xfId="0" applyBorder="1"/>
    <xf numFmtId="0" fontId="0" fillId="0" borderId="13" xfId="0" applyBorder="1"/>
    <xf numFmtId="0" fontId="0" fillId="0" borderId="14" xfId="0" applyBorder="1"/>
    <xf numFmtId="0" fontId="1" fillId="0" borderId="14" xfId="0" applyFont="1" applyBorder="1"/>
    <xf numFmtId="2" fontId="1" fillId="0" borderId="1" xfId="0" applyNumberFormat="1" applyFont="1" applyBorder="1"/>
    <xf numFmtId="2" fontId="1" fillId="0" borderId="7" xfId="0" applyNumberFormat="1" applyFont="1" applyBorder="1"/>
    <xf numFmtId="0" fontId="11" fillId="0" borderId="0" xfId="0" applyFont="1"/>
    <xf numFmtId="169" fontId="0" fillId="0" borderId="0" xfId="0" applyNumberFormat="1"/>
    <xf numFmtId="170" fontId="0" fillId="0" borderId="0" xfId="0" applyNumberFormat="1"/>
    <xf numFmtId="0" fontId="12" fillId="7" borderId="10" xfId="0" applyFont="1" applyFill="1" applyBorder="1"/>
    <xf numFmtId="6" fontId="8" fillId="7" borderId="9" xfId="0" applyNumberFormat="1" applyFont="1" applyFill="1" applyBorder="1"/>
    <xf numFmtId="0" fontId="8" fillId="7" borderId="9" xfId="0" applyFont="1" applyFill="1" applyBorder="1"/>
    <xf numFmtId="166" fontId="8" fillId="7" borderId="9" xfId="0" applyNumberFormat="1" applyFont="1" applyFill="1" applyBorder="1"/>
    <xf numFmtId="0" fontId="8" fillId="7" borderId="8" xfId="0" applyFont="1" applyFill="1" applyBorder="1"/>
    <xf numFmtId="0" fontId="12" fillId="7" borderId="4" xfId="0" applyFont="1" applyFill="1" applyBorder="1"/>
    <xf numFmtId="6" fontId="8" fillId="7" borderId="0" xfId="0" applyNumberFormat="1" applyFont="1" applyFill="1"/>
    <xf numFmtId="0" fontId="8" fillId="7" borderId="0" xfId="0" applyFont="1" applyFill="1"/>
    <xf numFmtId="166" fontId="8" fillId="7" borderId="0" xfId="0" applyNumberFormat="1" applyFont="1" applyFill="1"/>
    <xf numFmtId="0" fontId="8" fillId="7" borderId="5" xfId="0" applyFont="1" applyFill="1" applyBorder="1"/>
    <xf numFmtId="0" fontId="12" fillId="7" borderId="6" xfId="0" applyFont="1" applyFill="1" applyBorder="1"/>
    <xf numFmtId="6" fontId="8" fillId="7" borderId="1" xfId="0" applyNumberFormat="1" applyFont="1" applyFill="1" applyBorder="1"/>
    <xf numFmtId="0" fontId="8" fillId="7" borderId="1" xfId="0" applyFont="1" applyFill="1" applyBorder="1"/>
    <xf numFmtId="166" fontId="8" fillId="7" borderId="1" xfId="0" applyNumberFormat="1" applyFont="1" applyFill="1" applyBorder="1"/>
    <xf numFmtId="0" fontId="8" fillId="7" borderId="7" xfId="0" applyFont="1" applyFill="1" applyBorder="1"/>
    <xf numFmtId="0" fontId="12" fillId="2" borderId="4" xfId="0" applyFont="1" applyFill="1" applyBorder="1"/>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PVAV, Gas Heat, Bare Labor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'Airside Component Costs'!$C$11</c:f>
              <c:strCache>
                <c:ptCount val="1"/>
                <c:pt idx="0">
                  <c:v>Bare Labor</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0248118985126859"/>
                  <c:y val="-3.904819189268007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'Airside Component Costs'!$B$12:$B$20</c:f>
              <c:numCache>
                <c:formatCode>General</c:formatCode>
                <c:ptCount val="9"/>
                <c:pt idx="0">
                  <c:v>7.5</c:v>
                </c:pt>
                <c:pt idx="1">
                  <c:v>10</c:v>
                </c:pt>
                <c:pt idx="2">
                  <c:v>12.5</c:v>
                </c:pt>
                <c:pt idx="3">
                  <c:v>15</c:v>
                </c:pt>
                <c:pt idx="4">
                  <c:v>20</c:v>
                </c:pt>
                <c:pt idx="5">
                  <c:v>25</c:v>
                </c:pt>
                <c:pt idx="6">
                  <c:v>30</c:v>
                </c:pt>
                <c:pt idx="7">
                  <c:v>40</c:v>
                </c:pt>
                <c:pt idx="8">
                  <c:v>50</c:v>
                </c:pt>
              </c:numCache>
            </c:numRef>
          </c:xVal>
          <c:yVal>
            <c:numRef>
              <c:f>'Airside Component Costs'!$C$12:$C$20</c:f>
              <c:numCache>
                <c:formatCode>General</c:formatCode>
                <c:ptCount val="9"/>
                <c:pt idx="0">
                  <c:v>2100</c:v>
                </c:pt>
                <c:pt idx="1">
                  <c:v>2425</c:v>
                </c:pt>
                <c:pt idx="2">
                  <c:v>2575</c:v>
                </c:pt>
                <c:pt idx="3">
                  <c:v>2850</c:v>
                </c:pt>
                <c:pt idx="4">
                  <c:v>3325</c:v>
                </c:pt>
                <c:pt idx="5">
                  <c:v>3975</c:v>
                </c:pt>
                <c:pt idx="6">
                  <c:v>4725</c:v>
                </c:pt>
                <c:pt idx="7">
                  <c:v>6300</c:v>
                </c:pt>
                <c:pt idx="8">
                  <c:v>7875</c:v>
                </c:pt>
              </c:numCache>
            </c:numRef>
          </c:yVal>
          <c:smooth val="0"/>
          <c:extLst>
            <c:ext xmlns:c16="http://schemas.microsoft.com/office/drawing/2014/chart" uri="{C3380CC4-5D6E-409C-BE32-E72D297353CC}">
              <c16:uniqueId val="{00000000-7CC1-40FB-B762-FD84BD1BCA1B}"/>
            </c:ext>
          </c:extLst>
        </c:ser>
        <c:dLbls>
          <c:showLegendKey val="0"/>
          <c:showVal val="0"/>
          <c:showCatName val="0"/>
          <c:showSerName val="0"/>
          <c:showPercent val="0"/>
          <c:showBubbleSize val="0"/>
        </c:dLbls>
        <c:axId val="1129193880"/>
        <c:axId val="1129194208"/>
      </c:scatterChart>
      <c:valAx>
        <c:axId val="1129193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194208"/>
        <c:crosses val="autoZero"/>
        <c:crossBetween val="midCat"/>
      </c:valAx>
      <c:valAx>
        <c:axId val="1129194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1938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a:t>
            </a:r>
            <a:r>
              <a:rPr lang="en-US" baseline="0"/>
              <a:t> Resistance Boiler Total Cost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242294400699913"/>
                  <c:y val="-1.496208807232429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'Plant Equipment Costs'!$B$8:$B$27</c:f>
              <c:numCache>
                <c:formatCode>General</c:formatCode>
                <c:ptCount val="20"/>
                <c:pt idx="0">
                  <c:v>30</c:v>
                </c:pt>
                <c:pt idx="1">
                  <c:v>45</c:v>
                </c:pt>
                <c:pt idx="2">
                  <c:v>60</c:v>
                </c:pt>
                <c:pt idx="3">
                  <c:v>75</c:v>
                </c:pt>
                <c:pt idx="4">
                  <c:v>90</c:v>
                </c:pt>
                <c:pt idx="5">
                  <c:v>105</c:v>
                </c:pt>
                <c:pt idx="6">
                  <c:v>120</c:v>
                </c:pt>
                <c:pt idx="7">
                  <c:v>135</c:v>
                </c:pt>
                <c:pt idx="8">
                  <c:v>150</c:v>
                </c:pt>
                <c:pt idx="9">
                  <c:v>165</c:v>
                </c:pt>
                <c:pt idx="10">
                  <c:v>296</c:v>
                </c:pt>
                <c:pt idx="11">
                  <c:v>370</c:v>
                </c:pt>
                <c:pt idx="12">
                  <c:v>444</c:v>
                </c:pt>
                <c:pt idx="13">
                  <c:v>518</c:v>
                </c:pt>
                <c:pt idx="14">
                  <c:v>592</c:v>
                </c:pt>
                <c:pt idx="15">
                  <c:v>666</c:v>
                </c:pt>
                <c:pt idx="16">
                  <c:v>740</c:v>
                </c:pt>
                <c:pt idx="17">
                  <c:v>814</c:v>
                </c:pt>
                <c:pt idx="18">
                  <c:v>888</c:v>
                </c:pt>
                <c:pt idx="19">
                  <c:v>962</c:v>
                </c:pt>
              </c:numCache>
            </c:numRef>
          </c:xVal>
          <c:yVal>
            <c:numRef>
              <c:f>'Plant Equipment Costs'!$E$8:$E$27</c:f>
              <c:numCache>
                <c:formatCode>General</c:formatCode>
                <c:ptCount val="20"/>
                <c:pt idx="0">
                  <c:v>6800</c:v>
                </c:pt>
                <c:pt idx="1">
                  <c:v>6675</c:v>
                </c:pt>
                <c:pt idx="2">
                  <c:v>7050</c:v>
                </c:pt>
                <c:pt idx="3">
                  <c:v>7500</c:v>
                </c:pt>
                <c:pt idx="4">
                  <c:v>7550</c:v>
                </c:pt>
                <c:pt idx="5">
                  <c:v>8675</c:v>
                </c:pt>
                <c:pt idx="6">
                  <c:v>8525</c:v>
                </c:pt>
                <c:pt idx="7">
                  <c:v>9600</c:v>
                </c:pt>
                <c:pt idx="8">
                  <c:v>10325</c:v>
                </c:pt>
                <c:pt idx="9">
                  <c:v>10750</c:v>
                </c:pt>
                <c:pt idx="10">
                  <c:v>19000</c:v>
                </c:pt>
                <c:pt idx="11">
                  <c:v>21850</c:v>
                </c:pt>
                <c:pt idx="12">
                  <c:v>26000</c:v>
                </c:pt>
                <c:pt idx="13">
                  <c:v>28675</c:v>
                </c:pt>
                <c:pt idx="14">
                  <c:v>31100</c:v>
                </c:pt>
                <c:pt idx="15">
                  <c:v>33675</c:v>
                </c:pt>
                <c:pt idx="16">
                  <c:v>34000</c:v>
                </c:pt>
                <c:pt idx="17">
                  <c:v>36350</c:v>
                </c:pt>
                <c:pt idx="18">
                  <c:v>39000</c:v>
                </c:pt>
                <c:pt idx="19">
                  <c:v>41150</c:v>
                </c:pt>
              </c:numCache>
            </c:numRef>
          </c:yVal>
          <c:smooth val="0"/>
          <c:extLst>
            <c:ext xmlns:c16="http://schemas.microsoft.com/office/drawing/2014/chart" uri="{C3380CC4-5D6E-409C-BE32-E72D297353CC}">
              <c16:uniqueId val="{00000001-2DCB-4D9D-A122-A0B7A6A707A9}"/>
            </c:ext>
          </c:extLst>
        </c:ser>
        <c:dLbls>
          <c:showLegendKey val="0"/>
          <c:showVal val="0"/>
          <c:showCatName val="0"/>
          <c:showSerName val="0"/>
          <c:showPercent val="0"/>
          <c:showBubbleSize val="0"/>
        </c:dLbls>
        <c:axId val="929166096"/>
        <c:axId val="929169048"/>
      </c:scatterChart>
      <c:valAx>
        <c:axId val="9291660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169048"/>
        <c:crosses val="autoZero"/>
        <c:crossBetween val="midCat"/>
      </c:valAx>
      <c:valAx>
        <c:axId val="929169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1660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Commerical NG Boiler Cost,</a:t>
            </a:r>
            <a:r>
              <a:rPr lang="en-US" baseline="0"/>
              <a:t> AF Supply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32331430446194226"/>
                  <c:y val="4.2129629629629626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'Plant Equipment Costs'!$D$34:$D$47</c:f>
              <c:numCache>
                <c:formatCode>General</c:formatCode>
                <c:ptCount val="14"/>
                <c:pt idx="0">
                  <c:v>400</c:v>
                </c:pt>
                <c:pt idx="1">
                  <c:v>650</c:v>
                </c:pt>
                <c:pt idx="2">
                  <c:v>910</c:v>
                </c:pt>
                <c:pt idx="3">
                  <c:v>1040</c:v>
                </c:pt>
                <c:pt idx="4">
                  <c:v>1170</c:v>
                </c:pt>
                <c:pt idx="5">
                  <c:v>1300</c:v>
                </c:pt>
                <c:pt idx="6">
                  <c:v>495</c:v>
                </c:pt>
                <c:pt idx="7">
                  <c:v>315</c:v>
                </c:pt>
                <c:pt idx="8">
                  <c:v>360</c:v>
                </c:pt>
                <c:pt idx="9">
                  <c:v>399</c:v>
                </c:pt>
                <c:pt idx="10">
                  <c:v>500</c:v>
                </c:pt>
                <c:pt idx="11">
                  <c:v>500</c:v>
                </c:pt>
                <c:pt idx="12">
                  <c:v>750</c:v>
                </c:pt>
                <c:pt idx="13">
                  <c:v>1250</c:v>
                </c:pt>
              </c:numCache>
            </c:numRef>
          </c:xVal>
          <c:yVal>
            <c:numRef>
              <c:f>'Plant Equipment Costs'!$E$34:$E$47</c:f>
              <c:numCache>
                <c:formatCode>"$"#,##0</c:formatCode>
                <c:ptCount val="14"/>
                <c:pt idx="0">
                  <c:v>7413</c:v>
                </c:pt>
                <c:pt idx="1">
                  <c:v>10679</c:v>
                </c:pt>
                <c:pt idx="2">
                  <c:v>13720</c:v>
                </c:pt>
                <c:pt idx="3">
                  <c:v>15005</c:v>
                </c:pt>
                <c:pt idx="4">
                  <c:v>16622</c:v>
                </c:pt>
                <c:pt idx="5">
                  <c:v>17967</c:v>
                </c:pt>
                <c:pt idx="6" formatCode="&quot;$&quot;#,##0_);[Red]\(&quot;$&quot;#,##0\)">
                  <c:v>6661</c:v>
                </c:pt>
                <c:pt idx="7">
                  <c:v>4266</c:v>
                </c:pt>
                <c:pt idx="8">
                  <c:v>4455</c:v>
                </c:pt>
                <c:pt idx="9">
                  <c:v>4893</c:v>
                </c:pt>
                <c:pt idx="10" formatCode="&quot;$&quot;#,##0_);[Red]\(&quot;$&quot;#,##0\)">
                  <c:v>6427</c:v>
                </c:pt>
                <c:pt idx="11">
                  <c:v>13121</c:v>
                </c:pt>
                <c:pt idx="12">
                  <c:v>14700</c:v>
                </c:pt>
                <c:pt idx="13">
                  <c:v>15456</c:v>
                </c:pt>
              </c:numCache>
            </c:numRef>
          </c:yVal>
          <c:smooth val="0"/>
          <c:extLst>
            <c:ext xmlns:c16="http://schemas.microsoft.com/office/drawing/2014/chart" uri="{C3380CC4-5D6E-409C-BE32-E72D297353CC}">
              <c16:uniqueId val="{00000000-B250-49FA-A3A9-8C2EF8768521}"/>
            </c:ext>
          </c:extLst>
        </c:ser>
        <c:dLbls>
          <c:showLegendKey val="0"/>
          <c:showVal val="0"/>
          <c:showCatName val="0"/>
          <c:showSerName val="0"/>
          <c:showPercent val="0"/>
          <c:showBubbleSize val="0"/>
        </c:dLbls>
        <c:axId val="1043805504"/>
        <c:axId val="1043811080"/>
      </c:scatterChart>
      <c:valAx>
        <c:axId val="1043805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3811080"/>
        <c:crosses val="autoZero"/>
        <c:crossBetween val="midCat"/>
      </c:valAx>
      <c:valAx>
        <c:axId val="104381108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38055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Gas Boiler  Labor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5981014873140859"/>
                  <c:y val="-1.87102653834937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'Plant Equipment Costs'!$G$34:$G$46</c:f>
              <c:numCache>
                <c:formatCode>General</c:formatCode>
                <c:ptCount val="13"/>
                <c:pt idx="0">
                  <c:v>102</c:v>
                </c:pt>
                <c:pt idx="1">
                  <c:v>122</c:v>
                </c:pt>
                <c:pt idx="2">
                  <c:v>163</c:v>
                </c:pt>
                <c:pt idx="3">
                  <c:v>203</c:v>
                </c:pt>
                <c:pt idx="4">
                  <c:v>240</c:v>
                </c:pt>
                <c:pt idx="5">
                  <c:v>280</c:v>
                </c:pt>
                <c:pt idx="6">
                  <c:v>320</c:v>
                </c:pt>
                <c:pt idx="7">
                  <c:v>360</c:v>
                </c:pt>
                <c:pt idx="8">
                  <c:v>400</c:v>
                </c:pt>
                <c:pt idx="9">
                  <c:v>440</c:v>
                </c:pt>
                <c:pt idx="10">
                  <c:v>544</c:v>
                </c:pt>
                <c:pt idx="11">
                  <c:v>765</c:v>
                </c:pt>
                <c:pt idx="12">
                  <c:v>892</c:v>
                </c:pt>
              </c:numCache>
            </c:numRef>
          </c:xVal>
          <c:yVal>
            <c:numRef>
              <c:f>'Plant Equipment Costs'!$H$34:$H$46</c:f>
              <c:numCache>
                <c:formatCode>General</c:formatCode>
                <c:ptCount val="13"/>
                <c:pt idx="0">
                  <c:v>1650</c:v>
                </c:pt>
                <c:pt idx="1">
                  <c:v>2150</c:v>
                </c:pt>
                <c:pt idx="2">
                  <c:v>2375</c:v>
                </c:pt>
                <c:pt idx="3">
                  <c:v>2375</c:v>
                </c:pt>
                <c:pt idx="4">
                  <c:v>2525</c:v>
                </c:pt>
                <c:pt idx="5">
                  <c:v>2675</c:v>
                </c:pt>
                <c:pt idx="6">
                  <c:v>3050</c:v>
                </c:pt>
                <c:pt idx="7">
                  <c:v>3425</c:v>
                </c:pt>
                <c:pt idx="8">
                  <c:v>3800</c:v>
                </c:pt>
                <c:pt idx="9">
                  <c:v>4175</c:v>
                </c:pt>
                <c:pt idx="10">
                  <c:v>4800</c:v>
                </c:pt>
                <c:pt idx="11">
                  <c:v>4975</c:v>
                </c:pt>
                <c:pt idx="12">
                  <c:v>5650</c:v>
                </c:pt>
              </c:numCache>
            </c:numRef>
          </c:yVal>
          <c:smooth val="0"/>
          <c:extLst>
            <c:ext xmlns:c16="http://schemas.microsoft.com/office/drawing/2014/chart" uri="{C3380CC4-5D6E-409C-BE32-E72D297353CC}">
              <c16:uniqueId val="{00000000-1799-4B04-8608-34E20AD9B0DC}"/>
            </c:ext>
          </c:extLst>
        </c:ser>
        <c:dLbls>
          <c:showLegendKey val="0"/>
          <c:showVal val="0"/>
          <c:showCatName val="0"/>
          <c:showSerName val="0"/>
          <c:showPercent val="0"/>
          <c:showBubbleSize val="0"/>
        </c:dLbls>
        <c:axId val="1036126544"/>
        <c:axId val="1036123920"/>
      </c:scatterChart>
      <c:valAx>
        <c:axId val="10361265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6123920"/>
        <c:crosses val="autoZero"/>
        <c:crossBetween val="midCat"/>
      </c:valAx>
      <c:valAx>
        <c:axId val="10361239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612654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HHW Pump Cost = f (MHP)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3.6210848643919512E-2"/>
                  <c:y val="-2.97152960046660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'Plant Equipment Costs'!$F$72:$F$77</c:f>
              <c:numCache>
                <c:formatCode>General</c:formatCode>
                <c:ptCount val="6"/>
                <c:pt idx="0">
                  <c:v>2</c:v>
                </c:pt>
                <c:pt idx="1">
                  <c:v>3</c:v>
                </c:pt>
                <c:pt idx="2">
                  <c:v>5</c:v>
                </c:pt>
                <c:pt idx="3">
                  <c:v>7.5</c:v>
                </c:pt>
                <c:pt idx="4">
                  <c:v>10</c:v>
                </c:pt>
                <c:pt idx="5">
                  <c:v>15</c:v>
                </c:pt>
              </c:numCache>
            </c:numRef>
          </c:xVal>
          <c:yVal>
            <c:numRef>
              <c:f>'Plant Equipment Costs'!$G$72:$G$77</c:f>
              <c:numCache>
                <c:formatCode>"$"#,##0</c:formatCode>
                <c:ptCount val="6"/>
                <c:pt idx="0">
                  <c:v>10125</c:v>
                </c:pt>
                <c:pt idx="1">
                  <c:v>10125</c:v>
                </c:pt>
                <c:pt idx="2">
                  <c:v>14635</c:v>
                </c:pt>
                <c:pt idx="3">
                  <c:v>14200</c:v>
                </c:pt>
                <c:pt idx="4">
                  <c:v>18150</c:v>
                </c:pt>
                <c:pt idx="5">
                  <c:v>19350</c:v>
                </c:pt>
              </c:numCache>
            </c:numRef>
          </c:yVal>
          <c:smooth val="0"/>
          <c:extLst>
            <c:ext xmlns:c16="http://schemas.microsoft.com/office/drawing/2014/chart" uri="{C3380CC4-5D6E-409C-BE32-E72D297353CC}">
              <c16:uniqueId val="{00000001-5203-4B83-B85F-19D74786B8BA}"/>
            </c:ext>
          </c:extLst>
        </c:ser>
        <c:dLbls>
          <c:showLegendKey val="0"/>
          <c:showVal val="0"/>
          <c:showCatName val="0"/>
          <c:showSerName val="0"/>
          <c:showPercent val="0"/>
          <c:showBubbleSize val="0"/>
        </c:dLbls>
        <c:axId val="962199424"/>
        <c:axId val="962195160"/>
      </c:scatterChart>
      <c:valAx>
        <c:axId val="9621994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2195160"/>
        <c:crosses val="autoZero"/>
        <c:crossBetween val="midCat"/>
      </c:valAx>
      <c:valAx>
        <c:axId val="96219516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219942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590550</xdr:colOff>
      <xdr:row>8</xdr:row>
      <xdr:rowOff>152400</xdr:rowOff>
    </xdr:from>
    <xdr:to>
      <xdr:col>4</xdr:col>
      <xdr:colOff>285750</xdr:colOff>
      <xdr:row>22</xdr:row>
      <xdr:rowOff>85725</xdr:rowOff>
    </xdr:to>
    <xdr:sp macro="" textlink="">
      <xdr:nvSpPr>
        <xdr:cNvPr id="2" name="TextBox 1">
          <a:extLst>
            <a:ext uri="{FF2B5EF4-FFF2-40B4-BE49-F238E27FC236}">
              <a16:creationId xmlns:a16="http://schemas.microsoft.com/office/drawing/2014/main" id="{7569DA25-B5B8-4B98-BA30-C79294150022}"/>
            </a:ext>
          </a:extLst>
        </xdr:cNvPr>
        <xdr:cNvSpPr txBox="1"/>
      </xdr:nvSpPr>
      <xdr:spPr>
        <a:xfrm>
          <a:off x="590550" y="2057400"/>
          <a:ext cx="5229225" cy="260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VRF Costing Approach</a:t>
          </a:r>
        </a:p>
        <a:p>
          <a:r>
            <a:rPr lang="en-US" sz="1100"/>
            <a:t>Costs are developed for individual system</a:t>
          </a:r>
          <a:r>
            <a:rPr lang="en-US" sz="1100" baseline="0"/>
            <a:t> components using RS Means, manufacturer direct quotes, and other data sources. Cost versus capacity regressions are developed for components where possible. This allows costs to be calculated as models are revised. </a:t>
          </a:r>
        </a:p>
        <a:p>
          <a:endParaRPr lang="en-US" sz="1100" baseline="0"/>
        </a:p>
        <a:p>
          <a:r>
            <a:rPr lang="en-US" sz="1100" baseline="0"/>
            <a:t>Model sizing output for a given prototype and case is combined with component costs to develop prototype costs. These costs are applicable to a specific prototype and system configuration. These costs represent the first cost for the system in the context of the proposed measure, i.e., only those components of a system that are changing between the baseline and proposed case are costed. </a:t>
          </a:r>
        </a:p>
        <a:p>
          <a:endParaRPr lang="en-US" sz="1100" baseline="0"/>
        </a:p>
        <a:p>
          <a:r>
            <a:rPr lang="en-US" sz="1100" baseline="0"/>
            <a:t>Finally, present value of maintenance and replacement costs is added to the incremental cost to calculate the total incremental cost of the measure.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456712</xdr:colOff>
      <xdr:row>7</xdr:row>
      <xdr:rowOff>122388</xdr:rowOff>
    </xdr:from>
    <xdr:to>
      <xdr:col>11</xdr:col>
      <xdr:colOff>383046</xdr:colOff>
      <xdr:row>22</xdr:row>
      <xdr:rowOff>22412</xdr:rowOff>
    </xdr:to>
    <xdr:graphicFrame macro="">
      <xdr:nvGraphicFramePr>
        <xdr:cNvPr id="2" name="Chart 1" descr="PVAV, Gas Heat, Bare Labor">
          <a:extLst>
            <a:ext uri="{FF2B5EF4-FFF2-40B4-BE49-F238E27FC236}">
              <a16:creationId xmlns:a16="http://schemas.microsoft.com/office/drawing/2014/main" id="{7987376D-9923-4A56-AAE5-8D68ADD4AB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0</xdr:rowOff>
    </xdr:from>
    <xdr:to>
      <xdr:col>7</xdr:col>
      <xdr:colOff>208136</xdr:colOff>
      <xdr:row>46</xdr:row>
      <xdr:rowOff>159025</xdr:rowOff>
    </xdr:to>
    <xdr:pic>
      <xdr:nvPicPr>
        <xdr:cNvPr id="8" name="Picture 1" descr="Distribution Costs - J. Singer (Northern California recent Large Office MEP projects)">
          <a:extLst>
            <a:ext uri="{FF2B5EF4-FFF2-40B4-BE49-F238E27FC236}">
              <a16:creationId xmlns:a16="http://schemas.microsoft.com/office/drawing/2014/main" id="{88D967FB-6B14-436A-B446-D8B2B91742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6105" y="38503022"/>
          <a:ext cx="6644015" cy="3900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436151</xdr:colOff>
      <xdr:row>9</xdr:row>
      <xdr:rowOff>45602</xdr:rowOff>
    </xdr:from>
    <xdr:to>
      <xdr:col>12</xdr:col>
      <xdr:colOff>312204</xdr:colOff>
      <xdr:row>23</xdr:row>
      <xdr:rowOff>169549</xdr:rowOff>
    </xdr:to>
    <xdr:graphicFrame macro="">
      <xdr:nvGraphicFramePr>
        <xdr:cNvPr id="3" name="Chart 2" descr="Electric Resistance Boiler Total Cost">
          <a:extLst>
            <a:ext uri="{FF2B5EF4-FFF2-40B4-BE49-F238E27FC236}">
              <a16:creationId xmlns:a16="http://schemas.microsoft.com/office/drawing/2014/main" id="{1EFFEAB9-60DD-4C03-9A3B-C7BB2EC85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267771</xdr:colOff>
      <xdr:row>29</xdr:row>
      <xdr:rowOff>167211</xdr:rowOff>
    </xdr:from>
    <xdr:to>
      <xdr:col>17</xdr:col>
      <xdr:colOff>387040</xdr:colOff>
      <xdr:row>44</xdr:row>
      <xdr:rowOff>104069</xdr:rowOff>
    </xdr:to>
    <xdr:graphicFrame macro="">
      <xdr:nvGraphicFramePr>
        <xdr:cNvPr id="4" name="Chart 3" descr="Commercial NG Boiler Cost, AF Supply">
          <a:extLst>
            <a:ext uri="{FF2B5EF4-FFF2-40B4-BE49-F238E27FC236}">
              <a16:creationId xmlns:a16="http://schemas.microsoft.com/office/drawing/2014/main" id="{629620DD-A774-4914-B436-7482F4B85F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557467</xdr:colOff>
      <xdr:row>30</xdr:row>
      <xdr:rowOff>8380</xdr:rowOff>
    </xdr:from>
    <xdr:to>
      <xdr:col>25</xdr:col>
      <xdr:colOff>71618</xdr:colOff>
      <xdr:row>44</xdr:row>
      <xdr:rowOff>135737</xdr:rowOff>
    </xdr:to>
    <xdr:graphicFrame macro="">
      <xdr:nvGraphicFramePr>
        <xdr:cNvPr id="5" name="Chart 4" descr="Gas Boiler Labor Costs">
          <a:extLst>
            <a:ext uri="{FF2B5EF4-FFF2-40B4-BE49-F238E27FC236}">
              <a16:creationId xmlns:a16="http://schemas.microsoft.com/office/drawing/2014/main" id="{943F43EF-50F9-4C69-ABEF-9D3A1BC223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215543</xdr:colOff>
      <xdr:row>68</xdr:row>
      <xdr:rowOff>4677</xdr:rowOff>
    </xdr:from>
    <xdr:to>
      <xdr:col>12</xdr:col>
      <xdr:colOff>584972</xdr:colOff>
      <xdr:row>82</xdr:row>
      <xdr:rowOff>132033</xdr:rowOff>
    </xdr:to>
    <xdr:graphicFrame macro="">
      <xdr:nvGraphicFramePr>
        <xdr:cNvPr id="6" name="Chart 5" descr="HHW Pump Cost = f (MHP)">
          <a:extLst>
            <a:ext uri="{FF2B5EF4-FFF2-40B4-BE49-F238E27FC236}">
              <a16:creationId xmlns:a16="http://schemas.microsoft.com/office/drawing/2014/main" id="{59EA4472-24E8-4A30-A91B-86BB115D1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NOR\Prj_SUS\2017\S70659%20CEC%20NonRes%20Bldg%20Science%20Tech%20Support%202022\Technical\WA%205\Technical\2025\Central_System_HPs\Analysis\PFPB\PVAV%20vs%20VRF%20Comparison%20LSC%20073124-rev5%20(2).xlsx" TargetMode="External"/><Relationship Id="rId1" Type="http://schemas.openxmlformats.org/officeDocument/2006/relationships/externalLinkPath" Target="file:///N:\NOR\Prj_SUS\2017\S70659%20CEC%20NonRes%20Bldg%20Science%20Tech%20Support%202022\Technical\WA%205\Technical\2025\Central_System_HPs\Analysis\PFPB\PVAV%20vs%20VRF%20Comparison%20LSC%20073124-rev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 2"/>
    </sheetNames>
    <sheetDataSet>
      <sheetData sheetId="0">
        <row r="21">
          <cell r="E21">
            <v>3.717926684415314</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163FB-A885-4F94-9142-4ADADB328C7B}">
  <dimension ref="B2:C6"/>
  <sheetViews>
    <sheetView tabSelected="1" workbookViewId="0">
      <selection activeCell="B1" sqref="B1"/>
    </sheetView>
  </sheetViews>
  <sheetFormatPr defaultRowHeight="15"/>
  <cols>
    <col min="2" max="2" width="27.85546875" customWidth="1"/>
    <col min="3" max="3" width="44.85546875" customWidth="1"/>
  </cols>
  <sheetData>
    <row r="2" spans="2:3">
      <c r="B2" s="69" t="s">
        <v>0</v>
      </c>
      <c r="C2" s="69" t="s">
        <v>1</v>
      </c>
    </row>
    <row r="3" spans="2:3" ht="30">
      <c r="B3" s="70" t="s">
        <v>2</v>
      </c>
      <c r="C3" s="71" t="s">
        <v>3</v>
      </c>
    </row>
    <row r="4" spans="2:3">
      <c r="B4" s="70" t="s">
        <v>4</v>
      </c>
      <c r="C4" s="70" t="s">
        <v>5</v>
      </c>
    </row>
    <row r="5" spans="2:3">
      <c r="B5" s="70" t="s">
        <v>6</v>
      </c>
      <c r="C5" s="70" t="s">
        <v>7</v>
      </c>
    </row>
    <row r="6" spans="2:3">
      <c r="B6" s="70" t="s">
        <v>8</v>
      </c>
      <c r="C6" s="70" t="s">
        <v>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8C0BC-76A2-4120-AF38-30929DE278F7}">
  <dimension ref="B2:T67"/>
  <sheetViews>
    <sheetView zoomScale="95" workbookViewId="0">
      <selection activeCell="D25" sqref="D25:R31"/>
    </sheetView>
  </sheetViews>
  <sheetFormatPr defaultRowHeight="15"/>
  <cols>
    <col min="4" max="4" width="27" customWidth="1"/>
    <col min="5" max="20" width="12.7109375" customWidth="1"/>
  </cols>
  <sheetData>
    <row r="2" spans="2:9" ht="26.25">
      <c r="B2" s="68" t="s">
        <v>10</v>
      </c>
    </row>
    <row r="4" spans="2:9" ht="18.75">
      <c r="D4" s="45" t="s">
        <v>11</v>
      </c>
    </row>
    <row r="5" spans="2:9">
      <c r="D5" s="2" t="s">
        <v>12</v>
      </c>
      <c r="E5" s="2" t="s">
        <v>13</v>
      </c>
      <c r="F5" s="2"/>
      <c r="G5" s="2" t="s">
        <v>14</v>
      </c>
    </row>
    <row r="6" spans="2:9">
      <c r="D6" t="s">
        <v>15</v>
      </c>
      <c r="E6" s="62">
        <v>0.03</v>
      </c>
      <c r="G6" t="s">
        <v>16</v>
      </c>
    </row>
    <row r="7" spans="2:9">
      <c r="D7" s="2" t="s">
        <v>17</v>
      </c>
      <c r="E7" s="2">
        <v>24</v>
      </c>
      <c r="F7" s="2"/>
      <c r="G7" s="2" t="s">
        <v>18</v>
      </c>
    </row>
    <row r="8" spans="2:9">
      <c r="D8" s="2" t="s">
        <v>19</v>
      </c>
      <c r="E8" s="72">
        <v>24403</v>
      </c>
      <c r="F8" s="2"/>
      <c r="G8" s="2" t="s">
        <v>20</v>
      </c>
    </row>
    <row r="9" spans="2:9" ht="30">
      <c r="D9" s="2" t="s">
        <v>21</v>
      </c>
      <c r="E9" s="63" t="s">
        <v>22</v>
      </c>
      <c r="F9" s="11" t="s">
        <v>23</v>
      </c>
      <c r="G9" s="64" t="s">
        <v>24</v>
      </c>
      <c r="H9" s="3" t="s">
        <v>25</v>
      </c>
    </row>
    <row r="10" spans="2:9">
      <c r="D10" t="s">
        <v>26</v>
      </c>
      <c r="E10" s="55">
        <v>500</v>
      </c>
      <c r="F10" s="10">
        <v>20</v>
      </c>
      <c r="G10" s="44">
        <f t="shared" ref="G10:G17" si="0">1/(1*(1+$E$6)^F10)</f>
        <v>0.55367575418633497</v>
      </c>
      <c r="H10" s="9">
        <f t="shared" ref="H10:H17" si="1">PV(3%,30,E10,,1)</f>
        <v>-10094.22729497693</v>
      </c>
    </row>
    <row r="11" spans="2:9">
      <c r="D11" t="s">
        <v>27</v>
      </c>
      <c r="E11" s="55">
        <v>300</v>
      </c>
      <c r="F11" s="10">
        <v>20</v>
      </c>
      <c r="G11" s="44">
        <f t="shared" si="0"/>
        <v>0.55367575418633497</v>
      </c>
      <c r="H11" s="9">
        <f t="shared" si="1"/>
        <v>-6056.5363769861588</v>
      </c>
    </row>
    <row r="12" spans="2:9">
      <c r="D12" t="s">
        <v>28</v>
      </c>
      <c r="E12" s="57">
        <v>500</v>
      </c>
      <c r="F12" s="10">
        <v>25</v>
      </c>
      <c r="G12" s="44">
        <f t="shared" si="0"/>
        <v>0.47760556926165965</v>
      </c>
      <c r="H12" s="9">
        <f t="shared" si="1"/>
        <v>-10094.22729497693</v>
      </c>
    </row>
    <row r="13" spans="2:9">
      <c r="D13" t="s">
        <v>29</v>
      </c>
      <c r="E13" s="57">
        <v>300</v>
      </c>
      <c r="F13" s="10">
        <v>15</v>
      </c>
      <c r="G13" s="44">
        <f t="shared" si="0"/>
        <v>0.64186194739671765</v>
      </c>
      <c r="H13" s="9">
        <f t="shared" si="1"/>
        <v>-6056.5363769861588</v>
      </c>
    </row>
    <row r="14" spans="2:9">
      <c r="D14" t="s">
        <v>30</v>
      </c>
      <c r="E14" s="57">
        <v>50</v>
      </c>
      <c r="F14" s="10">
        <v>20</v>
      </c>
      <c r="G14" s="44">
        <f t="shared" si="0"/>
        <v>0.55367575418633497</v>
      </c>
      <c r="H14" s="9">
        <f t="shared" si="1"/>
        <v>-1009.422729497693</v>
      </c>
      <c r="I14" s="50"/>
    </row>
    <row r="15" spans="2:9">
      <c r="D15" t="s">
        <v>31</v>
      </c>
      <c r="E15" s="57">
        <v>120</v>
      </c>
      <c r="F15" s="10">
        <v>20</v>
      </c>
      <c r="G15" s="44">
        <f t="shared" si="0"/>
        <v>0.55367575418633497</v>
      </c>
      <c r="H15" s="9">
        <f t="shared" si="1"/>
        <v>-2422.6145507944634</v>
      </c>
    </row>
    <row r="16" spans="2:9">
      <c r="D16" t="s">
        <v>32</v>
      </c>
      <c r="E16" s="57">
        <v>45</v>
      </c>
      <c r="F16" s="10">
        <v>20</v>
      </c>
      <c r="G16" s="44">
        <f t="shared" si="0"/>
        <v>0.55367575418633497</v>
      </c>
      <c r="H16" s="9">
        <f t="shared" si="1"/>
        <v>-908.48045654792372</v>
      </c>
      <c r="I16" s="50"/>
    </row>
    <row r="17" spans="4:18">
      <c r="D17" t="s">
        <v>33</v>
      </c>
      <c r="E17" s="57">
        <v>500</v>
      </c>
      <c r="F17" s="10">
        <v>20</v>
      </c>
      <c r="G17" s="44">
        <f t="shared" si="0"/>
        <v>0.55367575418633497</v>
      </c>
      <c r="H17" s="9">
        <f t="shared" si="1"/>
        <v>-10094.22729497693</v>
      </c>
      <c r="I17" s="50"/>
    </row>
    <row r="18" spans="4:18">
      <c r="D18" s="46" t="s">
        <v>34</v>
      </c>
      <c r="E18" s="66"/>
      <c r="F18" s="46"/>
      <c r="G18" s="67"/>
      <c r="H18" s="46"/>
      <c r="I18" s="46"/>
      <c r="J18" s="46"/>
      <c r="K18" s="46"/>
      <c r="L18" s="46"/>
    </row>
    <row r="19" spans="4:18">
      <c r="D19" t="s">
        <v>35</v>
      </c>
      <c r="E19" s="12"/>
      <c r="G19" s="44"/>
    </row>
    <row r="20" spans="4:18">
      <c r="D20" t="s">
        <v>36</v>
      </c>
    </row>
    <row r="21" spans="4:18">
      <c r="D21" t="s">
        <v>37</v>
      </c>
    </row>
    <row r="22" spans="4:18">
      <c r="D22" t="s">
        <v>38</v>
      </c>
    </row>
    <row r="23" spans="4:18">
      <c r="D23" t="s">
        <v>39</v>
      </c>
    </row>
    <row r="25" spans="4:18">
      <c r="D25" s="123" t="s">
        <v>40</v>
      </c>
      <c r="E25" s="124"/>
      <c r="F25" s="125"/>
      <c r="G25" s="126"/>
      <c r="H25" s="125"/>
      <c r="I25" s="125"/>
      <c r="J25" s="125"/>
      <c r="K25" s="125"/>
      <c r="L25" s="125"/>
      <c r="M25" s="125"/>
      <c r="N25" s="125"/>
      <c r="O25" s="125"/>
      <c r="P25" s="125"/>
      <c r="Q25" s="125"/>
      <c r="R25" s="127"/>
    </row>
    <row r="26" spans="4:18">
      <c r="D26" s="128" t="s">
        <v>41</v>
      </c>
      <c r="E26" s="129"/>
      <c r="F26" s="130"/>
      <c r="G26" s="131"/>
      <c r="H26" s="130"/>
      <c r="I26" s="130"/>
      <c r="J26" s="130"/>
      <c r="K26" s="130"/>
      <c r="L26" s="130"/>
      <c r="M26" s="130"/>
      <c r="N26" s="130"/>
      <c r="O26" s="130"/>
      <c r="P26" s="130"/>
      <c r="Q26" s="130"/>
      <c r="R26" s="132"/>
    </row>
    <row r="27" spans="4:18">
      <c r="D27" s="128" t="s">
        <v>42</v>
      </c>
      <c r="E27" s="129"/>
      <c r="F27" s="130"/>
      <c r="G27" s="131"/>
      <c r="H27" s="130"/>
      <c r="I27" s="130"/>
      <c r="J27" s="130"/>
      <c r="K27" s="130"/>
      <c r="L27" s="130"/>
      <c r="M27" s="130"/>
      <c r="N27" s="130"/>
      <c r="O27" s="130"/>
      <c r="P27" s="130"/>
      <c r="Q27" s="130"/>
      <c r="R27" s="132"/>
    </row>
    <row r="28" spans="4:18">
      <c r="D28" s="128" t="s">
        <v>43</v>
      </c>
      <c r="E28" s="129"/>
      <c r="F28" s="130"/>
      <c r="G28" s="131"/>
      <c r="H28" s="130"/>
      <c r="I28" s="130"/>
      <c r="J28" s="130"/>
      <c r="K28" s="130"/>
      <c r="L28" s="130"/>
      <c r="M28" s="130"/>
      <c r="N28" s="130"/>
      <c r="O28" s="130"/>
      <c r="P28" s="130"/>
      <c r="Q28" s="130"/>
      <c r="R28" s="132"/>
    </row>
    <row r="29" spans="4:18">
      <c r="D29" s="128" t="s">
        <v>44</v>
      </c>
      <c r="E29" s="129"/>
      <c r="F29" s="130"/>
      <c r="G29" s="131"/>
      <c r="H29" s="130"/>
      <c r="I29" s="130"/>
      <c r="J29" s="130"/>
      <c r="K29" s="130"/>
      <c r="L29" s="130"/>
      <c r="M29" s="130"/>
      <c r="N29" s="130"/>
      <c r="O29" s="130"/>
      <c r="P29" s="130"/>
      <c r="Q29" s="130"/>
      <c r="R29" s="132"/>
    </row>
    <row r="30" spans="4:18">
      <c r="D30" s="128" t="s">
        <v>45</v>
      </c>
      <c r="E30" s="129"/>
      <c r="F30" s="130"/>
      <c r="G30" s="131"/>
      <c r="H30" s="130"/>
      <c r="I30" s="130"/>
      <c r="J30" s="130"/>
      <c r="K30" s="130"/>
      <c r="L30" s="130"/>
      <c r="M30" s="130"/>
      <c r="N30" s="130"/>
      <c r="O30" s="130"/>
      <c r="P30" s="130"/>
      <c r="Q30" s="130"/>
      <c r="R30" s="132"/>
    </row>
    <row r="31" spans="4:18">
      <c r="D31" s="133" t="s">
        <v>46</v>
      </c>
      <c r="E31" s="134"/>
      <c r="F31" s="135"/>
      <c r="G31" s="136"/>
      <c r="H31" s="135"/>
      <c r="I31" s="135"/>
      <c r="J31" s="135"/>
      <c r="K31" s="135"/>
      <c r="L31" s="135"/>
      <c r="M31" s="135"/>
      <c r="N31" s="135"/>
      <c r="O31" s="135"/>
      <c r="P31" s="135"/>
      <c r="Q31" s="135"/>
      <c r="R31" s="137"/>
    </row>
    <row r="34" spans="2:20" ht="18.75">
      <c r="D34" s="120" t="s">
        <v>47</v>
      </c>
    </row>
    <row r="35" spans="2:20" ht="18.75">
      <c r="B35" s="45"/>
      <c r="D35" s="70" t="s">
        <v>48</v>
      </c>
      <c r="E35" s="3">
        <v>1</v>
      </c>
      <c r="F35" s="3">
        <v>2</v>
      </c>
      <c r="G35" s="3">
        <v>3</v>
      </c>
      <c r="H35" s="3">
        <v>4</v>
      </c>
      <c r="I35" s="3">
        <v>5</v>
      </c>
      <c r="J35" s="3">
        <v>6</v>
      </c>
      <c r="K35" s="3">
        <v>7</v>
      </c>
      <c r="L35" s="3">
        <v>8</v>
      </c>
      <c r="M35" s="3">
        <v>9</v>
      </c>
      <c r="N35" s="3">
        <v>10</v>
      </c>
      <c r="O35" s="3">
        <v>11</v>
      </c>
      <c r="P35" s="3">
        <v>12</v>
      </c>
      <c r="Q35" s="3">
        <v>13</v>
      </c>
      <c r="R35" s="3">
        <v>14</v>
      </c>
      <c r="S35" s="3">
        <v>15</v>
      </c>
      <c r="T35" s="113">
        <v>16</v>
      </c>
    </row>
    <row r="36" spans="2:20">
      <c r="C36" s="139" t="s">
        <v>49</v>
      </c>
      <c r="D36" s="114" t="s">
        <v>50</v>
      </c>
      <c r="E36" s="66">
        <f>'Proto Costing'!C49</f>
        <v>744155.42269999988</v>
      </c>
      <c r="F36" s="66">
        <f>'Proto Costing'!D49</f>
        <v>755868.81071999983</v>
      </c>
      <c r="G36" s="66">
        <f>'Proto Costing'!E49</f>
        <v>749689.53526999988</v>
      </c>
      <c r="H36" s="66">
        <f>'Proto Costing'!F49</f>
        <v>758206.43779999996</v>
      </c>
      <c r="I36" s="66">
        <f>'Proto Costing'!G49</f>
        <v>752856.68218999985</v>
      </c>
      <c r="J36" s="66">
        <f>'Proto Costing'!H49</f>
        <v>753796.29095499986</v>
      </c>
      <c r="K36" s="66">
        <f>'Proto Costing'!I49</f>
        <v>748586.58797999984</v>
      </c>
      <c r="L36" s="66">
        <f>'Proto Costing'!J49</f>
        <v>757873.82835999993</v>
      </c>
      <c r="M36" s="66">
        <f>'Proto Costing'!K49</f>
        <v>757214.41295499983</v>
      </c>
      <c r="N36" s="66">
        <f>'Proto Costing'!L49</f>
        <v>758580.58569999994</v>
      </c>
      <c r="O36" s="66">
        <f>'Proto Costing'!M49</f>
        <v>759831.19471499987</v>
      </c>
      <c r="P36" s="66">
        <f>'Proto Costing'!N49</f>
        <v>750430.53132999991</v>
      </c>
      <c r="Q36" s="66">
        <f>'Proto Costing'!O49</f>
        <v>751825.04478999984</v>
      </c>
      <c r="R36" s="66">
        <f>'Proto Costing'!P49</f>
        <v>759783.48972499988</v>
      </c>
      <c r="S36" s="66">
        <f>'Proto Costing'!Q49</f>
        <v>761884.22991499992</v>
      </c>
      <c r="T36" s="108">
        <f>'Proto Costing'!R49</f>
        <v>759521.71970999986</v>
      </c>
    </row>
    <row r="37" spans="2:20">
      <c r="C37" s="140"/>
      <c r="D37" s="115" t="s">
        <v>51</v>
      </c>
      <c r="E37" s="12">
        <f>'Proto Costing'!C20*'Final Results'!$G$10+'Proto Costing'!C12*'Final Results'!$G$12+'Proto Costing'!C41*'Final Results'!$G$14+'Proto Costing'!C37*'Final Results'!$G$16</f>
        <v>82251.02907727196</v>
      </c>
      <c r="F37" s="12">
        <f>'Proto Costing'!D20*'Final Results'!$G$10+'Proto Costing'!D12*'Final Results'!$G$12+'Proto Costing'!D41*'Final Results'!$G$14+'Proto Costing'!D37*'Final Results'!$G$16</f>
        <v>88724.027651707831</v>
      </c>
      <c r="G37" s="12">
        <f>'Proto Costing'!E20*'Final Results'!$G$10+'Proto Costing'!E12*'Final Results'!$G$12+'Proto Costing'!E41*'Final Results'!$G$14+'Proto Costing'!E37*'Final Results'!$G$16</f>
        <v>85291.84483144102</v>
      </c>
      <c r="H37" s="12">
        <f>'Proto Costing'!F20*'Final Results'!$G$10+'Proto Costing'!F12*'Final Results'!$G$12+'Proto Costing'!F41*'Final Results'!$G$14+'Proto Costing'!F37*'Final Results'!$G$16</f>
        <v>89965.528508870309</v>
      </c>
      <c r="I37" s="12">
        <f>'Proto Costing'!G20*'Final Results'!$G$10+'Proto Costing'!G12*'Final Results'!$G$12+'Proto Costing'!G41*'Final Results'!$G$14+'Proto Costing'!G37*'Final Results'!$G$16</f>
        <v>87152.542996168646</v>
      </c>
      <c r="J37" s="12">
        <f>'Proto Costing'!H20*'Final Results'!$G$10+'Proto Costing'!H12*'Final Results'!$G$12+'Proto Costing'!H41*'Final Results'!$G$14+'Proto Costing'!H37*'Final Results'!$G$16</f>
        <v>87745.751271007102</v>
      </c>
      <c r="K37" s="12">
        <f>'Proto Costing'!I20*'Final Results'!$G$10+'Proto Costing'!I12*'Final Results'!$G$12+'Proto Costing'!I41*'Final Results'!$G$14+'Proto Costing'!I37*'Final Results'!$G$16</f>
        <v>84873.685418851994</v>
      </c>
      <c r="L37" s="12">
        <f>'Proto Costing'!J20*'Final Results'!$G$10+'Proto Costing'!J12*'Final Results'!$G$12+'Proto Costing'!J41*'Final Results'!$G$14+'Proto Costing'!J37*'Final Results'!$G$16</f>
        <v>89900.916803121319</v>
      </c>
      <c r="M37" s="12">
        <f>'Proto Costing'!K20*'Final Results'!$G$10+'Proto Costing'!K12*'Final Results'!$G$12+'Proto Costing'!K41*'Final Results'!$G$14+'Proto Costing'!K37*'Final Results'!$G$16</f>
        <v>89559.102678213618</v>
      </c>
      <c r="N37" s="12">
        <f>'Proto Costing'!L20*'Final Results'!$G$10+'Proto Costing'!L12*'Final Results'!$G$12+'Proto Costing'!L41*'Final Results'!$G$14+'Proto Costing'!L37*'Final Results'!$G$16</f>
        <v>90301.546485083643</v>
      </c>
      <c r="O37" s="12">
        <f>'Proto Costing'!M20*'Final Results'!$G$10+'Proto Costing'!M12*'Final Results'!$G$12+'Proto Costing'!M41*'Final Results'!$G$14+'Proto Costing'!M37*'Final Results'!$G$16</f>
        <v>90931.876516581979</v>
      </c>
      <c r="P37" s="12">
        <f>'Proto Costing'!N20*'Final Results'!$G$10+'Proto Costing'!N12*'Final Results'!$G$12+'Proto Costing'!N41*'Final Results'!$G$14+'Proto Costing'!N37*'Final Results'!$G$16</f>
        <v>85779.743706403169</v>
      </c>
      <c r="Q37" s="12">
        <f>'Proto Costing'!O20*'Final Results'!$G$10+'Proto Costing'!O12*'Final Results'!$G$12+'Proto Costing'!O41*'Final Results'!$G$14+'Proto Costing'!O37*'Final Results'!$G$16</f>
        <v>86598.428391647176</v>
      </c>
      <c r="R37" s="12">
        <f>'Proto Costing'!P20*'Final Results'!$G$10+'Proto Costing'!P12*'Final Results'!$G$12+'Proto Costing'!P41*'Final Results'!$G$14+'Proto Costing'!P37*'Final Results'!$G$16</f>
        <v>90820.073365413497</v>
      </c>
      <c r="S37" s="12">
        <f>'Proto Costing'!Q20*'Final Results'!$G$10+'Proto Costing'!Q12*'Final Results'!$G$12+'Proto Costing'!Q41*'Final Results'!$G$14+'Proto Costing'!Q37*'Final Results'!$G$16</f>
        <v>92234.714799661102</v>
      </c>
      <c r="T37" s="8">
        <f>'Proto Costing'!R20*'Final Results'!$G$10+'Proto Costing'!R12*'Final Results'!$G$12+'Proto Costing'!R41*'Final Results'!$G$14+'Proto Costing'!R37*'Final Results'!$G$16</f>
        <v>90634.771447186868</v>
      </c>
    </row>
    <row r="38" spans="2:20">
      <c r="C38" s="140"/>
      <c r="D38" s="115" t="s">
        <v>52</v>
      </c>
      <c r="E38" s="12">
        <f t="shared" ref="E38:T38" si="2">$H$12*2*-1+$H$16*$E$7*-1+$H$10*-1+$H$14*-1</f>
        <v>53095.635571578663</v>
      </c>
      <c r="F38" s="12">
        <f t="shared" si="2"/>
        <v>53095.635571578663</v>
      </c>
      <c r="G38" s="12">
        <f t="shared" si="2"/>
        <v>53095.635571578663</v>
      </c>
      <c r="H38" s="12">
        <f t="shared" si="2"/>
        <v>53095.635571578663</v>
      </c>
      <c r="I38" s="12">
        <f t="shared" si="2"/>
        <v>53095.635571578663</v>
      </c>
      <c r="J38" s="12">
        <f t="shared" si="2"/>
        <v>53095.635571578663</v>
      </c>
      <c r="K38" s="12">
        <f t="shared" si="2"/>
        <v>53095.635571578663</v>
      </c>
      <c r="L38" s="12">
        <f t="shared" si="2"/>
        <v>53095.635571578663</v>
      </c>
      <c r="M38" s="12">
        <f t="shared" si="2"/>
        <v>53095.635571578663</v>
      </c>
      <c r="N38" s="12">
        <f t="shared" si="2"/>
        <v>53095.635571578663</v>
      </c>
      <c r="O38" s="12">
        <f t="shared" si="2"/>
        <v>53095.635571578663</v>
      </c>
      <c r="P38" s="12">
        <f t="shared" si="2"/>
        <v>53095.635571578663</v>
      </c>
      <c r="Q38" s="12">
        <f t="shared" si="2"/>
        <v>53095.635571578663</v>
      </c>
      <c r="R38" s="12">
        <f t="shared" si="2"/>
        <v>53095.635571578663</v>
      </c>
      <c r="S38" s="12">
        <f t="shared" si="2"/>
        <v>53095.635571578663</v>
      </c>
      <c r="T38" s="8">
        <f t="shared" si="2"/>
        <v>53095.635571578663</v>
      </c>
    </row>
    <row r="39" spans="2:20">
      <c r="C39" s="140"/>
      <c r="D39" s="115" t="s">
        <v>53</v>
      </c>
      <c r="E39" s="12">
        <f>SUM(E36:E38)</f>
        <v>879502.08734885044</v>
      </c>
      <c r="F39" s="12">
        <f t="shared" ref="F39:T39" si="3">SUM(F36:F38)</f>
        <v>897688.47394328634</v>
      </c>
      <c r="G39" s="12">
        <f t="shared" si="3"/>
        <v>888077.01567301957</v>
      </c>
      <c r="H39" s="12">
        <f t="shared" si="3"/>
        <v>901267.60188044887</v>
      </c>
      <c r="I39" s="12">
        <f t="shared" si="3"/>
        <v>893104.86075774708</v>
      </c>
      <c r="J39" s="12">
        <f t="shared" si="3"/>
        <v>894637.67779758561</v>
      </c>
      <c r="K39" s="12">
        <f t="shared" si="3"/>
        <v>886555.90897043049</v>
      </c>
      <c r="L39" s="12">
        <f t="shared" si="3"/>
        <v>900870.38073469989</v>
      </c>
      <c r="M39" s="12">
        <f t="shared" si="3"/>
        <v>899869.15120479208</v>
      </c>
      <c r="N39" s="12">
        <f t="shared" si="3"/>
        <v>901977.76775666222</v>
      </c>
      <c r="O39" s="12">
        <f t="shared" si="3"/>
        <v>903858.70680316049</v>
      </c>
      <c r="P39" s="12">
        <f t="shared" si="3"/>
        <v>889305.91060798173</v>
      </c>
      <c r="Q39" s="12">
        <f t="shared" si="3"/>
        <v>891519.10875322565</v>
      </c>
      <c r="R39" s="12">
        <f t="shared" si="3"/>
        <v>903699.19866199198</v>
      </c>
      <c r="S39" s="12">
        <f t="shared" si="3"/>
        <v>907214.58028623962</v>
      </c>
      <c r="T39" s="8">
        <f t="shared" si="3"/>
        <v>903252.12672876532</v>
      </c>
    </row>
    <row r="40" spans="2:20">
      <c r="C40" s="139" t="s">
        <v>54</v>
      </c>
      <c r="D40" s="114" t="s">
        <v>50</v>
      </c>
      <c r="E40" s="66">
        <f>'Proto Costing'!C102</f>
        <v>722039.59755000006</v>
      </c>
      <c r="F40" s="66">
        <f>'Proto Costing'!D102</f>
        <v>793659.87950000004</v>
      </c>
      <c r="G40" s="66">
        <f>'Proto Costing'!E102</f>
        <v>755889.08259999997</v>
      </c>
      <c r="H40" s="66">
        <f>'Proto Costing'!F102</f>
        <v>803575.84050000005</v>
      </c>
      <c r="I40" s="66">
        <f>'Proto Costing'!G102</f>
        <v>753049.51194999996</v>
      </c>
      <c r="J40" s="66">
        <f>'Proto Costing'!H102</f>
        <v>775135.06145000004</v>
      </c>
      <c r="K40" s="66">
        <f>'Proto Costing'!I102</f>
        <v>789468.13234999997</v>
      </c>
      <c r="L40" s="66">
        <f>'Proto Costing'!J102</f>
        <v>802854.67969999998</v>
      </c>
      <c r="M40" s="66">
        <f>'Proto Costing'!K102</f>
        <v>784510.15185000002</v>
      </c>
      <c r="N40" s="66">
        <f>'Proto Costing'!L102</f>
        <v>791135.81669999997</v>
      </c>
      <c r="O40" s="66">
        <f>'Proto Costing'!M102</f>
        <v>802313.80909999995</v>
      </c>
      <c r="P40" s="66">
        <f>'Proto Costing'!N102</f>
        <v>769906.64564999996</v>
      </c>
      <c r="Q40" s="66">
        <f>'Proto Costing'!O102</f>
        <v>785366.53029999998</v>
      </c>
      <c r="R40" s="66">
        <f>'Proto Costing'!P102</f>
        <v>795237.41875000007</v>
      </c>
      <c r="S40" s="66">
        <f>'Proto Costing'!Q102</f>
        <v>834630.82744999998</v>
      </c>
      <c r="T40" s="108">
        <f>'Proto Costing'!R102</f>
        <v>793299.29909999995</v>
      </c>
    </row>
    <row r="41" spans="2:20">
      <c r="C41" s="140"/>
      <c r="D41" s="115" t="s">
        <v>51</v>
      </c>
      <c r="E41" s="111">
        <f>'Proto Costing'!C56*'Proto Costing'!C58*'Final Results'!$G$11+'Proto Costing'!C79*'Final Results'!$G$16+0.2*'Proto Costing'!C87*'Final Results'!$G$17</f>
        <v>70177.662685986114</v>
      </c>
      <c r="F41" s="111">
        <f>'Proto Costing'!D56*'Proto Costing'!D58*'Final Results'!$G$11+'Proto Costing'!D79*'Final Results'!$G$16+0.2*'Proto Costing'!D87*'Final Results'!$G$17</f>
        <v>84425.874261232893</v>
      </c>
      <c r="G41" s="111">
        <f>'Proto Costing'!E56*'Proto Costing'!E58*'Final Results'!$G$11+'Proto Costing'!E79*'Final Results'!$G$16+0.2*'Proto Costing'!E87*'Final Results'!$G$17</f>
        <v>76911.71359411093</v>
      </c>
      <c r="H41" s="111">
        <f>'Proto Costing'!F56*'Proto Costing'!F58*'Final Results'!$G$11+'Proto Costing'!F79*'Final Results'!$G$16+0.2*'Proto Costing'!F87*'Final Results'!$G$17</f>
        <v>86398.565605823402</v>
      </c>
      <c r="I41" s="111">
        <f>'Proto Costing'!G56*'Proto Costing'!G58*'Final Results'!$G$11+'Proto Costing'!G79*'Final Results'!$G$16+0.2*'Proto Costing'!G87*'Final Results'!$G$17</f>
        <v>76346.806527250927</v>
      </c>
      <c r="J41" s="111">
        <f>'Proto Costing'!H56*'Proto Costing'!H58*'Final Results'!$G$11+'Proto Costing'!H79*'Final Results'!$G$16+0.2*'Proto Costing'!H87*'Final Results'!$G$17</f>
        <v>80740.528158384303</v>
      </c>
      <c r="K41" s="111">
        <f>'Proto Costing'!I56*'Proto Costing'!I58*'Final Results'!$G$11+'Proto Costing'!I79*'Final Results'!$G$16+0.2*'Proto Costing'!I87*'Final Results'!$G$17</f>
        <v>83591.963829201472</v>
      </c>
      <c r="L41" s="111">
        <f>'Proto Costing'!J56*'Proto Costing'!J58*'Final Results'!$G$11+'Proto Costing'!J79*'Final Results'!$G$16+0.2*'Proto Costing'!J87*'Final Results'!$G$17</f>
        <v>86255.09714439862</v>
      </c>
      <c r="M41" s="111">
        <f>'Proto Costing'!K56*'Proto Costing'!K58*'Final Results'!$G$11+'Proto Costing'!K79*'Final Results'!$G$16+0.2*'Proto Costing'!K87*'Final Results'!$G$17</f>
        <v>82605.618156906232</v>
      </c>
      <c r="N41" s="111">
        <f>'Proto Costing'!L56*'Proto Costing'!L58*'Final Results'!$G$11+'Proto Costing'!L79*'Final Results'!$G$16+0.2*'Proto Costing'!L87*'Final Results'!$G$17</f>
        <v>83923.73464624623</v>
      </c>
      <c r="O41" s="111">
        <f>'Proto Costing'!M56*'Proto Costing'!M58*'Final Results'!$G$11+'Proto Costing'!M79*'Final Results'!$G$16+0.2*'Proto Costing'!M87*'Final Results'!$G$17</f>
        <v>86147.49579833007</v>
      </c>
      <c r="P41" s="111">
        <f>'Proto Costing'!N56*'Proto Costing'!N58*'Final Results'!$G$11+'Proto Costing'!N79*'Final Results'!$G$16+0.2*'Proto Costing'!N87*'Final Results'!$G$17</f>
        <v>79700.381813054773</v>
      </c>
      <c r="Q41" s="111">
        <f>'Proto Costing'!O56*'Proto Costing'!O58*'Final Results'!$G$11+'Proto Costing'!O79*'Final Results'!$G$16+0.2*'Proto Costing'!O87*'Final Results'!$G$17</f>
        <v>82775.986954848122</v>
      </c>
      <c r="R41" s="111">
        <f>'Proto Costing'!P56*'Proto Costing'!P58*'Final Results'!$G$11+'Proto Costing'!P79*'Final Results'!$G$16+0.2*'Proto Costing'!P87*'Final Results'!$G$17</f>
        <v>84739.71152059958</v>
      </c>
      <c r="S41" s="111">
        <f>'Proto Costing'!Q56*'Proto Costing'!Q58*'Final Results'!$G$11+'Proto Costing'!Q79*'Final Results'!$G$16+0.2*'Proto Costing'!Q87*'Final Results'!$G$17</f>
        <v>92576.676225927265</v>
      </c>
      <c r="T41" s="112">
        <f>'Proto Costing'!R56*'Proto Costing'!R58*'Final Results'!$G$11+'Proto Costing'!R79*'Final Results'!$G$16+0.2*'Proto Costing'!R87*'Final Results'!$G$17</f>
        <v>84354.140030520517</v>
      </c>
    </row>
    <row r="42" spans="2:20">
      <c r="C42" s="140"/>
      <c r="D42" s="115" t="s">
        <v>52</v>
      </c>
      <c r="E42" s="12">
        <f t="shared" ref="E42:T42" si="4">$H$11*-1+$H$15*$E$7*-1+$H$17*-1</f>
        <v>74293.512891030201</v>
      </c>
      <c r="F42" s="12">
        <f t="shared" si="4"/>
        <v>74293.512891030201</v>
      </c>
      <c r="G42" s="12">
        <f t="shared" si="4"/>
        <v>74293.512891030201</v>
      </c>
      <c r="H42" s="12">
        <f t="shared" si="4"/>
        <v>74293.512891030201</v>
      </c>
      <c r="I42" s="12">
        <f t="shared" si="4"/>
        <v>74293.512891030201</v>
      </c>
      <c r="J42" s="12">
        <f t="shared" si="4"/>
        <v>74293.512891030201</v>
      </c>
      <c r="K42" s="12">
        <f t="shared" si="4"/>
        <v>74293.512891030201</v>
      </c>
      <c r="L42" s="12">
        <f t="shared" si="4"/>
        <v>74293.512891030201</v>
      </c>
      <c r="M42" s="12">
        <f t="shared" si="4"/>
        <v>74293.512891030201</v>
      </c>
      <c r="N42" s="12">
        <f t="shared" si="4"/>
        <v>74293.512891030201</v>
      </c>
      <c r="O42" s="12">
        <f t="shared" si="4"/>
        <v>74293.512891030201</v>
      </c>
      <c r="P42" s="12">
        <f t="shared" si="4"/>
        <v>74293.512891030201</v>
      </c>
      <c r="Q42" s="12">
        <f t="shared" si="4"/>
        <v>74293.512891030201</v>
      </c>
      <c r="R42" s="12">
        <f t="shared" si="4"/>
        <v>74293.512891030201</v>
      </c>
      <c r="S42" s="12">
        <f t="shared" si="4"/>
        <v>74293.512891030201</v>
      </c>
      <c r="T42" s="8">
        <f t="shared" si="4"/>
        <v>74293.512891030201</v>
      </c>
    </row>
    <row r="43" spans="2:20">
      <c r="C43" s="141"/>
      <c r="D43" s="116" t="s">
        <v>53</v>
      </c>
      <c r="E43" s="109">
        <f t="shared" ref="E43:T43" si="5">SUM(E40:E42)</f>
        <v>866510.77312701638</v>
      </c>
      <c r="F43" s="109">
        <f t="shared" si="5"/>
        <v>952379.26665226312</v>
      </c>
      <c r="G43" s="109">
        <f t="shared" si="5"/>
        <v>907094.30908514105</v>
      </c>
      <c r="H43" s="109">
        <f t="shared" si="5"/>
        <v>964267.91899685364</v>
      </c>
      <c r="I43" s="109">
        <f t="shared" si="5"/>
        <v>903689.83136828104</v>
      </c>
      <c r="J43" s="109">
        <f t="shared" si="5"/>
        <v>930169.10249941447</v>
      </c>
      <c r="K43" s="109">
        <f t="shared" si="5"/>
        <v>947353.60907023167</v>
      </c>
      <c r="L43" s="109">
        <f t="shared" si="5"/>
        <v>963403.28973542876</v>
      </c>
      <c r="M43" s="109">
        <f t="shared" si="5"/>
        <v>941409.28289793641</v>
      </c>
      <c r="N43" s="109">
        <f t="shared" si="5"/>
        <v>949353.06423727633</v>
      </c>
      <c r="O43" s="109">
        <f t="shared" si="5"/>
        <v>962754.81778936018</v>
      </c>
      <c r="P43" s="109">
        <f t="shared" si="5"/>
        <v>923900.54035408492</v>
      </c>
      <c r="Q43" s="109">
        <f t="shared" si="5"/>
        <v>942436.03014587832</v>
      </c>
      <c r="R43" s="109">
        <f t="shared" si="5"/>
        <v>954270.64316162979</v>
      </c>
      <c r="S43" s="109">
        <f t="shared" si="5"/>
        <v>1001501.0165669575</v>
      </c>
      <c r="T43" s="110">
        <f t="shared" si="5"/>
        <v>951946.95202155062</v>
      </c>
    </row>
    <row r="44" spans="2:20" ht="15" customHeight="1">
      <c r="C44" s="142" t="s">
        <v>55</v>
      </c>
      <c r="D44" s="114" t="s">
        <v>56</v>
      </c>
      <c r="E44" s="66">
        <f t="shared" ref="E44:T44" si="6">E43-E39</f>
        <v>-12991.314221834065</v>
      </c>
      <c r="F44" s="66">
        <f t="shared" si="6"/>
        <v>54690.792708976776</v>
      </c>
      <c r="G44" s="66">
        <f t="shared" si="6"/>
        <v>19017.293412121478</v>
      </c>
      <c r="H44" s="66">
        <f t="shared" si="6"/>
        <v>63000.317116404767</v>
      </c>
      <c r="I44" s="66">
        <f t="shared" si="6"/>
        <v>10584.970610533957</v>
      </c>
      <c r="J44" s="66">
        <f t="shared" si="6"/>
        <v>35531.424701828859</v>
      </c>
      <c r="K44" s="66">
        <f t="shared" si="6"/>
        <v>60797.700099801179</v>
      </c>
      <c r="L44" s="66">
        <f t="shared" si="6"/>
        <v>62532.909000728861</v>
      </c>
      <c r="M44" s="66">
        <f t="shared" si="6"/>
        <v>41540.131693144329</v>
      </c>
      <c r="N44" s="66">
        <f t="shared" si="6"/>
        <v>47375.29648061411</v>
      </c>
      <c r="O44" s="66">
        <f t="shared" si="6"/>
        <v>58896.110986199696</v>
      </c>
      <c r="P44" s="66">
        <f t="shared" si="6"/>
        <v>34594.629746103194</v>
      </c>
      <c r="Q44" s="66">
        <f t="shared" si="6"/>
        <v>50916.921392652672</v>
      </c>
      <c r="R44" s="66">
        <f t="shared" si="6"/>
        <v>50571.444499637815</v>
      </c>
      <c r="S44" s="66">
        <f t="shared" si="6"/>
        <v>94286.43628071784</v>
      </c>
      <c r="T44" s="108">
        <f t="shared" si="6"/>
        <v>48694.825292785303</v>
      </c>
    </row>
    <row r="45" spans="2:20">
      <c r="C45" s="143"/>
      <c r="D45" s="115" t="s">
        <v>57</v>
      </c>
      <c r="E45" s="9">
        <f>E44/$E$8</f>
        <v>-0.53236545596172868</v>
      </c>
      <c r="F45" s="9">
        <f t="shared" ref="F45:T45" si="7">F44/$E$8</f>
        <v>2.2411503794196115</v>
      </c>
      <c r="G45" s="9">
        <f t="shared" si="7"/>
        <v>0.77930145523589223</v>
      </c>
      <c r="H45" s="9">
        <f t="shared" si="7"/>
        <v>2.5816627921323101</v>
      </c>
      <c r="I45" s="9">
        <f t="shared" si="7"/>
        <v>0.43375694015219268</v>
      </c>
      <c r="J45" s="9">
        <f t="shared" si="7"/>
        <v>1.4560269107006867</v>
      </c>
      <c r="K45" s="9">
        <f t="shared" si="7"/>
        <v>2.4914027004794974</v>
      </c>
      <c r="L45" s="9">
        <f t="shared" si="7"/>
        <v>2.5625090767827259</v>
      </c>
      <c r="M45" s="9">
        <f t="shared" si="7"/>
        <v>1.7022551199911622</v>
      </c>
      <c r="N45" s="9">
        <f t="shared" si="7"/>
        <v>1.9413718182442368</v>
      </c>
      <c r="O45" s="9">
        <f t="shared" si="7"/>
        <v>2.4134783012826166</v>
      </c>
      <c r="P45" s="9">
        <f t="shared" si="7"/>
        <v>1.4176383947097977</v>
      </c>
      <c r="Q45" s="9">
        <f t="shared" si="7"/>
        <v>2.0865025362722891</v>
      </c>
      <c r="R45" s="9">
        <f t="shared" si="7"/>
        <v>2.0723453878473062</v>
      </c>
      <c r="S45" s="9">
        <f t="shared" si="7"/>
        <v>3.8637231602965962</v>
      </c>
      <c r="T45" s="61">
        <f t="shared" si="7"/>
        <v>1.9954442196773061</v>
      </c>
    </row>
    <row r="46" spans="2:20">
      <c r="C46" s="143"/>
      <c r="D46" s="115" t="s">
        <v>58</v>
      </c>
      <c r="E46" s="9">
        <f>[1]Sheet1!$E$21</f>
        <v>3.717926684415314</v>
      </c>
      <c r="F46" s="9">
        <v>2.4817010034814686</v>
      </c>
      <c r="G46" s="9">
        <v>1.3742273192709362</v>
      </c>
      <c r="H46" s="9">
        <v>4.8511669055908264</v>
      </c>
      <c r="I46" s="9">
        <v>1.3105127995084977</v>
      </c>
      <c r="J46" s="9">
        <v>0.73931148883882969</v>
      </c>
      <c r="K46" s="9">
        <v>0.35401515461806454</v>
      </c>
      <c r="L46" s="9">
        <v>3.3376665984026204</v>
      </c>
      <c r="M46" s="9">
        <v>3.3174187999180837</v>
      </c>
      <c r="N46" s="9">
        <v>4.6902166700798738</v>
      </c>
      <c r="O46" s="9">
        <v>7.5208081097685877</v>
      </c>
      <c r="P46" s="9">
        <v>4.8208511161171508</v>
      </c>
      <c r="Q46" s="9">
        <v>6.6573565431087403</v>
      </c>
      <c r="R46" s="9">
        <v>7.1409272987917305</v>
      </c>
      <c r="S46" s="9">
        <v>9.5638394429653886</v>
      </c>
      <c r="T46" s="61">
        <v>2.7811046487814863</v>
      </c>
    </row>
    <row r="47" spans="2:20">
      <c r="C47" s="144"/>
      <c r="D47" s="117" t="s">
        <v>59</v>
      </c>
      <c r="E47" s="118" t="str">
        <f t="shared" ref="E47:T47" si="8">IF(E45&lt;0,"Infinite",E46/E45)</f>
        <v>Infinite</v>
      </c>
      <c r="F47" s="118">
        <f t="shared" si="8"/>
        <v>1.1073335489982392</v>
      </c>
      <c r="G47" s="118">
        <f t="shared" si="8"/>
        <v>1.7634091532075502</v>
      </c>
      <c r="H47" s="118">
        <f t="shared" si="8"/>
        <v>1.8790861921916735</v>
      </c>
      <c r="I47" s="118">
        <f t="shared" si="8"/>
        <v>3.0213068153991425</v>
      </c>
      <c r="J47" s="118">
        <f t="shared" si="8"/>
        <v>0.50775949496912076</v>
      </c>
      <c r="K47" s="118">
        <f t="shared" si="8"/>
        <v>0.14209471417444097</v>
      </c>
      <c r="L47" s="118">
        <f t="shared" si="8"/>
        <v>1.3024994247408161</v>
      </c>
      <c r="M47" s="118">
        <f t="shared" si="8"/>
        <v>1.9488376101552318</v>
      </c>
      <c r="N47" s="118">
        <f t="shared" si="8"/>
        <v>2.4159291002388574</v>
      </c>
      <c r="O47" s="118">
        <f t="shared" si="8"/>
        <v>3.1161697645144506</v>
      </c>
      <c r="P47" s="118">
        <f t="shared" si="8"/>
        <v>3.4006211556537442</v>
      </c>
      <c r="Q47" s="118">
        <f t="shared" si="8"/>
        <v>3.1906774266388687</v>
      </c>
      <c r="R47" s="118">
        <f t="shared" si="8"/>
        <v>3.4458190901322312</v>
      </c>
      <c r="S47" s="118">
        <f t="shared" si="8"/>
        <v>2.4752910718974044</v>
      </c>
      <c r="T47" s="119">
        <f t="shared" si="8"/>
        <v>1.3937270815975169</v>
      </c>
    </row>
    <row r="48" spans="2:20">
      <c r="B48" s="65"/>
      <c r="E48" s="12"/>
      <c r="F48" s="12"/>
      <c r="G48" s="12"/>
      <c r="H48" s="12"/>
      <c r="I48" s="12"/>
      <c r="J48" s="12"/>
      <c r="K48" s="12"/>
      <c r="L48" s="12"/>
      <c r="M48" s="12"/>
      <c r="N48" s="12"/>
      <c r="O48" s="12"/>
      <c r="P48" s="12"/>
      <c r="Q48" s="12"/>
      <c r="R48" s="12"/>
      <c r="S48" s="12"/>
      <c r="T48" s="12"/>
    </row>
    <row r="49" spans="2:20">
      <c r="B49" s="65"/>
      <c r="E49" s="12"/>
      <c r="F49" s="12"/>
      <c r="G49" s="12"/>
      <c r="H49" s="12"/>
      <c r="I49" s="12"/>
      <c r="J49" s="12"/>
      <c r="K49" s="12"/>
      <c r="L49" s="12"/>
      <c r="M49" s="12"/>
      <c r="N49" s="12"/>
      <c r="O49" s="12"/>
      <c r="P49" s="12"/>
      <c r="Q49" s="12"/>
      <c r="R49" s="12"/>
      <c r="S49" s="12"/>
      <c r="T49" s="12"/>
    </row>
    <row r="51" spans="2:20">
      <c r="E51" t="s">
        <v>60</v>
      </c>
    </row>
    <row r="52" spans="2:20">
      <c r="D52" s="122">
        <v>-0.53236545596172868</v>
      </c>
      <c r="E52" s="121">
        <v>1.1073335489982392</v>
      </c>
    </row>
    <row r="53" spans="2:20">
      <c r="D53" s="122">
        <v>2.2411503794196115</v>
      </c>
      <c r="E53" s="121">
        <v>1.7634091532075502</v>
      </c>
    </row>
    <row r="54" spans="2:20">
      <c r="D54" s="122">
        <v>0.77930145523589223</v>
      </c>
      <c r="E54" s="121">
        <v>1.8790861921916735</v>
      </c>
    </row>
    <row r="55" spans="2:20">
      <c r="D55" s="122">
        <v>2.5816627921323101</v>
      </c>
      <c r="E55" s="121">
        <v>3.0213068153991425</v>
      </c>
    </row>
    <row r="56" spans="2:20">
      <c r="D56" s="122">
        <v>0.43375694015219268</v>
      </c>
      <c r="E56" s="121">
        <v>0.50775949496912076</v>
      </c>
    </row>
    <row r="57" spans="2:20">
      <c r="D57" s="122">
        <v>1.4560269107006867</v>
      </c>
      <c r="E57" s="121">
        <v>0.14209471417444097</v>
      </c>
    </row>
    <row r="58" spans="2:20">
      <c r="D58" s="122">
        <v>2.4914027004794974</v>
      </c>
      <c r="E58" s="121">
        <v>1.3024994247408161</v>
      </c>
    </row>
    <row r="59" spans="2:20">
      <c r="D59" s="122">
        <v>2.5625090767827259</v>
      </c>
      <c r="E59" s="121">
        <v>1.9488376101552318</v>
      </c>
    </row>
    <row r="60" spans="2:20">
      <c r="D60" s="122">
        <v>1.7022551199911622</v>
      </c>
      <c r="E60" s="121">
        <v>2.4159291002388574</v>
      </c>
    </row>
    <row r="61" spans="2:20">
      <c r="D61" s="122">
        <v>1.9413718182442368</v>
      </c>
      <c r="E61" s="121">
        <v>3.1161697645144506</v>
      </c>
    </row>
    <row r="62" spans="2:20">
      <c r="D62" s="122">
        <v>2.4134783012826166</v>
      </c>
      <c r="E62" s="121">
        <v>3.4006211556537442</v>
      </c>
    </row>
    <row r="63" spans="2:20">
      <c r="D63" s="122">
        <v>1.4176383947097977</v>
      </c>
      <c r="E63" s="121">
        <v>3.1906774266388687</v>
      </c>
    </row>
    <row r="64" spans="2:20">
      <c r="D64" s="122">
        <v>2.0865025362722891</v>
      </c>
      <c r="E64" s="121">
        <v>3.4458190901322312</v>
      </c>
    </row>
    <row r="65" spans="4:5">
      <c r="D65" s="122">
        <v>2.0723453878473062</v>
      </c>
      <c r="E65" s="121">
        <v>2.4752910718974044</v>
      </c>
    </row>
    <row r="66" spans="4:5">
      <c r="D66" s="122">
        <v>3.8637231602965962</v>
      </c>
      <c r="E66" s="121">
        <v>1.3937270815975169</v>
      </c>
    </row>
    <row r="67" spans="4:5">
      <c r="D67" s="122">
        <v>1.9954442196773061</v>
      </c>
    </row>
  </sheetData>
  <mergeCells count="3">
    <mergeCell ref="C36:C39"/>
    <mergeCell ref="C40:C43"/>
    <mergeCell ref="C44:C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2B6B9-AE28-479A-932F-3ACCEF16F26B}">
  <dimension ref="A1:T125"/>
  <sheetViews>
    <sheetView topLeftCell="A11" zoomScale="85" zoomScaleNormal="85" workbookViewId="0">
      <selection activeCell="A82" sqref="A82"/>
    </sheetView>
  </sheetViews>
  <sheetFormatPr defaultRowHeight="15"/>
  <cols>
    <col min="1" max="1" width="16.28515625" customWidth="1"/>
    <col min="2" max="2" width="35.140625" customWidth="1"/>
    <col min="3" max="18" width="14.7109375" customWidth="1"/>
    <col min="20" max="20" width="13.140625" bestFit="1" customWidth="1"/>
  </cols>
  <sheetData>
    <row r="1" spans="1:18">
      <c r="B1" s="1" t="s">
        <v>61</v>
      </c>
      <c r="C1" s="1" t="s">
        <v>62</v>
      </c>
      <c r="D1" s="28">
        <v>24404</v>
      </c>
      <c r="E1" s="1" t="s">
        <v>63</v>
      </c>
    </row>
    <row r="2" spans="1:18">
      <c r="F2" s="10"/>
      <c r="G2" s="12"/>
      <c r="K2" s="16"/>
    </row>
    <row r="3" spans="1:18">
      <c r="F3" s="10"/>
      <c r="G3" s="12"/>
      <c r="K3" s="16"/>
    </row>
    <row r="5" spans="1:18" ht="21">
      <c r="A5" s="81"/>
      <c r="B5" s="32" t="s">
        <v>64</v>
      </c>
      <c r="C5" s="82"/>
      <c r="D5" s="82"/>
      <c r="E5" s="82"/>
      <c r="F5" s="82"/>
      <c r="G5" s="82"/>
      <c r="H5" s="82"/>
      <c r="I5" s="82"/>
      <c r="J5" s="82"/>
      <c r="K5" s="82"/>
      <c r="L5" s="82"/>
      <c r="M5" s="82"/>
      <c r="N5" s="82"/>
      <c r="O5" s="82"/>
      <c r="P5" s="82"/>
      <c r="Q5" s="82"/>
      <c r="R5" s="83"/>
    </row>
    <row r="6" spans="1:18">
      <c r="A6" s="35"/>
      <c r="B6" s="33"/>
      <c r="C6" s="33" t="s">
        <v>65</v>
      </c>
      <c r="D6" s="33" t="s">
        <v>66</v>
      </c>
      <c r="E6" s="33" t="s">
        <v>67</v>
      </c>
      <c r="F6" s="33" t="s">
        <v>68</v>
      </c>
      <c r="G6" s="33" t="s">
        <v>69</v>
      </c>
      <c r="H6" s="33" t="s">
        <v>70</v>
      </c>
      <c r="I6" s="33" t="s">
        <v>71</v>
      </c>
      <c r="J6" s="33" t="s">
        <v>72</v>
      </c>
      <c r="K6" s="33" t="s">
        <v>73</v>
      </c>
      <c r="L6" s="33" t="s">
        <v>74</v>
      </c>
      <c r="M6" s="33" t="s">
        <v>75</v>
      </c>
      <c r="N6" s="33" t="s">
        <v>76</v>
      </c>
      <c r="O6" s="33" t="s">
        <v>77</v>
      </c>
      <c r="P6" s="33" t="s">
        <v>78</v>
      </c>
      <c r="Q6" s="33" t="s">
        <v>79</v>
      </c>
      <c r="R6" s="34" t="s">
        <v>80</v>
      </c>
    </row>
    <row r="7" spans="1:18">
      <c r="A7" s="43" t="s">
        <v>81</v>
      </c>
      <c r="B7" s="33" t="s">
        <v>82</v>
      </c>
      <c r="C7" s="33">
        <v>625</v>
      </c>
      <c r="D7" s="33">
        <v>633</v>
      </c>
      <c r="E7" s="33">
        <v>640</v>
      </c>
      <c r="F7" s="33">
        <v>667</v>
      </c>
      <c r="G7" s="33">
        <v>571</v>
      </c>
      <c r="H7" s="33">
        <v>524</v>
      </c>
      <c r="I7" s="33">
        <v>516</v>
      </c>
      <c r="J7" s="33">
        <v>590</v>
      </c>
      <c r="K7" s="33">
        <v>575</v>
      </c>
      <c r="L7" s="33">
        <v>584</v>
      </c>
      <c r="M7" s="33">
        <v>624</v>
      </c>
      <c r="N7" s="33">
        <v>590</v>
      </c>
      <c r="O7" s="33">
        <v>560</v>
      </c>
      <c r="P7" s="33">
        <v>679</v>
      </c>
      <c r="Q7" s="33">
        <v>517</v>
      </c>
      <c r="R7" s="34">
        <v>705</v>
      </c>
    </row>
    <row r="8" spans="1:18">
      <c r="A8" s="35"/>
      <c r="B8" s="33" t="s">
        <v>83</v>
      </c>
      <c r="C8" s="33">
        <v>1</v>
      </c>
      <c r="D8" s="33">
        <v>1</v>
      </c>
      <c r="E8" s="33">
        <v>1</v>
      </c>
      <c r="F8" s="33">
        <v>1</v>
      </c>
      <c r="G8" s="33">
        <v>1</v>
      </c>
      <c r="H8" s="33">
        <v>1</v>
      </c>
      <c r="I8" s="33">
        <v>1</v>
      </c>
      <c r="J8" s="33">
        <v>1</v>
      </c>
      <c r="K8" s="33">
        <v>1</v>
      </c>
      <c r="L8" s="33">
        <v>1</v>
      </c>
      <c r="M8" s="33">
        <v>1</v>
      </c>
      <c r="N8" s="33">
        <v>1</v>
      </c>
      <c r="O8" s="33">
        <v>1</v>
      </c>
      <c r="P8" s="33">
        <v>1</v>
      </c>
      <c r="Q8" s="33">
        <v>1</v>
      </c>
      <c r="R8" s="34">
        <v>1</v>
      </c>
    </row>
    <row r="9" spans="1:18">
      <c r="A9" s="35"/>
      <c r="B9" s="33" t="s">
        <v>84</v>
      </c>
      <c r="C9" s="36">
        <f>1657+12.769*C7</f>
        <v>9637.625</v>
      </c>
      <c r="D9" s="36">
        <f t="shared" ref="D9:R9" si="0">1657+12.769*D7</f>
        <v>9739.777</v>
      </c>
      <c r="E9" s="36">
        <f t="shared" si="0"/>
        <v>9829.16</v>
      </c>
      <c r="F9" s="36">
        <f t="shared" si="0"/>
        <v>10173.923000000001</v>
      </c>
      <c r="G9" s="36">
        <f t="shared" si="0"/>
        <v>8948.0990000000002</v>
      </c>
      <c r="H9" s="36">
        <f t="shared" si="0"/>
        <v>8347.9560000000001</v>
      </c>
      <c r="I9" s="36">
        <f t="shared" si="0"/>
        <v>8245.8040000000001</v>
      </c>
      <c r="J9" s="36">
        <f t="shared" si="0"/>
        <v>9190.7099999999991</v>
      </c>
      <c r="K9" s="36">
        <f t="shared" si="0"/>
        <v>8999.1749999999993</v>
      </c>
      <c r="L9" s="36">
        <f t="shared" si="0"/>
        <v>9114.0960000000014</v>
      </c>
      <c r="M9" s="36">
        <f t="shared" si="0"/>
        <v>9624.8559999999998</v>
      </c>
      <c r="N9" s="36">
        <f t="shared" si="0"/>
        <v>9190.7099999999991</v>
      </c>
      <c r="O9" s="36">
        <f t="shared" si="0"/>
        <v>8807.64</v>
      </c>
      <c r="P9" s="36">
        <f t="shared" si="0"/>
        <v>10327.151</v>
      </c>
      <c r="Q9" s="36">
        <f t="shared" si="0"/>
        <v>8258.5730000000003</v>
      </c>
      <c r="R9" s="84">
        <f t="shared" si="0"/>
        <v>10659.145</v>
      </c>
    </row>
    <row r="10" spans="1:18">
      <c r="A10" s="35"/>
      <c r="B10" s="33" t="s">
        <v>85</v>
      </c>
      <c r="C10" s="37">
        <f>1505.7+4.9783*C7</f>
        <v>4617.1374999999998</v>
      </c>
      <c r="D10" s="37">
        <f t="shared" ref="D10:R10" si="1">1505.7+4.9783*D7</f>
        <v>4656.9638999999997</v>
      </c>
      <c r="E10" s="37">
        <f t="shared" si="1"/>
        <v>4691.8119999999999</v>
      </c>
      <c r="F10" s="37">
        <f t="shared" si="1"/>
        <v>4826.2260999999999</v>
      </c>
      <c r="G10" s="37">
        <f t="shared" si="1"/>
        <v>4348.3092999999999</v>
      </c>
      <c r="H10" s="37">
        <f t="shared" si="1"/>
        <v>4114.3292000000001</v>
      </c>
      <c r="I10" s="37">
        <f t="shared" si="1"/>
        <v>4074.5028000000002</v>
      </c>
      <c r="J10" s="37">
        <f t="shared" si="1"/>
        <v>4442.8969999999999</v>
      </c>
      <c r="K10" s="37">
        <f t="shared" si="1"/>
        <v>4368.2224999999999</v>
      </c>
      <c r="L10" s="37">
        <f t="shared" si="1"/>
        <v>4413.0272000000004</v>
      </c>
      <c r="M10" s="37">
        <f t="shared" si="1"/>
        <v>4612.1592000000001</v>
      </c>
      <c r="N10" s="37">
        <f t="shared" si="1"/>
        <v>4442.8969999999999</v>
      </c>
      <c r="O10" s="37">
        <f t="shared" si="1"/>
        <v>4293.5479999999998</v>
      </c>
      <c r="P10" s="37">
        <f t="shared" si="1"/>
        <v>4885.9656999999997</v>
      </c>
      <c r="Q10" s="37">
        <f t="shared" si="1"/>
        <v>4079.4811</v>
      </c>
      <c r="R10" s="40">
        <f t="shared" si="1"/>
        <v>5015.4014999999999</v>
      </c>
    </row>
    <row r="11" spans="1:18">
      <c r="A11" s="35"/>
      <c r="B11" s="33" t="s">
        <v>86</v>
      </c>
      <c r="C11" s="38">
        <v>0.15</v>
      </c>
      <c r="D11" s="38">
        <v>0.15</v>
      </c>
      <c r="E11" s="38">
        <v>0.15</v>
      </c>
      <c r="F11" s="38">
        <v>0.15</v>
      </c>
      <c r="G11" s="38">
        <v>0.15</v>
      </c>
      <c r="H11" s="38">
        <v>0.15</v>
      </c>
      <c r="I11" s="38">
        <v>0.15</v>
      </c>
      <c r="J11" s="38">
        <v>0.15</v>
      </c>
      <c r="K11" s="38">
        <v>0.15</v>
      </c>
      <c r="L11" s="38">
        <v>0.15</v>
      </c>
      <c r="M11" s="38">
        <v>0.15</v>
      </c>
      <c r="N11" s="38">
        <v>0.15</v>
      </c>
      <c r="O11" s="38">
        <v>0.15</v>
      </c>
      <c r="P11" s="38">
        <v>0.15</v>
      </c>
      <c r="Q11" s="38">
        <v>0.15</v>
      </c>
      <c r="R11" s="39">
        <v>0.15</v>
      </c>
    </row>
    <row r="12" spans="1:18">
      <c r="A12" s="35"/>
      <c r="B12" s="33" t="s">
        <v>87</v>
      </c>
      <c r="C12" s="37">
        <f>(C9+C10)*(1+C11)</f>
        <v>16392.976875</v>
      </c>
      <c r="D12" s="37">
        <f t="shared" ref="D12:R12" si="2">(D9+D10)*(1+D11)</f>
        <v>16556.252034999998</v>
      </c>
      <c r="E12" s="37">
        <f t="shared" si="2"/>
        <v>16699.1178</v>
      </c>
      <c r="F12" s="37">
        <f t="shared" si="2"/>
        <v>17250.171464999999</v>
      </c>
      <c r="G12" s="37">
        <f t="shared" si="2"/>
        <v>15290.869544999998</v>
      </c>
      <c r="H12" s="37">
        <f t="shared" si="2"/>
        <v>14331.627979999999</v>
      </c>
      <c r="I12" s="37">
        <f t="shared" si="2"/>
        <v>14168.35282</v>
      </c>
      <c r="J12" s="37">
        <f t="shared" si="2"/>
        <v>15678.648049999998</v>
      </c>
      <c r="K12" s="37">
        <f t="shared" si="2"/>
        <v>15372.507124999998</v>
      </c>
      <c r="L12" s="37">
        <f t="shared" si="2"/>
        <v>15556.191680000002</v>
      </c>
      <c r="M12" s="37">
        <f t="shared" si="2"/>
        <v>16372.567479999998</v>
      </c>
      <c r="N12" s="37">
        <f t="shared" si="2"/>
        <v>15678.648049999998</v>
      </c>
      <c r="O12" s="37">
        <f t="shared" si="2"/>
        <v>15066.366199999997</v>
      </c>
      <c r="P12" s="37">
        <f t="shared" si="2"/>
        <v>17495.084204999996</v>
      </c>
      <c r="Q12" s="37">
        <f t="shared" si="2"/>
        <v>14188.762215000001</v>
      </c>
      <c r="R12" s="40">
        <f t="shared" si="2"/>
        <v>18025.728475</v>
      </c>
    </row>
    <row r="13" spans="1:18">
      <c r="A13" s="35"/>
      <c r="B13" s="33"/>
      <c r="C13" s="85"/>
      <c r="D13" s="85"/>
      <c r="E13" s="85"/>
      <c r="F13" s="85"/>
      <c r="G13" s="85"/>
      <c r="H13" s="85"/>
      <c r="I13" s="85"/>
      <c r="J13" s="85"/>
      <c r="K13" s="85"/>
      <c r="L13" s="85"/>
      <c r="M13" s="85"/>
      <c r="N13" s="85"/>
      <c r="O13" s="85"/>
      <c r="P13" s="85"/>
      <c r="Q13" s="85"/>
      <c r="R13" s="86"/>
    </row>
    <row r="14" spans="1:18">
      <c r="A14" s="43" t="s">
        <v>88</v>
      </c>
      <c r="B14" s="33" t="s">
        <v>82</v>
      </c>
      <c r="C14" s="33">
        <v>35</v>
      </c>
      <c r="D14" s="33">
        <v>54</v>
      </c>
      <c r="E14" s="33">
        <v>46</v>
      </c>
      <c r="F14" s="33">
        <v>60</v>
      </c>
      <c r="G14" s="33">
        <v>47</v>
      </c>
      <c r="H14" s="33">
        <v>49</v>
      </c>
      <c r="I14" s="33">
        <v>47</v>
      </c>
      <c r="J14" s="33">
        <v>61</v>
      </c>
      <c r="K14" s="33">
        <v>61</v>
      </c>
      <c r="L14" s="33">
        <v>62</v>
      </c>
      <c r="M14" s="33">
        <v>65</v>
      </c>
      <c r="N14" s="33">
        <v>59</v>
      </c>
      <c r="O14" s="33">
        <v>61</v>
      </c>
      <c r="P14" s="33">
        <v>68</v>
      </c>
      <c r="Q14" s="33">
        <v>74</v>
      </c>
      <c r="R14" s="34">
        <v>44</v>
      </c>
    </row>
    <row r="15" spans="1:18">
      <c r="A15" s="35"/>
      <c r="B15" s="33" t="s">
        <v>89</v>
      </c>
      <c r="C15" s="33">
        <v>14735</v>
      </c>
      <c r="D15" s="33">
        <v>19443</v>
      </c>
      <c r="E15" s="33">
        <v>16866</v>
      </c>
      <c r="F15" s="33">
        <v>20113</v>
      </c>
      <c r="G15" s="33">
        <v>18731</v>
      </c>
      <c r="H15" s="33">
        <v>19505</v>
      </c>
      <c r="I15" s="33">
        <v>17448</v>
      </c>
      <c r="J15" s="33">
        <v>20618</v>
      </c>
      <c r="K15" s="33">
        <v>20474</v>
      </c>
      <c r="L15" s="33">
        <v>20956</v>
      </c>
      <c r="M15" s="33">
        <v>21133</v>
      </c>
      <c r="N15" s="33">
        <v>17584</v>
      </c>
      <c r="O15" s="33">
        <v>18402</v>
      </c>
      <c r="P15" s="33">
        <v>20656</v>
      </c>
      <c r="Q15" s="33">
        <v>22860</v>
      </c>
      <c r="R15" s="34">
        <v>20333</v>
      </c>
    </row>
    <row r="16" spans="1:18">
      <c r="A16" s="35"/>
      <c r="B16" s="33" t="s">
        <v>90</v>
      </c>
      <c r="C16" s="87" t="s">
        <v>91</v>
      </c>
      <c r="D16" s="87" t="s">
        <v>91</v>
      </c>
      <c r="E16" s="87" t="s">
        <v>91</v>
      </c>
      <c r="F16" s="87" t="s">
        <v>91</v>
      </c>
      <c r="G16" s="87" t="s">
        <v>91</v>
      </c>
      <c r="H16" s="87" t="s">
        <v>91</v>
      </c>
      <c r="I16" s="87" t="s">
        <v>91</v>
      </c>
      <c r="J16" s="87" t="s">
        <v>91</v>
      </c>
      <c r="K16" s="87" t="s">
        <v>91</v>
      </c>
      <c r="L16" s="87" t="s">
        <v>91</v>
      </c>
      <c r="M16" s="87" t="s">
        <v>91</v>
      </c>
      <c r="N16" s="87" t="s">
        <v>91</v>
      </c>
      <c r="O16" s="87" t="s">
        <v>91</v>
      </c>
      <c r="P16" s="87" t="s">
        <v>91</v>
      </c>
      <c r="Q16" s="87" t="s">
        <v>91</v>
      </c>
      <c r="R16" s="88" t="s">
        <v>91</v>
      </c>
    </row>
    <row r="17" spans="1:18">
      <c r="A17" s="35"/>
      <c r="B17" s="33" t="s">
        <v>84</v>
      </c>
      <c r="C17" s="41">
        <f>8489.2+2.1333*C15</f>
        <v>39923.375500000002</v>
      </c>
      <c r="D17" s="41">
        <f t="shared" ref="D17:R17" si="3">8489.2+2.1333*D15</f>
        <v>49966.9519</v>
      </c>
      <c r="E17" s="41">
        <f t="shared" si="3"/>
        <v>44469.4378</v>
      </c>
      <c r="F17" s="41">
        <f t="shared" si="3"/>
        <v>51396.262900000002</v>
      </c>
      <c r="G17" s="41">
        <f t="shared" si="3"/>
        <v>48448.042300000001</v>
      </c>
      <c r="H17" s="41">
        <f t="shared" si="3"/>
        <v>50099.21650000001</v>
      </c>
      <c r="I17" s="41">
        <f t="shared" si="3"/>
        <v>45711.018400000001</v>
      </c>
      <c r="J17" s="41">
        <f t="shared" si="3"/>
        <v>52473.579400000002</v>
      </c>
      <c r="K17" s="41">
        <f t="shared" si="3"/>
        <v>52166.3842</v>
      </c>
      <c r="L17" s="41">
        <f t="shared" si="3"/>
        <v>53194.6348</v>
      </c>
      <c r="M17" s="41">
        <f t="shared" si="3"/>
        <v>53572.228900000002</v>
      </c>
      <c r="N17" s="41">
        <f t="shared" si="3"/>
        <v>46001.147200000007</v>
      </c>
      <c r="O17" s="41">
        <f t="shared" si="3"/>
        <v>47746.186600000001</v>
      </c>
      <c r="P17" s="41">
        <f t="shared" si="3"/>
        <v>52554.644800000009</v>
      </c>
      <c r="Q17" s="41">
        <f t="shared" si="3"/>
        <v>57256.438000000009</v>
      </c>
      <c r="R17" s="89">
        <f t="shared" si="3"/>
        <v>51865.588900000002</v>
      </c>
    </row>
    <row r="18" spans="1:18">
      <c r="A18" s="35"/>
      <c r="B18" s="33" t="s">
        <v>85</v>
      </c>
      <c r="C18" s="33">
        <v>0</v>
      </c>
      <c r="D18" s="33">
        <v>0</v>
      </c>
      <c r="E18" s="33">
        <v>0</v>
      </c>
      <c r="F18" s="33">
        <v>0</v>
      </c>
      <c r="G18" s="33">
        <v>0</v>
      </c>
      <c r="H18" s="33">
        <v>0</v>
      </c>
      <c r="I18" s="33">
        <v>0</v>
      </c>
      <c r="J18" s="33">
        <v>0</v>
      </c>
      <c r="K18" s="33">
        <v>0</v>
      </c>
      <c r="L18" s="33">
        <v>0</v>
      </c>
      <c r="M18" s="33">
        <v>0</v>
      </c>
      <c r="N18" s="33">
        <v>0</v>
      </c>
      <c r="O18" s="33">
        <v>0</v>
      </c>
      <c r="P18" s="33">
        <v>0</v>
      </c>
      <c r="Q18" s="33">
        <v>0</v>
      </c>
      <c r="R18" s="34">
        <v>0</v>
      </c>
    </row>
    <row r="19" spans="1:18">
      <c r="A19" s="35"/>
      <c r="B19" s="33" t="s">
        <v>86</v>
      </c>
      <c r="C19" s="38">
        <v>0.15</v>
      </c>
      <c r="D19" s="38">
        <v>0.15</v>
      </c>
      <c r="E19" s="38">
        <v>0.15</v>
      </c>
      <c r="F19" s="38">
        <v>0.15</v>
      </c>
      <c r="G19" s="38">
        <v>0.15</v>
      </c>
      <c r="H19" s="38">
        <v>0.15</v>
      </c>
      <c r="I19" s="38">
        <v>0.15</v>
      </c>
      <c r="J19" s="38">
        <v>0.15</v>
      </c>
      <c r="K19" s="38">
        <v>0.15</v>
      </c>
      <c r="L19" s="38">
        <v>0.15</v>
      </c>
      <c r="M19" s="38">
        <v>0.15</v>
      </c>
      <c r="N19" s="38">
        <v>0.15</v>
      </c>
      <c r="O19" s="38">
        <v>0.15</v>
      </c>
      <c r="P19" s="38">
        <v>0.15</v>
      </c>
      <c r="Q19" s="38">
        <v>0.15</v>
      </c>
      <c r="R19" s="39">
        <v>0.15</v>
      </c>
    </row>
    <row r="20" spans="1:18">
      <c r="A20" s="35"/>
      <c r="B20" s="33" t="s">
        <v>87</v>
      </c>
      <c r="C20" s="37">
        <f>(C17+C18)*(1+C19)</f>
        <v>45911.881824999997</v>
      </c>
      <c r="D20" s="37">
        <f t="shared" ref="D20:R20" si="4">(D17+D18)*(1+D19)</f>
        <v>57461.994684999998</v>
      </c>
      <c r="E20" s="37">
        <f t="shared" si="4"/>
        <v>51139.853469999995</v>
      </c>
      <c r="F20" s="37">
        <f t="shared" si="4"/>
        <v>59105.702334999994</v>
      </c>
      <c r="G20" s="37">
        <f t="shared" si="4"/>
        <v>55715.248645</v>
      </c>
      <c r="H20" s="37">
        <f t="shared" si="4"/>
        <v>57614.098975000008</v>
      </c>
      <c r="I20" s="37">
        <f t="shared" si="4"/>
        <v>52567.671159999998</v>
      </c>
      <c r="J20" s="37">
        <f t="shared" si="4"/>
        <v>60344.616309999998</v>
      </c>
      <c r="K20" s="37">
        <f t="shared" si="4"/>
        <v>59991.341829999998</v>
      </c>
      <c r="L20" s="37">
        <f t="shared" si="4"/>
        <v>61173.830019999994</v>
      </c>
      <c r="M20" s="37">
        <f t="shared" si="4"/>
        <v>61608.063234999994</v>
      </c>
      <c r="N20" s="37">
        <f t="shared" si="4"/>
        <v>52901.319280000003</v>
      </c>
      <c r="O20" s="37">
        <f t="shared" si="4"/>
        <v>54908.114589999997</v>
      </c>
      <c r="P20" s="37">
        <f t="shared" si="4"/>
        <v>60437.841520000009</v>
      </c>
      <c r="Q20" s="37">
        <f t="shared" si="4"/>
        <v>65844.90370000001</v>
      </c>
      <c r="R20" s="40">
        <f t="shared" si="4"/>
        <v>59645.427234999996</v>
      </c>
    </row>
    <row r="21" spans="1:18">
      <c r="A21" s="35"/>
      <c r="B21" s="33"/>
      <c r="C21" s="37"/>
      <c r="D21" s="37"/>
      <c r="E21" s="37"/>
      <c r="F21" s="37"/>
      <c r="G21" s="37"/>
      <c r="H21" s="37"/>
      <c r="I21" s="37"/>
      <c r="J21" s="37"/>
      <c r="K21" s="37"/>
      <c r="L21" s="37"/>
      <c r="M21" s="37"/>
      <c r="N21" s="37"/>
      <c r="O21" s="37"/>
      <c r="P21" s="37"/>
      <c r="Q21" s="37"/>
      <c r="R21" s="40"/>
    </row>
    <row r="22" spans="1:18">
      <c r="A22" s="43" t="s">
        <v>92</v>
      </c>
      <c r="B22" s="33" t="s">
        <v>82</v>
      </c>
      <c r="C22" s="33"/>
      <c r="D22" s="33"/>
      <c r="E22" s="33"/>
      <c r="F22" s="33"/>
      <c r="G22" s="33"/>
      <c r="H22" s="33"/>
      <c r="I22" s="33"/>
      <c r="J22" s="33"/>
      <c r="K22" s="33"/>
      <c r="L22" s="33"/>
      <c r="M22" s="33"/>
      <c r="N22" s="33"/>
      <c r="O22" s="33"/>
      <c r="P22" s="33"/>
      <c r="Q22" s="33"/>
      <c r="R22" s="34"/>
    </row>
    <row r="23" spans="1:18">
      <c r="A23" s="35"/>
      <c r="B23" s="33" t="s">
        <v>93</v>
      </c>
      <c r="C23" s="51">
        <v>1440</v>
      </c>
      <c r="D23" s="51">
        <v>1440</v>
      </c>
      <c r="E23" s="51">
        <v>1440</v>
      </c>
      <c r="F23" s="51">
        <v>1440</v>
      </c>
      <c r="G23" s="51">
        <v>1440</v>
      </c>
      <c r="H23" s="51">
        <v>1440</v>
      </c>
      <c r="I23" s="51">
        <v>1440</v>
      </c>
      <c r="J23" s="51">
        <v>1440</v>
      </c>
      <c r="K23" s="51">
        <v>1440</v>
      </c>
      <c r="L23" s="51">
        <v>1440</v>
      </c>
      <c r="M23" s="51">
        <v>1440</v>
      </c>
      <c r="N23" s="51">
        <v>1440</v>
      </c>
      <c r="O23" s="51">
        <v>1440</v>
      </c>
      <c r="P23" s="51">
        <v>1440</v>
      </c>
      <c r="Q23" s="51">
        <v>1440</v>
      </c>
      <c r="R23" s="90">
        <v>1440</v>
      </c>
    </row>
    <row r="24" spans="1:18">
      <c r="A24" s="35"/>
      <c r="B24" s="33" t="s">
        <v>90</v>
      </c>
      <c r="C24" s="87">
        <f>'Airside Component Costs'!$E50</f>
        <v>270.93</v>
      </c>
      <c r="D24" s="87">
        <f>'Airside Component Costs'!$E50</f>
        <v>270.93</v>
      </c>
      <c r="E24" s="87">
        <f>'Airside Component Costs'!$E50</f>
        <v>270.93</v>
      </c>
      <c r="F24" s="87">
        <f>'Airside Component Costs'!$E50</f>
        <v>270.93</v>
      </c>
      <c r="G24" s="87">
        <f>'Airside Component Costs'!$E50</f>
        <v>270.93</v>
      </c>
      <c r="H24" s="87">
        <f>'Airside Component Costs'!$E50</f>
        <v>270.93</v>
      </c>
      <c r="I24" s="87">
        <f>'Airside Component Costs'!$E50</f>
        <v>270.93</v>
      </c>
      <c r="J24" s="87">
        <f>'Airside Component Costs'!$E50</f>
        <v>270.93</v>
      </c>
      <c r="K24" s="87">
        <f>'Airside Component Costs'!$E50</f>
        <v>270.93</v>
      </c>
      <c r="L24" s="87">
        <f>'Airside Component Costs'!$E50</f>
        <v>270.93</v>
      </c>
      <c r="M24" s="87">
        <f>'Airside Component Costs'!$E50</f>
        <v>270.93</v>
      </c>
      <c r="N24" s="87">
        <f>'Airside Component Costs'!$E50</f>
        <v>270.93</v>
      </c>
      <c r="O24" s="87">
        <f>'Airside Component Costs'!$E50</f>
        <v>270.93</v>
      </c>
      <c r="P24" s="87">
        <f>'Airside Component Costs'!$E50</f>
        <v>270.93</v>
      </c>
      <c r="Q24" s="87">
        <f>'Airside Component Costs'!$E50</f>
        <v>270.93</v>
      </c>
      <c r="R24" s="88">
        <f>'Airside Component Costs'!$E50</f>
        <v>270.93</v>
      </c>
    </row>
    <row r="25" spans="1:18">
      <c r="A25" s="35"/>
      <c r="B25" s="33" t="s">
        <v>84</v>
      </c>
      <c r="C25" s="41">
        <f>C23*C24</f>
        <v>390139.2</v>
      </c>
      <c r="D25" s="41">
        <f t="shared" ref="D25:R25" si="5">D23*D24</f>
        <v>390139.2</v>
      </c>
      <c r="E25" s="41">
        <f t="shared" si="5"/>
        <v>390139.2</v>
      </c>
      <c r="F25" s="41">
        <f t="shared" si="5"/>
        <v>390139.2</v>
      </c>
      <c r="G25" s="41">
        <f t="shared" si="5"/>
        <v>390139.2</v>
      </c>
      <c r="H25" s="41">
        <f t="shared" si="5"/>
        <v>390139.2</v>
      </c>
      <c r="I25" s="41">
        <f t="shared" si="5"/>
        <v>390139.2</v>
      </c>
      <c r="J25" s="41">
        <f t="shared" si="5"/>
        <v>390139.2</v>
      </c>
      <c r="K25" s="41">
        <f t="shared" si="5"/>
        <v>390139.2</v>
      </c>
      <c r="L25" s="41">
        <f t="shared" si="5"/>
        <v>390139.2</v>
      </c>
      <c r="M25" s="41">
        <f t="shared" si="5"/>
        <v>390139.2</v>
      </c>
      <c r="N25" s="41">
        <f t="shared" si="5"/>
        <v>390139.2</v>
      </c>
      <c r="O25" s="41">
        <f t="shared" si="5"/>
        <v>390139.2</v>
      </c>
      <c r="P25" s="41">
        <f t="shared" si="5"/>
        <v>390139.2</v>
      </c>
      <c r="Q25" s="41">
        <f t="shared" si="5"/>
        <v>390139.2</v>
      </c>
      <c r="R25" s="89">
        <f t="shared" si="5"/>
        <v>390139.2</v>
      </c>
    </row>
    <row r="26" spans="1:18">
      <c r="A26" s="35"/>
      <c r="B26" s="33" t="s">
        <v>85</v>
      </c>
      <c r="C26" s="33">
        <v>0</v>
      </c>
      <c r="D26" s="33">
        <v>0</v>
      </c>
      <c r="E26" s="33">
        <v>0</v>
      </c>
      <c r="F26" s="33">
        <v>0</v>
      </c>
      <c r="G26" s="33">
        <v>0</v>
      </c>
      <c r="H26" s="33">
        <v>0</v>
      </c>
      <c r="I26" s="33">
        <v>0</v>
      </c>
      <c r="J26" s="33">
        <v>0</v>
      </c>
      <c r="K26" s="33">
        <v>0</v>
      </c>
      <c r="L26" s="33">
        <v>0</v>
      </c>
      <c r="M26" s="33">
        <v>0</v>
      </c>
      <c r="N26" s="33">
        <v>0</v>
      </c>
      <c r="O26" s="33">
        <v>0</v>
      </c>
      <c r="P26" s="33">
        <v>0</v>
      </c>
      <c r="Q26" s="33">
        <v>0</v>
      </c>
      <c r="R26" s="34">
        <v>0</v>
      </c>
    </row>
    <row r="27" spans="1:18">
      <c r="A27" s="35"/>
      <c r="B27" s="33" t="s">
        <v>86</v>
      </c>
      <c r="C27" s="38">
        <v>0.15</v>
      </c>
      <c r="D27" s="38">
        <v>0.15</v>
      </c>
      <c r="E27" s="38">
        <v>0.15</v>
      </c>
      <c r="F27" s="38">
        <v>0.15</v>
      </c>
      <c r="G27" s="38">
        <v>0.15</v>
      </c>
      <c r="H27" s="38">
        <v>0.15</v>
      </c>
      <c r="I27" s="38">
        <v>0.15</v>
      </c>
      <c r="J27" s="38">
        <v>0.15</v>
      </c>
      <c r="K27" s="38">
        <v>0.15</v>
      </c>
      <c r="L27" s="38">
        <v>0.15</v>
      </c>
      <c r="M27" s="38">
        <v>0.15</v>
      </c>
      <c r="N27" s="38">
        <v>0.15</v>
      </c>
      <c r="O27" s="38">
        <v>0.15</v>
      </c>
      <c r="P27" s="38">
        <v>0.15</v>
      </c>
      <c r="Q27" s="38">
        <v>0.15</v>
      </c>
      <c r="R27" s="39">
        <v>0.15</v>
      </c>
    </row>
    <row r="28" spans="1:18">
      <c r="A28" s="35"/>
      <c r="B28" s="33" t="s">
        <v>87</v>
      </c>
      <c r="C28" s="37">
        <f>(C25+C26)*(1+C27)</f>
        <v>448660.07999999996</v>
      </c>
      <c r="D28" s="37">
        <f t="shared" ref="D28:R28" si="6">(D25+D26)*(1+D27)</f>
        <v>448660.07999999996</v>
      </c>
      <c r="E28" s="37">
        <f t="shared" si="6"/>
        <v>448660.07999999996</v>
      </c>
      <c r="F28" s="37">
        <f t="shared" si="6"/>
        <v>448660.07999999996</v>
      </c>
      <c r="G28" s="37">
        <f t="shared" si="6"/>
        <v>448660.07999999996</v>
      </c>
      <c r="H28" s="37">
        <f t="shared" si="6"/>
        <v>448660.07999999996</v>
      </c>
      <c r="I28" s="37">
        <f t="shared" si="6"/>
        <v>448660.07999999996</v>
      </c>
      <c r="J28" s="37">
        <f t="shared" si="6"/>
        <v>448660.07999999996</v>
      </c>
      <c r="K28" s="37">
        <f t="shared" si="6"/>
        <v>448660.07999999996</v>
      </c>
      <c r="L28" s="37">
        <f t="shared" si="6"/>
        <v>448660.07999999996</v>
      </c>
      <c r="M28" s="37">
        <f t="shared" si="6"/>
        <v>448660.07999999996</v>
      </c>
      <c r="N28" s="37">
        <f t="shared" si="6"/>
        <v>448660.07999999996</v>
      </c>
      <c r="O28" s="37">
        <f t="shared" si="6"/>
        <v>448660.07999999996</v>
      </c>
      <c r="P28" s="37">
        <f t="shared" si="6"/>
        <v>448660.07999999996</v>
      </c>
      <c r="Q28" s="37">
        <f t="shared" si="6"/>
        <v>448660.07999999996</v>
      </c>
      <c r="R28" s="40">
        <f t="shared" si="6"/>
        <v>448660.07999999996</v>
      </c>
    </row>
    <row r="29" spans="1:18">
      <c r="A29" s="35"/>
      <c r="B29" s="33"/>
      <c r="C29" s="33"/>
      <c r="D29" s="33"/>
      <c r="E29" s="33"/>
      <c r="F29" s="33"/>
      <c r="G29" s="33"/>
      <c r="H29" s="33"/>
      <c r="I29" s="33"/>
      <c r="J29" s="33"/>
      <c r="K29" s="33"/>
      <c r="L29" s="33"/>
      <c r="M29" s="33"/>
      <c r="N29" s="33"/>
      <c r="O29" s="33"/>
      <c r="P29" s="33"/>
      <c r="Q29" s="33"/>
      <c r="R29" s="34"/>
    </row>
    <row r="30" spans="1:18">
      <c r="A30" s="43" t="s">
        <v>94</v>
      </c>
      <c r="B30" s="33" t="s">
        <v>95</v>
      </c>
      <c r="C30" s="51">
        <v>1280</v>
      </c>
      <c r="D30" s="51">
        <v>1280</v>
      </c>
      <c r="E30" s="51">
        <v>1280</v>
      </c>
      <c r="F30" s="51">
        <v>1280</v>
      </c>
      <c r="G30" s="51">
        <v>1280</v>
      </c>
      <c r="H30" s="51">
        <v>1280</v>
      </c>
      <c r="I30" s="51">
        <v>1280</v>
      </c>
      <c r="J30" s="51">
        <v>1280</v>
      </c>
      <c r="K30" s="51">
        <v>1280</v>
      </c>
      <c r="L30" s="51">
        <v>1280</v>
      </c>
      <c r="M30" s="51">
        <v>1280</v>
      </c>
      <c r="N30" s="51">
        <v>1280</v>
      </c>
      <c r="O30" s="51">
        <v>1280</v>
      </c>
      <c r="P30" s="51">
        <v>1280</v>
      </c>
      <c r="Q30" s="51">
        <v>1280</v>
      </c>
      <c r="R30" s="90">
        <v>1280</v>
      </c>
    </row>
    <row r="31" spans="1:18">
      <c r="A31" s="35"/>
      <c r="B31" s="33" t="s">
        <v>90</v>
      </c>
      <c r="C31" s="41">
        <f>'Airside Component Costs'!$E52</f>
        <v>50.122</v>
      </c>
      <c r="D31" s="41">
        <f>'Airside Component Costs'!$E52</f>
        <v>50.122</v>
      </c>
      <c r="E31" s="41">
        <f>'Airside Component Costs'!$E52</f>
        <v>50.122</v>
      </c>
      <c r="F31" s="41">
        <f>'Airside Component Costs'!$E52</f>
        <v>50.122</v>
      </c>
      <c r="G31" s="41">
        <f>'Airside Component Costs'!$E52</f>
        <v>50.122</v>
      </c>
      <c r="H31" s="41">
        <f>'Airside Component Costs'!$E52</f>
        <v>50.122</v>
      </c>
      <c r="I31" s="41">
        <f>'Airside Component Costs'!$E52</f>
        <v>50.122</v>
      </c>
      <c r="J31" s="41">
        <f>'Airside Component Costs'!$E52</f>
        <v>50.122</v>
      </c>
      <c r="K31" s="41">
        <f>'Airside Component Costs'!$E52</f>
        <v>50.122</v>
      </c>
      <c r="L31" s="41">
        <f>'Airside Component Costs'!$E52</f>
        <v>50.122</v>
      </c>
      <c r="M31" s="41">
        <f>'Airside Component Costs'!$E52</f>
        <v>50.122</v>
      </c>
      <c r="N31" s="41">
        <f>'Airside Component Costs'!$E52</f>
        <v>50.122</v>
      </c>
      <c r="O31" s="41">
        <f>'Airside Component Costs'!$E52</f>
        <v>50.122</v>
      </c>
      <c r="P31" s="41">
        <f>'Airside Component Costs'!$E52</f>
        <v>50.122</v>
      </c>
      <c r="Q31" s="41">
        <f>'Airside Component Costs'!$E52</f>
        <v>50.122</v>
      </c>
      <c r="R31" s="89">
        <f>'Airside Component Costs'!$E52</f>
        <v>50.122</v>
      </c>
    </row>
    <row r="32" spans="1:18">
      <c r="A32" s="35"/>
      <c r="B32" s="33" t="s">
        <v>84</v>
      </c>
      <c r="C32" s="41">
        <f>C30*C31</f>
        <v>64156.160000000003</v>
      </c>
      <c r="D32" s="41">
        <f t="shared" ref="D32:R32" si="7">D30*D31</f>
        <v>64156.160000000003</v>
      </c>
      <c r="E32" s="41">
        <f t="shared" si="7"/>
        <v>64156.160000000003</v>
      </c>
      <c r="F32" s="41">
        <f t="shared" si="7"/>
        <v>64156.160000000003</v>
      </c>
      <c r="G32" s="41">
        <f t="shared" si="7"/>
        <v>64156.160000000003</v>
      </c>
      <c r="H32" s="41">
        <f t="shared" si="7"/>
        <v>64156.160000000003</v>
      </c>
      <c r="I32" s="41">
        <f t="shared" si="7"/>
        <v>64156.160000000003</v>
      </c>
      <c r="J32" s="41">
        <f t="shared" si="7"/>
        <v>64156.160000000003</v>
      </c>
      <c r="K32" s="41">
        <f t="shared" si="7"/>
        <v>64156.160000000003</v>
      </c>
      <c r="L32" s="41">
        <f t="shared" si="7"/>
        <v>64156.160000000003</v>
      </c>
      <c r="M32" s="41">
        <f t="shared" si="7"/>
        <v>64156.160000000003</v>
      </c>
      <c r="N32" s="41">
        <f t="shared" si="7"/>
        <v>64156.160000000003</v>
      </c>
      <c r="O32" s="41">
        <f t="shared" si="7"/>
        <v>64156.160000000003</v>
      </c>
      <c r="P32" s="41">
        <f t="shared" si="7"/>
        <v>64156.160000000003</v>
      </c>
      <c r="Q32" s="41">
        <f t="shared" si="7"/>
        <v>64156.160000000003</v>
      </c>
      <c r="R32" s="89">
        <f t="shared" si="7"/>
        <v>64156.160000000003</v>
      </c>
    </row>
    <row r="33" spans="1:18">
      <c r="A33" s="35"/>
      <c r="B33" s="33" t="s">
        <v>85</v>
      </c>
      <c r="C33" s="33">
        <v>0</v>
      </c>
      <c r="D33" s="33">
        <v>0</v>
      </c>
      <c r="E33" s="33">
        <v>0</v>
      </c>
      <c r="F33" s="33">
        <v>0</v>
      </c>
      <c r="G33" s="33">
        <v>0</v>
      </c>
      <c r="H33" s="33">
        <v>0</v>
      </c>
      <c r="I33" s="33">
        <v>0</v>
      </c>
      <c r="J33" s="33">
        <v>0</v>
      </c>
      <c r="K33" s="33">
        <v>0</v>
      </c>
      <c r="L33" s="33">
        <v>0</v>
      </c>
      <c r="M33" s="33">
        <v>0</v>
      </c>
      <c r="N33" s="33">
        <v>0</v>
      </c>
      <c r="O33" s="33">
        <v>0</v>
      </c>
      <c r="P33" s="33">
        <v>0</v>
      </c>
      <c r="Q33" s="33">
        <v>0</v>
      </c>
      <c r="R33" s="34">
        <v>0</v>
      </c>
    </row>
    <row r="34" spans="1:18">
      <c r="A34" s="35"/>
      <c r="B34" s="33" t="s">
        <v>86</v>
      </c>
      <c r="C34" s="38">
        <v>0.15</v>
      </c>
      <c r="D34" s="38">
        <v>0.15</v>
      </c>
      <c r="E34" s="38">
        <v>0.15</v>
      </c>
      <c r="F34" s="38">
        <v>0.15</v>
      </c>
      <c r="G34" s="38">
        <v>0.15</v>
      </c>
      <c r="H34" s="38">
        <v>0.15</v>
      </c>
      <c r="I34" s="38">
        <v>0.15</v>
      </c>
      <c r="J34" s="38">
        <v>0.15</v>
      </c>
      <c r="K34" s="38">
        <v>0.15</v>
      </c>
      <c r="L34" s="38">
        <v>0.15</v>
      </c>
      <c r="M34" s="38">
        <v>0.15</v>
      </c>
      <c r="N34" s="38">
        <v>0.15</v>
      </c>
      <c r="O34" s="38">
        <v>0.15</v>
      </c>
      <c r="P34" s="38">
        <v>0.15</v>
      </c>
      <c r="Q34" s="38">
        <v>0.15</v>
      </c>
      <c r="R34" s="39">
        <v>0.15</v>
      </c>
    </row>
    <row r="35" spans="1:18">
      <c r="A35" s="35"/>
      <c r="B35" s="33" t="s">
        <v>87</v>
      </c>
      <c r="C35" s="37">
        <f>(C32+C33)*(1+C34)</f>
        <v>73779.584000000003</v>
      </c>
      <c r="D35" s="37">
        <f t="shared" ref="D35:R35" si="8">(D32+D33)*(1+D34)</f>
        <v>73779.584000000003</v>
      </c>
      <c r="E35" s="37">
        <f t="shared" si="8"/>
        <v>73779.584000000003</v>
      </c>
      <c r="F35" s="37">
        <f t="shared" si="8"/>
        <v>73779.584000000003</v>
      </c>
      <c r="G35" s="37">
        <f t="shared" si="8"/>
        <v>73779.584000000003</v>
      </c>
      <c r="H35" s="37">
        <f t="shared" si="8"/>
        <v>73779.584000000003</v>
      </c>
      <c r="I35" s="37">
        <f t="shared" si="8"/>
        <v>73779.584000000003</v>
      </c>
      <c r="J35" s="37">
        <f t="shared" si="8"/>
        <v>73779.584000000003</v>
      </c>
      <c r="K35" s="37">
        <f t="shared" si="8"/>
        <v>73779.584000000003</v>
      </c>
      <c r="L35" s="37">
        <f t="shared" si="8"/>
        <v>73779.584000000003</v>
      </c>
      <c r="M35" s="37">
        <f t="shared" si="8"/>
        <v>73779.584000000003</v>
      </c>
      <c r="N35" s="37">
        <f t="shared" si="8"/>
        <v>73779.584000000003</v>
      </c>
      <c r="O35" s="37">
        <f t="shared" si="8"/>
        <v>73779.584000000003</v>
      </c>
      <c r="P35" s="37">
        <f t="shared" si="8"/>
        <v>73779.584000000003</v>
      </c>
      <c r="Q35" s="37">
        <f t="shared" si="8"/>
        <v>73779.584000000003</v>
      </c>
      <c r="R35" s="40">
        <f t="shared" si="8"/>
        <v>73779.584000000003</v>
      </c>
    </row>
    <row r="36" spans="1:18">
      <c r="A36" s="35"/>
      <c r="B36" s="33"/>
      <c r="C36" s="33"/>
      <c r="D36" s="33"/>
      <c r="E36" s="33"/>
      <c r="F36" s="33"/>
      <c r="G36" s="33"/>
      <c r="H36" s="33"/>
      <c r="I36" s="33"/>
      <c r="J36" s="33"/>
      <c r="K36" s="33"/>
      <c r="L36" s="33"/>
      <c r="M36" s="33"/>
      <c r="N36" s="33"/>
      <c r="O36" s="33"/>
      <c r="P36" s="33"/>
      <c r="Q36" s="33"/>
      <c r="R36" s="34"/>
    </row>
    <row r="37" spans="1:18">
      <c r="A37" s="43" t="s">
        <v>96</v>
      </c>
      <c r="B37" s="33" t="s">
        <v>87</v>
      </c>
      <c r="C37" s="37">
        <f>$B$38*'Airside Component Costs'!$C$7</f>
        <v>77887.199999999997</v>
      </c>
      <c r="D37" s="37">
        <f>$B$38*'Airside Component Costs'!$C$7</f>
        <v>77887.199999999997</v>
      </c>
      <c r="E37" s="37">
        <f>$B$38*'Airside Component Costs'!$C$7</f>
        <v>77887.199999999997</v>
      </c>
      <c r="F37" s="37">
        <f>$B$38*'Airside Component Costs'!$C$7</f>
        <v>77887.199999999997</v>
      </c>
      <c r="G37" s="37">
        <f>$B$38*'Airside Component Costs'!$C$7</f>
        <v>77887.199999999997</v>
      </c>
      <c r="H37" s="37">
        <f>$B$38*'Airside Component Costs'!$C$7</f>
        <v>77887.199999999997</v>
      </c>
      <c r="I37" s="37">
        <f>$B$38*'Airside Component Costs'!$C$7</f>
        <v>77887.199999999997</v>
      </c>
      <c r="J37" s="37">
        <f>$B$38*'Airside Component Costs'!$C$7</f>
        <v>77887.199999999997</v>
      </c>
      <c r="K37" s="37">
        <f>$B$38*'Airside Component Costs'!$C$7</f>
        <v>77887.199999999997</v>
      </c>
      <c r="L37" s="37">
        <f>$B$38*'Airside Component Costs'!$C$7</f>
        <v>77887.199999999997</v>
      </c>
      <c r="M37" s="37">
        <f>$B$38*'Airside Component Costs'!$C$7</f>
        <v>77887.199999999997</v>
      </c>
      <c r="N37" s="37">
        <f>$B$38*'Airside Component Costs'!$C$7</f>
        <v>77887.199999999997</v>
      </c>
      <c r="O37" s="37">
        <f>$B$38*'Airside Component Costs'!$C$7</f>
        <v>77887.199999999997</v>
      </c>
      <c r="P37" s="37">
        <f>$B$38*'Airside Component Costs'!$C$7</f>
        <v>77887.199999999997</v>
      </c>
      <c r="Q37" s="37">
        <f>$B$38*'Airside Component Costs'!$C$7</f>
        <v>77887.199999999997</v>
      </c>
      <c r="R37" s="40">
        <f>$B$38*'Airside Component Costs'!$C$7</f>
        <v>77887.199999999997</v>
      </c>
    </row>
    <row r="38" spans="1:18">
      <c r="A38" s="35" t="s">
        <v>97</v>
      </c>
      <c r="B38" s="51">
        <v>24</v>
      </c>
      <c r="C38" s="33"/>
      <c r="D38" s="33"/>
      <c r="E38" s="33"/>
      <c r="F38" s="33"/>
      <c r="G38" s="33"/>
      <c r="H38" s="33"/>
      <c r="I38" s="33"/>
      <c r="J38" s="33"/>
      <c r="K38" s="33"/>
      <c r="L38" s="33"/>
      <c r="M38" s="33"/>
      <c r="N38" s="33"/>
      <c r="O38" s="33"/>
      <c r="P38" s="33"/>
      <c r="Q38" s="33"/>
      <c r="R38" s="34"/>
    </row>
    <row r="39" spans="1:18">
      <c r="A39" s="35"/>
      <c r="B39" s="33"/>
      <c r="C39" s="33"/>
      <c r="D39" s="33"/>
      <c r="E39" s="33"/>
      <c r="F39" s="33"/>
      <c r="G39" s="33"/>
      <c r="H39" s="33"/>
      <c r="I39" s="33"/>
      <c r="J39" s="33"/>
      <c r="K39" s="33"/>
      <c r="L39" s="33"/>
      <c r="M39" s="33"/>
      <c r="N39" s="33"/>
      <c r="O39" s="33"/>
      <c r="P39" s="33"/>
      <c r="Q39" s="33"/>
      <c r="R39" s="34"/>
    </row>
    <row r="40" spans="1:18">
      <c r="A40" s="43" t="s">
        <v>98</v>
      </c>
      <c r="B40" s="33" t="s">
        <v>99</v>
      </c>
      <c r="C40" s="49">
        <f>ROUNDUP(C7*'Plant Equipment Costs'!$C$65/2,0)*2</f>
        <v>2</v>
      </c>
      <c r="D40" s="49">
        <f>ROUNDUP(D7*'Plant Equipment Costs'!$C$65/2,0)*2</f>
        <v>2</v>
      </c>
      <c r="E40" s="49">
        <f>ROUNDUP(E7*'Plant Equipment Costs'!$C$65/2,0)*2</f>
        <v>2</v>
      </c>
      <c r="F40" s="49">
        <f>ROUNDUP(F7*'Plant Equipment Costs'!$C$65/2,0)*2</f>
        <v>2</v>
      </c>
      <c r="G40" s="49">
        <f>ROUNDUP(G7*'Plant Equipment Costs'!$C$65/2,0)*2</f>
        <v>2</v>
      </c>
      <c r="H40" s="49">
        <f>ROUNDUP(H7*'Plant Equipment Costs'!$C$65/2,0)*2</f>
        <v>2</v>
      </c>
      <c r="I40" s="49">
        <f>ROUNDUP(I7*'Plant Equipment Costs'!$C$65/2,0)*2</f>
        <v>2</v>
      </c>
      <c r="J40" s="49">
        <f>ROUNDUP(J7*'Plant Equipment Costs'!$C$65/2,0)*2</f>
        <v>2</v>
      </c>
      <c r="K40" s="49">
        <f>ROUNDUP(K7*'Plant Equipment Costs'!$C$65/2,0)*2</f>
        <v>2</v>
      </c>
      <c r="L40" s="49">
        <f>ROUNDUP(L7*'Plant Equipment Costs'!$C$65/2,0)*2</f>
        <v>2</v>
      </c>
      <c r="M40" s="49">
        <f>ROUNDUP(M7*'Plant Equipment Costs'!$C$65/2,0)*2</f>
        <v>2</v>
      </c>
      <c r="N40" s="49">
        <f>ROUNDUP(N7*'Plant Equipment Costs'!$C$65/2,0)*2</f>
        <v>2</v>
      </c>
      <c r="O40" s="49">
        <f>ROUNDUP(O7*'Plant Equipment Costs'!$C$65/2,0)*2</f>
        <v>2</v>
      </c>
      <c r="P40" s="49">
        <f>ROUNDUP(P7*'Plant Equipment Costs'!$C$65/2,0)*2</f>
        <v>2</v>
      </c>
      <c r="Q40" s="49">
        <f>ROUNDUP(Q7*'Plant Equipment Costs'!$C$65/2,0)*2</f>
        <v>2</v>
      </c>
      <c r="R40" s="91">
        <f>ROUNDUP(R7*'Plant Equipment Costs'!$C$65/2,0)*2</f>
        <v>2</v>
      </c>
    </row>
    <row r="41" spans="1:18">
      <c r="A41" s="35"/>
      <c r="B41" s="33" t="s">
        <v>87</v>
      </c>
      <c r="C41" s="41">
        <f>9113.3+750.7*C40</f>
        <v>10614.699999999999</v>
      </c>
      <c r="D41" s="41">
        <f t="shared" ref="D41:R41" si="9">9113.3+750.7*D40</f>
        <v>10614.699999999999</v>
      </c>
      <c r="E41" s="41">
        <f t="shared" si="9"/>
        <v>10614.699999999999</v>
      </c>
      <c r="F41" s="41">
        <f t="shared" si="9"/>
        <v>10614.699999999999</v>
      </c>
      <c r="G41" s="41">
        <f t="shared" si="9"/>
        <v>10614.699999999999</v>
      </c>
      <c r="H41" s="41">
        <f t="shared" si="9"/>
        <v>10614.699999999999</v>
      </c>
      <c r="I41" s="41">
        <f t="shared" si="9"/>
        <v>10614.699999999999</v>
      </c>
      <c r="J41" s="41">
        <f t="shared" si="9"/>
        <v>10614.699999999999</v>
      </c>
      <c r="K41" s="41">
        <f t="shared" si="9"/>
        <v>10614.699999999999</v>
      </c>
      <c r="L41" s="41">
        <f t="shared" si="9"/>
        <v>10614.699999999999</v>
      </c>
      <c r="M41" s="41">
        <f t="shared" si="9"/>
        <v>10614.699999999999</v>
      </c>
      <c r="N41" s="41">
        <f t="shared" si="9"/>
        <v>10614.699999999999</v>
      </c>
      <c r="O41" s="41">
        <f t="shared" si="9"/>
        <v>10614.699999999999</v>
      </c>
      <c r="P41" s="41">
        <f t="shared" si="9"/>
        <v>10614.699999999999</v>
      </c>
      <c r="Q41" s="41">
        <f t="shared" si="9"/>
        <v>10614.699999999999</v>
      </c>
      <c r="R41" s="89">
        <f t="shared" si="9"/>
        <v>10614.699999999999</v>
      </c>
    </row>
    <row r="42" spans="1:18">
      <c r="A42" s="35"/>
      <c r="B42" s="33"/>
      <c r="C42" s="33"/>
      <c r="D42" s="33"/>
      <c r="E42" s="33"/>
      <c r="F42" s="33"/>
      <c r="G42" s="33"/>
      <c r="H42" s="33"/>
      <c r="I42" s="33"/>
      <c r="J42" s="33"/>
      <c r="K42" s="33"/>
      <c r="L42" s="33"/>
      <c r="M42" s="33"/>
      <c r="N42" s="33"/>
      <c r="O42" s="33"/>
      <c r="P42" s="33"/>
      <c r="Q42" s="33"/>
      <c r="R42" s="34"/>
    </row>
    <row r="43" spans="1:18">
      <c r="A43" s="43" t="s">
        <v>100</v>
      </c>
      <c r="B43" s="33" t="s">
        <v>101</v>
      </c>
      <c r="C43" s="42">
        <f>SUMIF($B7:$B41,$B$41,C7:C41)</f>
        <v>673246.42269999988</v>
      </c>
      <c r="D43" s="42">
        <f t="shared" ref="D43:R43" si="10">SUMIF($B7:$B41,$B$41,D7:D41)</f>
        <v>684959.81071999983</v>
      </c>
      <c r="E43" s="42">
        <f t="shared" si="10"/>
        <v>678780.53526999988</v>
      </c>
      <c r="F43" s="42">
        <f t="shared" si="10"/>
        <v>687297.43779999996</v>
      </c>
      <c r="G43" s="42">
        <f t="shared" si="10"/>
        <v>681947.68218999985</v>
      </c>
      <c r="H43" s="42">
        <f t="shared" si="10"/>
        <v>682887.29095499986</v>
      </c>
      <c r="I43" s="42">
        <f t="shared" si="10"/>
        <v>677677.58797999984</v>
      </c>
      <c r="J43" s="42">
        <f t="shared" si="10"/>
        <v>686964.82835999993</v>
      </c>
      <c r="K43" s="42">
        <f t="shared" si="10"/>
        <v>686305.41295499983</v>
      </c>
      <c r="L43" s="42">
        <f t="shared" si="10"/>
        <v>687671.58569999994</v>
      </c>
      <c r="M43" s="42">
        <f t="shared" si="10"/>
        <v>688922.19471499987</v>
      </c>
      <c r="N43" s="42">
        <f t="shared" si="10"/>
        <v>679521.53132999991</v>
      </c>
      <c r="O43" s="42">
        <f t="shared" si="10"/>
        <v>680916.04478999984</v>
      </c>
      <c r="P43" s="42">
        <f t="shared" si="10"/>
        <v>688874.48972499988</v>
      </c>
      <c r="Q43" s="42">
        <f t="shared" si="10"/>
        <v>690975.22991499992</v>
      </c>
      <c r="R43" s="92">
        <f t="shared" si="10"/>
        <v>688612.71970999986</v>
      </c>
    </row>
    <row r="44" spans="1:18">
      <c r="A44" s="35"/>
      <c r="B44" s="33"/>
      <c r="C44" s="33"/>
      <c r="D44" s="33"/>
      <c r="E44" s="33"/>
      <c r="F44" s="33"/>
      <c r="G44" s="33"/>
      <c r="H44" s="33"/>
      <c r="I44" s="33"/>
      <c r="J44" s="33"/>
      <c r="K44" s="33"/>
      <c r="L44" s="33"/>
      <c r="M44" s="33"/>
      <c r="N44" s="33"/>
      <c r="O44" s="33"/>
      <c r="P44" s="33"/>
      <c r="Q44" s="33"/>
      <c r="R44" s="34"/>
    </row>
    <row r="45" spans="1:18">
      <c r="A45" s="35"/>
      <c r="B45" s="33" t="s">
        <v>102</v>
      </c>
      <c r="C45" s="41">
        <f t="shared" ref="C45:R45" si="11">2.25*$D$1</f>
        <v>54909</v>
      </c>
      <c r="D45" s="41">
        <f t="shared" si="11"/>
        <v>54909</v>
      </c>
      <c r="E45" s="41">
        <f t="shared" si="11"/>
        <v>54909</v>
      </c>
      <c r="F45" s="41">
        <f t="shared" si="11"/>
        <v>54909</v>
      </c>
      <c r="G45" s="41">
        <f t="shared" si="11"/>
        <v>54909</v>
      </c>
      <c r="H45" s="41">
        <f t="shared" si="11"/>
        <v>54909</v>
      </c>
      <c r="I45" s="41">
        <f t="shared" si="11"/>
        <v>54909</v>
      </c>
      <c r="J45" s="41">
        <f t="shared" si="11"/>
        <v>54909</v>
      </c>
      <c r="K45" s="41">
        <f t="shared" si="11"/>
        <v>54909</v>
      </c>
      <c r="L45" s="41">
        <f t="shared" si="11"/>
        <v>54909</v>
      </c>
      <c r="M45" s="41">
        <f t="shared" si="11"/>
        <v>54909</v>
      </c>
      <c r="N45" s="41">
        <f t="shared" si="11"/>
        <v>54909</v>
      </c>
      <c r="O45" s="41">
        <f t="shared" si="11"/>
        <v>54909</v>
      </c>
      <c r="P45" s="41">
        <f t="shared" si="11"/>
        <v>54909</v>
      </c>
      <c r="Q45" s="41">
        <f t="shared" si="11"/>
        <v>54909</v>
      </c>
      <c r="R45" s="89">
        <f t="shared" si="11"/>
        <v>54909</v>
      </c>
    </row>
    <row r="46" spans="1:18">
      <c r="A46" s="35"/>
      <c r="B46" s="33" t="s">
        <v>103</v>
      </c>
      <c r="C46" s="41">
        <f>100*160</f>
        <v>16000</v>
      </c>
      <c r="D46" s="41">
        <f t="shared" ref="D46:R46" si="12">100*160</f>
        <v>16000</v>
      </c>
      <c r="E46" s="41">
        <f t="shared" si="12"/>
        <v>16000</v>
      </c>
      <c r="F46" s="41">
        <f t="shared" si="12"/>
        <v>16000</v>
      </c>
      <c r="G46" s="41">
        <f t="shared" si="12"/>
        <v>16000</v>
      </c>
      <c r="H46" s="41">
        <f t="shared" si="12"/>
        <v>16000</v>
      </c>
      <c r="I46" s="41">
        <f t="shared" si="12"/>
        <v>16000</v>
      </c>
      <c r="J46" s="41">
        <f t="shared" si="12"/>
        <v>16000</v>
      </c>
      <c r="K46" s="41">
        <f t="shared" si="12"/>
        <v>16000</v>
      </c>
      <c r="L46" s="41">
        <f t="shared" si="12"/>
        <v>16000</v>
      </c>
      <c r="M46" s="41">
        <f t="shared" si="12"/>
        <v>16000</v>
      </c>
      <c r="N46" s="41">
        <f t="shared" si="12"/>
        <v>16000</v>
      </c>
      <c r="O46" s="41">
        <f t="shared" si="12"/>
        <v>16000</v>
      </c>
      <c r="P46" s="41">
        <f t="shared" si="12"/>
        <v>16000</v>
      </c>
      <c r="Q46" s="41">
        <f t="shared" si="12"/>
        <v>16000</v>
      </c>
      <c r="R46" s="89">
        <f t="shared" si="12"/>
        <v>16000</v>
      </c>
    </row>
    <row r="47" spans="1:18">
      <c r="A47" s="35"/>
      <c r="B47" s="33" t="s">
        <v>87</v>
      </c>
      <c r="C47" s="41">
        <f>C45+C46</f>
        <v>70909</v>
      </c>
      <c r="D47" s="41">
        <f t="shared" ref="D47:R47" si="13">D45+D46</f>
        <v>70909</v>
      </c>
      <c r="E47" s="41">
        <f t="shared" si="13"/>
        <v>70909</v>
      </c>
      <c r="F47" s="41">
        <f t="shared" si="13"/>
        <v>70909</v>
      </c>
      <c r="G47" s="41">
        <f t="shared" si="13"/>
        <v>70909</v>
      </c>
      <c r="H47" s="41">
        <f t="shared" si="13"/>
        <v>70909</v>
      </c>
      <c r="I47" s="41">
        <f t="shared" si="13"/>
        <v>70909</v>
      </c>
      <c r="J47" s="41">
        <f t="shared" si="13"/>
        <v>70909</v>
      </c>
      <c r="K47" s="41">
        <f t="shared" si="13"/>
        <v>70909</v>
      </c>
      <c r="L47" s="41">
        <f t="shared" si="13"/>
        <v>70909</v>
      </c>
      <c r="M47" s="41">
        <f t="shared" si="13"/>
        <v>70909</v>
      </c>
      <c r="N47" s="41">
        <f t="shared" si="13"/>
        <v>70909</v>
      </c>
      <c r="O47" s="41">
        <f t="shared" si="13"/>
        <v>70909</v>
      </c>
      <c r="P47" s="41">
        <f t="shared" si="13"/>
        <v>70909</v>
      </c>
      <c r="Q47" s="41">
        <f t="shared" si="13"/>
        <v>70909</v>
      </c>
      <c r="R47" s="89">
        <f t="shared" si="13"/>
        <v>70909</v>
      </c>
    </row>
    <row r="48" spans="1:18">
      <c r="A48" s="35"/>
      <c r="B48" s="33"/>
      <c r="C48" s="33"/>
      <c r="D48" s="33"/>
      <c r="E48" s="33"/>
      <c r="F48" s="33"/>
      <c r="G48" s="33"/>
      <c r="H48" s="33"/>
      <c r="I48" s="33"/>
      <c r="J48" s="33"/>
      <c r="K48" s="33"/>
      <c r="L48" s="33"/>
      <c r="M48" s="33"/>
      <c r="N48" s="33"/>
      <c r="O48" s="33"/>
      <c r="P48" s="33"/>
      <c r="Q48" s="33"/>
      <c r="R48" s="34"/>
    </row>
    <row r="49" spans="1:18">
      <c r="A49" s="43" t="s">
        <v>104</v>
      </c>
      <c r="B49" s="33" t="s">
        <v>105</v>
      </c>
      <c r="C49" s="42">
        <f>C43+C47</f>
        <v>744155.42269999988</v>
      </c>
      <c r="D49" s="42">
        <f t="shared" ref="D49:R49" si="14">D43+D47</f>
        <v>755868.81071999983</v>
      </c>
      <c r="E49" s="42">
        <f t="shared" si="14"/>
        <v>749689.53526999988</v>
      </c>
      <c r="F49" s="42">
        <f t="shared" si="14"/>
        <v>758206.43779999996</v>
      </c>
      <c r="G49" s="42">
        <f t="shared" si="14"/>
        <v>752856.68218999985</v>
      </c>
      <c r="H49" s="42">
        <f t="shared" si="14"/>
        <v>753796.29095499986</v>
      </c>
      <c r="I49" s="42">
        <f t="shared" si="14"/>
        <v>748586.58797999984</v>
      </c>
      <c r="J49" s="42">
        <f t="shared" si="14"/>
        <v>757873.82835999993</v>
      </c>
      <c r="K49" s="42">
        <f t="shared" si="14"/>
        <v>757214.41295499983</v>
      </c>
      <c r="L49" s="42">
        <f t="shared" si="14"/>
        <v>758580.58569999994</v>
      </c>
      <c r="M49" s="42">
        <f t="shared" si="14"/>
        <v>759831.19471499987</v>
      </c>
      <c r="N49" s="42">
        <f t="shared" si="14"/>
        <v>750430.53132999991</v>
      </c>
      <c r="O49" s="42">
        <f t="shared" si="14"/>
        <v>751825.04478999984</v>
      </c>
      <c r="P49" s="42">
        <f t="shared" si="14"/>
        <v>759783.48972499988</v>
      </c>
      <c r="Q49" s="42">
        <f t="shared" si="14"/>
        <v>761884.22991499992</v>
      </c>
      <c r="R49" s="92">
        <f t="shared" si="14"/>
        <v>759521.71970999986</v>
      </c>
    </row>
    <row r="50" spans="1:18">
      <c r="A50" s="93"/>
      <c r="B50" s="94"/>
      <c r="C50" s="95"/>
      <c r="D50" s="95"/>
      <c r="E50" s="95"/>
      <c r="F50" s="95"/>
      <c r="G50" s="95"/>
      <c r="H50" s="95"/>
      <c r="I50" s="95"/>
      <c r="J50" s="95"/>
      <c r="K50" s="95"/>
      <c r="L50" s="95"/>
      <c r="M50" s="95"/>
      <c r="N50" s="95"/>
      <c r="O50" s="95"/>
      <c r="P50" s="95"/>
      <c r="Q50" s="95"/>
      <c r="R50" s="96"/>
    </row>
    <row r="54" spans="1:18" ht="21">
      <c r="A54" s="17"/>
      <c r="B54" s="18" t="s">
        <v>106</v>
      </c>
      <c r="C54" s="19"/>
      <c r="D54" s="19"/>
      <c r="E54" s="19"/>
      <c r="F54" s="19"/>
      <c r="G54" s="19"/>
      <c r="H54" s="19"/>
      <c r="I54" s="19"/>
      <c r="J54" s="19"/>
      <c r="K54" s="19"/>
      <c r="L54" s="19"/>
      <c r="M54" s="19"/>
      <c r="N54" s="19"/>
      <c r="O54" s="19"/>
      <c r="P54" s="19"/>
      <c r="Q54" s="19"/>
      <c r="R54" s="20"/>
    </row>
    <row r="55" spans="1:18">
      <c r="A55" s="21"/>
      <c r="B55" s="22"/>
      <c r="C55" s="22" t="s">
        <v>65</v>
      </c>
      <c r="D55" s="22" t="s">
        <v>66</v>
      </c>
      <c r="E55" s="22" t="s">
        <v>67</v>
      </c>
      <c r="F55" s="22" t="s">
        <v>68</v>
      </c>
      <c r="G55" s="22" t="s">
        <v>69</v>
      </c>
      <c r="H55" s="22" t="s">
        <v>70</v>
      </c>
      <c r="I55" s="22" t="s">
        <v>71</v>
      </c>
      <c r="J55" s="22" t="s">
        <v>72</v>
      </c>
      <c r="K55" s="22" t="s">
        <v>73</v>
      </c>
      <c r="L55" s="22" t="s">
        <v>74</v>
      </c>
      <c r="M55" s="22" t="s">
        <v>75</v>
      </c>
      <c r="N55" s="22" t="s">
        <v>76</v>
      </c>
      <c r="O55" s="22" t="s">
        <v>77</v>
      </c>
      <c r="P55" s="22" t="s">
        <v>78</v>
      </c>
      <c r="Q55" s="22" t="s">
        <v>79</v>
      </c>
      <c r="R55" s="23" t="s">
        <v>80</v>
      </c>
    </row>
    <row r="56" spans="1:18">
      <c r="A56" s="43" t="s">
        <v>27</v>
      </c>
      <c r="B56" s="22" t="s">
        <v>82</v>
      </c>
      <c r="C56" s="100">
        <v>32.21</v>
      </c>
      <c r="D56" s="100">
        <v>48.1</v>
      </c>
      <c r="E56" s="100">
        <v>39.72</v>
      </c>
      <c r="F56" s="100">
        <v>50.3</v>
      </c>
      <c r="G56" s="100">
        <v>39.090000000000003</v>
      </c>
      <c r="H56" s="100">
        <v>43.99</v>
      </c>
      <c r="I56" s="100">
        <v>47.17</v>
      </c>
      <c r="J56" s="100">
        <v>50.14</v>
      </c>
      <c r="K56" s="100">
        <v>46.07</v>
      </c>
      <c r="L56" s="100">
        <v>47.54</v>
      </c>
      <c r="M56" s="100">
        <v>50.02</v>
      </c>
      <c r="N56" s="100">
        <v>42.83</v>
      </c>
      <c r="O56" s="100">
        <v>46.26</v>
      </c>
      <c r="P56" s="100">
        <v>48.45</v>
      </c>
      <c r="Q56" s="100">
        <v>57.19</v>
      </c>
      <c r="R56" s="101">
        <v>48.02</v>
      </c>
    </row>
    <row r="57" spans="1:18">
      <c r="A57" s="21"/>
      <c r="B57" s="22" t="s">
        <v>83</v>
      </c>
      <c r="C57" s="22"/>
      <c r="D57" s="22"/>
      <c r="E57" s="22"/>
      <c r="F57" s="22"/>
      <c r="G57" s="22"/>
      <c r="H57" s="22"/>
      <c r="I57" s="22"/>
      <c r="J57" s="22"/>
      <c r="K57" s="22"/>
      <c r="L57" s="22"/>
      <c r="M57" s="22"/>
      <c r="N57" s="22"/>
      <c r="O57" s="22"/>
      <c r="P57" s="22"/>
      <c r="Q57" s="22"/>
      <c r="R57" s="23"/>
    </row>
    <row r="58" spans="1:18">
      <c r="A58" s="21"/>
      <c r="B58" s="22" t="s">
        <v>107</v>
      </c>
      <c r="C58" s="24">
        <v>1619.5</v>
      </c>
      <c r="D58" s="24">
        <v>1619.5</v>
      </c>
      <c r="E58" s="24">
        <v>1619.5</v>
      </c>
      <c r="F58" s="24">
        <v>1619.5</v>
      </c>
      <c r="G58" s="24">
        <v>1619.5</v>
      </c>
      <c r="H58" s="24">
        <v>1619.5</v>
      </c>
      <c r="I58" s="24">
        <v>1619.5</v>
      </c>
      <c r="J58" s="24">
        <v>1619.5</v>
      </c>
      <c r="K58" s="24">
        <v>1619.5</v>
      </c>
      <c r="L58" s="24">
        <v>1619.5</v>
      </c>
      <c r="M58" s="24">
        <v>1619.5</v>
      </c>
      <c r="N58" s="24">
        <v>1619.5</v>
      </c>
      <c r="O58" s="24">
        <v>1619.5</v>
      </c>
      <c r="P58" s="24">
        <v>1619.5</v>
      </c>
      <c r="Q58" s="24">
        <v>1619.5</v>
      </c>
      <c r="R58" s="73">
        <v>1619.5</v>
      </c>
    </row>
    <row r="59" spans="1:18">
      <c r="A59" s="21"/>
      <c r="B59" s="22" t="s">
        <v>108</v>
      </c>
      <c r="C59" s="24">
        <v>721.9</v>
      </c>
      <c r="D59" s="24">
        <v>721.9</v>
      </c>
      <c r="E59" s="24">
        <v>721.9</v>
      </c>
      <c r="F59" s="24">
        <v>721.9</v>
      </c>
      <c r="G59" s="24">
        <v>721.9</v>
      </c>
      <c r="H59" s="24">
        <v>721.9</v>
      </c>
      <c r="I59" s="24">
        <v>721.9</v>
      </c>
      <c r="J59" s="24">
        <v>721.9</v>
      </c>
      <c r="K59" s="24">
        <v>721.9</v>
      </c>
      <c r="L59" s="24">
        <v>721.9</v>
      </c>
      <c r="M59" s="24">
        <v>721.9</v>
      </c>
      <c r="N59" s="24">
        <v>721.9</v>
      </c>
      <c r="O59" s="24">
        <v>721.9</v>
      </c>
      <c r="P59" s="24">
        <v>721.9</v>
      </c>
      <c r="Q59" s="24">
        <v>721.9</v>
      </c>
      <c r="R59" s="73">
        <v>721.9</v>
      </c>
    </row>
    <row r="60" spans="1:18">
      <c r="A60" s="21"/>
      <c r="B60" s="22" t="s">
        <v>109</v>
      </c>
      <c r="C60" s="26">
        <v>0.15</v>
      </c>
      <c r="D60" s="26">
        <v>0.15</v>
      </c>
      <c r="E60" s="26">
        <v>0.15</v>
      </c>
      <c r="F60" s="26">
        <v>0.15</v>
      </c>
      <c r="G60" s="26">
        <v>0.15</v>
      </c>
      <c r="H60" s="26">
        <v>0.15</v>
      </c>
      <c r="I60" s="26">
        <v>0.15</v>
      </c>
      <c r="J60" s="26">
        <v>0.15</v>
      </c>
      <c r="K60" s="26">
        <v>0.15</v>
      </c>
      <c r="L60" s="26">
        <v>0.15</v>
      </c>
      <c r="M60" s="26">
        <v>0.15</v>
      </c>
      <c r="N60" s="26">
        <v>0.15</v>
      </c>
      <c r="O60" s="26">
        <v>0.15</v>
      </c>
      <c r="P60" s="26">
        <v>0.15</v>
      </c>
      <c r="Q60" s="26">
        <v>0.15</v>
      </c>
      <c r="R60" s="27">
        <v>0.15</v>
      </c>
    </row>
    <row r="61" spans="1:18">
      <c r="A61" s="21"/>
      <c r="B61" s="22" t="s">
        <v>87</v>
      </c>
      <c r="C61" s="24">
        <f>(C58+C59)*C56*(1+C60)</f>
        <v>86728.968099999998</v>
      </c>
      <c r="D61" s="24">
        <f t="shared" ref="D61:R61" si="15">(D58+D59)*D56*(1+D60)</f>
        <v>129514.541</v>
      </c>
      <c r="E61" s="24">
        <f t="shared" si="15"/>
        <v>106950.46919999999</v>
      </c>
      <c r="F61" s="24">
        <f t="shared" si="15"/>
        <v>135438.283</v>
      </c>
      <c r="G61" s="24">
        <f t="shared" si="15"/>
        <v>105254.12490000001</v>
      </c>
      <c r="H61" s="24">
        <f t="shared" si="15"/>
        <v>118447.9139</v>
      </c>
      <c r="I61" s="24">
        <f t="shared" si="15"/>
        <v>127010.41369999999</v>
      </c>
      <c r="J61" s="24">
        <f t="shared" si="15"/>
        <v>135007.46539999999</v>
      </c>
      <c r="K61" s="24">
        <f t="shared" si="15"/>
        <v>124048.54270000001</v>
      </c>
      <c r="L61" s="24">
        <f t="shared" si="15"/>
        <v>128006.67939999999</v>
      </c>
      <c r="M61" s="24">
        <f t="shared" si="15"/>
        <v>134684.35219999999</v>
      </c>
      <c r="N61" s="24">
        <f t="shared" si="15"/>
        <v>115324.48629999999</v>
      </c>
      <c r="O61" s="24">
        <f t="shared" si="15"/>
        <v>124560.13859999999</v>
      </c>
      <c r="P61" s="24">
        <f t="shared" si="15"/>
        <v>130456.95450000001</v>
      </c>
      <c r="Q61" s="24">
        <f t="shared" si="15"/>
        <v>153990.36589999998</v>
      </c>
      <c r="R61" s="73">
        <f t="shared" si="15"/>
        <v>129299.13219999999</v>
      </c>
    </row>
    <row r="62" spans="1:18">
      <c r="A62" s="21"/>
      <c r="B62" s="22"/>
      <c r="C62" s="22"/>
      <c r="D62" s="22"/>
      <c r="E62" s="22"/>
      <c r="F62" s="22"/>
      <c r="G62" s="22"/>
      <c r="H62" s="22"/>
      <c r="I62" s="22"/>
      <c r="J62" s="22"/>
      <c r="K62" s="22"/>
      <c r="L62" s="22"/>
      <c r="M62" s="22"/>
      <c r="N62" s="22"/>
      <c r="O62" s="22"/>
      <c r="P62" s="22"/>
      <c r="Q62" s="22"/>
      <c r="R62" s="23"/>
    </row>
    <row r="63" spans="1:18">
      <c r="A63" s="43" t="s">
        <v>110</v>
      </c>
      <c r="B63" s="22" t="s">
        <v>83</v>
      </c>
      <c r="C63" s="22">
        <f>C56</f>
        <v>32.21</v>
      </c>
      <c r="D63" s="22">
        <f t="shared" ref="D63:R63" si="16">D56</f>
        <v>48.1</v>
      </c>
      <c r="E63" s="22">
        <f t="shared" si="16"/>
        <v>39.72</v>
      </c>
      <c r="F63" s="22">
        <f t="shared" si="16"/>
        <v>50.3</v>
      </c>
      <c r="G63" s="22">
        <f t="shared" si="16"/>
        <v>39.090000000000003</v>
      </c>
      <c r="H63" s="22">
        <f t="shared" si="16"/>
        <v>43.99</v>
      </c>
      <c r="I63" s="22">
        <f t="shared" si="16"/>
        <v>47.17</v>
      </c>
      <c r="J63" s="22">
        <f t="shared" si="16"/>
        <v>50.14</v>
      </c>
      <c r="K63" s="22">
        <f t="shared" si="16"/>
        <v>46.07</v>
      </c>
      <c r="L63" s="22">
        <f t="shared" si="16"/>
        <v>47.54</v>
      </c>
      <c r="M63" s="22">
        <f t="shared" si="16"/>
        <v>50.02</v>
      </c>
      <c r="N63" s="22">
        <f t="shared" si="16"/>
        <v>42.83</v>
      </c>
      <c r="O63" s="22">
        <f t="shared" si="16"/>
        <v>46.26</v>
      </c>
      <c r="P63" s="22">
        <f t="shared" si="16"/>
        <v>48.45</v>
      </c>
      <c r="Q63" s="22">
        <f t="shared" si="16"/>
        <v>57.19</v>
      </c>
      <c r="R63" s="23">
        <f t="shared" si="16"/>
        <v>48.02</v>
      </c>
    </row>
    <row r="64" spans="1:18">
      <c r="A64" s="21"/>
      <c r="B64" s="22" t="s">
        <v>87</v>
      </c>
      <c r="C64" s="24">
        <f>C63*317</f>
        <v>10210.57</v>
      </c>
      <c r="D64" s="24">
        <f t="shared" ref="D64:R64" si="17">D63*317</f>
        <v>15247.7</v>
      </c>
      <c r="E64" s="24">
        <f t="shared" si="17"/>
        <v>12591.24</v>
      </c>
      <c r="F64" s="24">
        <f t="shared" si="17"/>
        <v>15945.099999999999</v>
      </c>
      <c r="G64" s="24">
        <f t="shared" si="17"/>
        <v>12391.53</v>
      </c>
      <c r="H64" s="24">
        <f t="shared" si="17"/>
        <v>13944.83</v>
      </c>
      <c r="I64" s="24">
        <f t="shared" si="17"/>
        <v>14952.890000000001</v>
      </c>
      <c r="J64" s="24">
        <f t="shared" si="17"/>
        <v>15894.380000000001</v>
      </c>
      <c r="K64" s="24">
        <f t="shared" si="17"/>
        <v>14604.19</v>
      </c>
      <c r="L64" s="24">
        <f t="shared" si="17"/>
        <v>15070.18</v>
      </c>
      <c r="M64" s="24">
        <f t="shared" si="17"/>
        <v>15856.34</v>
      </c>
      <c r="N64" s="24">
        <f t="shared" si="17"/>
        <v>13577.109999999999</v>
      </c>
      <c r="O64" s="24">
        <f t="shared" si="17"/>
        <v>14664.42</v>
      </c>
      <c r="P64" s="24">
        <f t="shared" si="17"/>
        <v>15358.650000000001</v>
      </c>
      <c r="Q64" s="24">
        <f t="shared" si="17"/>
        <v>18129.23</v>
      </c>
      <c r="R64" s="73">
        <f t="shared" si="17"/>
        <v>15222.34</v>
      </c>
    </row>
    <row r="65" spans="1:18">
      <c r="A65" s="21"/>
      <c r="B65" s="22"/>
      <c r="C65" s="22"/>
      <c r="D65" s="22"/>
      <c r="E65" s="22"/>
      <c r="F65" s="22"/>
      <c r="G65" s="22"/>
      <c r="H65" s="22"/>
      <c r="I65" s="22"/>
      <c r="J65" s="22"/>
      <c r="K65" s="22"/>
      <c r="L65" s="22"/>
      <c r="M65" s="22"/>
      <c r="N65" s="22"/>
      <c r="O65" s="22"/>
      <c r="P65" s="22"/>
      <c r="Q65" s="22"/>
      <c r="R65" s="23"/>
    </row>
    <row r="66" spans="1:18">
      <c r="A66" s="43" t="s">
        <v>111</v>
      </c>
      <c r="B66" s="22" t="s">
        <v>82</v>
      </c>
      <c r="C66" s="102">
        <f>C56</f>
        <v>32.21</v>
      </c>
      <c r="D66" s="102">
        <f t="shared" ref="D66:R66" si="18">D56</f>
        <v>48.1</v>
      </c>
      <c r="E66" s="102">
        <f t="shared" si="18"/>
        <v>39.72</v>
      </c>
      <c r="F66" s="103">
        <f t="shared" si="18"/>
        <v>50.3</v>
      </c>
      <c r="G66" s="102">
        <f t="shared" si="18"/>
        <v>39.090000000000003</v>
      </c>
      <c r="H66" s="103">
        <f t="shared" si="18"/>
        <v>43.99</v>
      </c>
      <c r="I66" s="102">
        <f t="shared" si="18"/>
        <v>47.17</v>
      </c>
      <c r="J66" s="102">
        <f t="shared" si="18"/>
        <v>50.14</v>
      </c>
      <c r="K66" s="102">
        <f t="shared" si="18"/>
        <v>46.07</v>
      </c>
      <c r="L66" s="102">
        <f t="shared" si="18"/>
        <v>47.54</v>
      </c>
      <c r="M66" s="102">
        <f t="shared" si="18"/>
        <v>50.02</v>
      </c>
      <c r="N66" s="102">
        <f t="shared" si="18"/>
        <v>42.83</v>
      </c>
      <c r="O66" s="102">
        <f t="shared" si="18"/>
        <v>46.26</v>
      </c>
      <c r="P66" s="102">
        <f t="shared" si="18"/>
        <v>48.45</v>
      </c>
      <c r="Q66" s="102">
        <f t="shared" si="18"/>
        <v>57.19</v>
      </c>
      <c r="R66" s="104">
        <f t="shared" si="18"/>
        <v>48.02</v>
      </c>
    </row>
    <row r="67" spans="1:18">
      <c r="A67" s="21"/>
      <c r="B67" s="22" t="s">
        <v>83</v>
      </c>
      <c r="C67" s="22"/>
      <c r="D67" s="22"/>
      <c r="E67" s="22"/>
      <c r="F67" s="22"/>
      <c r="G67" s="22"/>
      <c r="H67" s="22"/>
      <c r="I67" s="22"/>
      <c r="J67" s="22"/>
      <c r="K67" s="22"/>
      <c r="L67" s="22"/>
      <c r="M67" s="22"/>
      <c r="N67" s="22"/>
      <c r="O67" s="22"/>
      <c r="P67" s="22"/>
      <c r="Q67" s="22"/>
      <c r="R67" s="23"/>
    </row>
    <row r="68" spans="1:18">
      <c r="A68" s="21"/>
      <c r="B68" s="22" t="s">
        <v>90</v>
      </c>
      <c r="C68" s="22"/>
      <c r="D68" s="22"/>
      <c r="E68" s="22"/>
      <c r="F68" s="22"/>
      <c r="G68" s="22"/>
      <c r="H68" s="22"/>
      <c r="I68" s="22"/>
      <c r="J68" s="22"/>
      <c r="K68" s="22"/>
      <c r="L68" s="22"/>
      <c r="M68" s="22"/>
      <c r="N68" s="22"/>
      <c r="O68" s="22"/>
      <c r="P68" s="22"/>
      <c r="Q68" s="22"/>
      <c r="R68" s="23"/>
    </row>
    <row r="69" spans="1:18">
      <c r="A69" s="21"/>
      <c r="B69" s="22" t="s">
        <v>84</v>
      </c>
      <c r="C69" s="24">
        <f>388.4</f>
        <v>388.4</v>
      </c>
      <c r="D69" s="24">
        <f t="shared" ref="D69:R69" si="19">388.4</f>
        <v>388.4</v>
      </c>
      <c r="E69" s="24">
        <f t="shared" si="19"/>
        <v>388.4</v>
      </c>
      <c r="F69" s="24">
        <f t="shared" si="19"/>
        <v>388.4</v>
      </c>
      <c r="G69" s="24">
        <f t="shared" si="19"/>
        <v>388.4</v>
      </c>
      <c r="H69" s="24">
        <f t="shared" si="19"/>
        <v>388.4</v>
      </c>
      <c r="I69" s="24">
        <f t="shared" si="19"/>
        <v>388.4</v>
      </c>
      <c r="J69" s="24">
        <f t="shared" si="19"/>
        <v>388.4</v>
      </c>
      <c r="K69" s="24">
        <f t="shared" si="19"/>
        <v>388.4</v>
      </c>
      <c r="L69" s="24">
        <f t="shared" si="19"/>
        <v>388.4</v>
      </c>
      <c r="M69" s="24">
        <f t="shared" si="19"/>
        <v>388.4</v>
      </c>
      <c r="N69" s="24">
        <f t="shared" si="19"/>
        <v>388.4</v>
      </c>
      <c r="O69" s="24">
        <f t="shared" si="19"/>
        <v>388.4</v>
      </c>
      <c r="P69" s="24">
        <f t="shared" si="19"/>
        <v>388.4</v>
      </c>
      <c r="Q69" s="24">
        <f t="shared" si="19"/>
        <v>388.4</v>
      </c>
      <c r="R69" s="73">
        <f t="shared" si="19"/>
        <v>388.4</v>
      </c>
    </row>
    <row r="70" spans="1:18">
      <c r="A70" s="21"/>
      <c r="B70" s="22" t="s">
        <v>85</v>
      </c>
      <c r="C70" s="24">
        <v>913.9</v>
      </c>
      <c r="D70" s="24">
        <v>913.9</v>
      </c>
      <c r="E70" s="24">
        <v>913.9</v>
      </c>
      <c r="F70" s="24">
        <v>913.9</v>
      </c>
      <c r="G70" s="24">
        <v>913.9</v>
      </c>
      <c r="H70" s="24">
        <v>913.9</v>
      </c>
      <c r="I70" s="24">
        <v>913.9</v>
      </c>
      <c r="J70" s="24">
        <v>913.9</v>
      </c>
      <c r="K70" s="24">
        <v>913.9</v>
      </c>
      <c r="L70" s="24">
        <v>913.9</v>
      </c>
      <c r="M70" s="24">
        <v>913.9</v>
      </c>
      <c r="N70" s="24">
        <v>913.9</v>
      </c>
      <c r="O70" s="24">
        <v>913.9</v>
      </c>
      <c r="P70" s="24">
        <v>913.9</v>
      </c>
      <c r="Q70" s="24">
        <v>913.9</v>
      </c>
      <c r="R70" s="73">
        <v>913.9</v>
      </c>
    </row>
    <row r="71" spans="1:18">
      <c r="A71" s="21"/>
      <c r="B71" s="22" t="s">
        <v>86</v>
      </c>
      <c r="C71" s="26">
        <v>0.15</v>
      </c>
      <c r="D71" s="26">
        <v>0.15</v>
      </c>
      <c r="E71" s="26">
        <v>0.15</v>
      </c>
      <c r="F71" s="26">
        <v>0.15</v>
      </c>
      <c r="G71" s="26">
        <v>0.15</v>
      </c>
      <c r="H71" s="26">
        <v>0.15</v>
      </c>
      <c r="I71" s="26">
        <v>0.15</v>
      </c>
      <c r="J71" s="26">
        <v>0.15</v>
      </c>
      <c r="K71" s="26">
        <v>0.15</v>
      </c>
      <c r="L71" s="26">
        <v>0.15</v>
      </c>
      <c r="M71" s="26">
        <v>0.15</v>
      </c>
      <c r="N71" s="26">
        <v>0.15</v>
      </c>
      <c r="O71" s="26">
        <v>0.15</v>
      </c>
      <c r="P71" s="26">
        <v>0.15</v>
      </c>
      <c r="Q71" s="26">
        <v>0.15</v>
      </c>
      <c r="R71" s="27">
        <v>0.15</v>
      </c>
    </row>
    <row r="72" spans="1:18">
      <c r="A72" s="21"/>
      <c r="B72" s="22" t="s">
        <v>87</v>
      </c>
      <c r="C72" s="25">
        <f>(C69+C70)*C66*(1+C71)</f>
        <v>48239.145449999996</v>
      </c>
      <c r="D72" s="25">
        <f t="shared" ref="D72:R72" si="20">(D69+D70)*D66*(1+D71)</f>
        <v>72036.724499999997</v>
      </c>
      <c r="E72" s="25">
        <f t="shared" si="20"/>
        <v>59486.459399999992</v>
      </c>
      <c r="F72" s="25">
        <f t="shared" si="20"/>
        <v>75331.543499999985</v>
      </c>
      <c r="G72" s="25">
        <f t="shared" si="20"/>
        <v>58542.943049999994</v>
      </c>
      <c r="H72" s="25">
        <f t="shared" si="20"/>
        <v>65881.403550000003</v>
      </c>
      <c r="I72" s="25">
        <f t="shared" si="20"/>
        <v>70643.914649999992</v>
      </c>
      <c r="J72" s="25">
        <f t="shared" si="20"/>
        <v>75091.920299999998</v>
      </c>
      <c r="K72" s="25">
        <f t="shared" si="20"/>
        <v>68996.505149999983</v>
      </c>
      <c r="L72" s="25">
        <f t="shared" si="20"/>
        <v>71198.04329999999</v>
      </c>
      <c r="M72" s="25">
        <f t="shared" si="20"/>
        <v>74912.202900000004</v>
      </c>
      <c r="N72" s="25">
        <f t="shared" si="20"/>
        <v>64144.13534999999</v>
      </c>
      <c r="O72" s="25">
        <f t="shared" si="20"/>
        <v>69281.05769999999</v>
      </c>
      <c r="P72" s="25">
        <f t="shared" si="20"/>
        <v>72560.900250000006</v>
      </c>
      <c r="Q72" s="25">
        <f t="shared" si="20"/>
        <v>85650.317549999992</v>
      </c>
      <c r="R72" s="74">
        <f t="shared" si="20"/>
        <v>71916.912899999996</v>
      </c>
    </row>
    <row r="73" spans="1:18">
      <c r="A73" s="21"/>
      <c r="B73" s="22"/>
      <c r="C73" s="22"/>
      <c r="D73" s="22"/>
      <c r="E73" s="22"/>
      <c r="F73" s="22"/>
      <c r="G73" s="22"/>
      <c r="H73" s="22"/>
      <c r="I73" s="22"/>
      <c r="J73" s="22"/>
      <c r="K73" s="22"/>
      <c r="L73" s="22"/>
      <c r="M73" s="22"/>
      <c r="N73" s="22"/>
      <c r="O73" s="22"/>
      <c r="P73" s="22"/>
      <c r="Q73" s="22"/>
      <c r="R73" s="23"/>
    </row>
    <row r="74" spans="1:18">
      <c r="A74" s="43" t="s">
        <v>112</v>
      </c>
      <c r="B74" s="22" t="s">
        <v>82</v>
      </c>
      <c r="C74" s="28"/>
      <c r="D74" s="28"/>
      <c r="E74" s="28"/>
      <c r="F74" s="28"/>
      <c r="G74" s="28"/>
      <c r="H74" s="28"/>
      <c r="I74" s="28"/>
      <c r="J74" s="28"/>
      <c r="K74" s="28"/>
      <c r="L74" s="28"/>
      <c r="M74" s="28"/>
      <c r="N74" s="28"/>
      <c r="O74" s="28"/>
      <c r="P74" s="28"/>
      <c r="Q74" s="28"/>
      <c r="R74" s="58"/>
    </row>
    <row r="75" spans="1:18">
      <c r="A75" s="21"/>
      <c r="B75" s="22" t="s">
        <v>83</v>
      </c>
      <c r="C75" s="22"/>
      <c r="D75" s="22"/>
      <c r="E75" s="22"/>
      <c r="F75" s="22"/>
      <c r="G75" s="22"/>
      <c r="H75" s="22"/>
      <c r="I75" s="22"/>
      <c r="J75" s="22"/>
      <c r="K75" s="22"/>
      <c r="L75" s="22"/>
      <c r="M75" s="22"/>
      <c r="N75" s="22"/>
      <c r="O75" s="22"/>
      <c r="P75" s="22"/>
      <c r="Q75" s="22"/>
      <c r="R75" s="23"/>
    </row>
    <row r="76" spans="1:18">
      <c r="A76" s="21"/>
      <c r="B76" s="22" t="s">
        <v>113</v>
      </c>
      <c r="C76" s="25">
        <v>2500</v>
      </c>
      <c r="D76" s="25">
        <v>2500</v>
      </c>
      <c r="E76" s="25">
        <v>2500</v>
      </c>
      <c r="F76" s="25">
        <v>2500</v>
      </c>
      <c r="G76" s="25">
        <v>2500</v>
      </c>
      <c r="H76" s="25">
        <v>2500</v>
      </c>
      <c r="I76" s="25">
        <v>2500</v>
      </c>
      <c r="J76" s="25">
        <v>2500</v>
      </c>
      <c r="K76" s="25">
        <v>2500</v>
      </c>
      <c r="L76" s="25">
        <v>2500</v>
      </c>
      <c r="M76" s="25">
        <v>2500</v>
      </c>
      <c r="N76" s="25">
        <v>2500</v>
      </c>
      <c r="O76" s="25">
        <v>2500</v>
      </c>
      <c r="P76" s="25">
        <v>2500</v>
      </c>
      <c r="Q76" s="25">
        <v>2500</v>
      </c>
      <c r="R76" s="74">
        <v>2500</v>
      </c>
    </row>
    <row r="77" spans="1:18">
      <c r="A77" s="21"/>
      <c r="B77" s="22" t="s">
        <v>108</v>
      </c>
      <c r="C77" s="22">
        <v>0</v>
      </c>
      <c r="D77" s="22">
        <v>0</v>
      </c>
      <c r="E77" s="22">
        <v>0</v>
      </c>
      <c r="F77" s="22">
        <v>0</v>
      </c>
      <c r="G77" s="22">
        <v>0</v>
      </c>
      <c r="H77" s="22">
        <v>0</v>
      </c>
      <c r="I77" s="22">
        <v>0</v>
      </c>
      <c r="J77" s="22">
        <v>0</v>
      </c>
      <c r="K77" s="22">
        <v>0</v>
      </c>
      <c r="L77" s="22">
        <v>0</v>
      </c>
      <c r="M77" s="22">
        <v>0</v>
      </c>
      <c r="N77" s="22">
        <v>0</v>
      </c>
      <c r="O77" s="22">
        <v>0</v>
      </c>
      <c r="P77" s="22">
        <v>0</v>
      </c>
      <c r="Q77" s="22">
        <v>0</v>
      </c>
      <c r="R77" s="23">
        <v>0</v>
      </c>
    </row>
    <row r="78" spans="1:18">
      <c r="A78" s="21"/>
      <c r="B78" s="22" t="s">
        <v>86</v>
      </c>
      <c r="C78" s="26">
        <v>0.15</v>
      </c>
      <c r="D78" s="26">
        <v>0.15</v>
      </c>
      <c r="E78" s="26">
        <v>0.15</v>
      </c>
      <c r="F78" s="26">
        <v>0.15</v>
      </c>
      <c r="G78" s="26">
        <v>0.15</v>
      </c>
      <c r="H78" s="26">
        <v>0.15</v>
      </c>
      <c r="I78" s="26">
        <v>0.15</v>
      </c>
      <c r="J78" s="26">
        <v>0.15</v>
      </c>
      <c r="K78" s="26">
        <v>0.15</v>
      </c>
      <c r="L78" s="26">
        <v>0.15</v>
      </c>
      <c r="M78" s="26">
        <v>0.15</v>
      </c>
      <c r="N78" s="26">
        <v>0.15</v>
      </c>
      <c r="O78" s="26">
        <v>0.15</v>
      </c>
      <c r="P78" s="26">
        <v>0.15</v>
      </c>
      <c r="Q78" s="26">
        <v>0.15</v>
      </c>
      <c r="R78" s="27">
        <v>0.15</v>
      </c>
    </row>
    <row r="79" spans="1:18">
      <c r="A79" s="21"/>
      <c r="B79" s="22" t="s">
        <v>87</v>
      </c>
      <c r="C79" s="24">
        <f>C76*24</f>
        <v>60000</v>
      </c>
      <c r="D79" s="24">
        <f t="shared" ref="D79:R79" si="21">D76*24</f>
        <v>60000</v>
      </c>
      <c r="E79" s="24">
        <f t="shared" si="21"/>
        <v>60000</v>
      </c>
      <c r="F79" s="24">
        <f t="shared" si="21"/>
        <v>60000</v>
      </c>
      <c r="G79" s="24">
        <f t="shared" si="21"/>
        <v>60000</v>
      </c>
      <c r="H79" s="24">
        <f t="shared" si="21"/>
        <v>60000</v>
      </c>
      <c r="I79" s="24">
        <f t="shared" si="21"/>
        <v>60000</v>
      </c>
      <c r="J79" s="24">
        <f t="shared" si="21"/>
        <v>60000</v>
      </c>
      <c r="K79" s="24">
        <f t="shared" si="21"/>
        <v>60000</v>
      </c>
      <c r="L79" s="24">
        <f t="shared" si="21"/>
        <v>60000</v>
      </c>
      <c r="M79" s="24">
        <f t="shared" si="21"/>
        <v>60000</v>
      </c>
      <c r="N79" s="24">
        <f t="shared" si="21"/>
        <v>60000</v>
      </c>
      <c r="O79" s="24">
        <f t="shared" si="21"/>
        <v>60000</v>
      </c>
      <c r="P79" s="24">
        <f t="shared" si="21"/>
        <v>60000</v>
      </c>
      <c r="Q79" s="24">
        <f t="shared" si="21"/>
        <v>60000</v>
      </c>
      <c r="R79" s="73">
        <f t="shared" si="21"/>
        <v>60000</v>
      </c>
    </row>
    <row r="80" spans="1:18">
      <c r="A80" s="21"/>
      <c r="B80" s="22"/>
      <c r="C80" s="22"/>
      <c r="D80" s="22"/>
      <c r="E80" s="22"/>
      <c r="F80" s="22"/>
      <c r="G80" s="22"/>
      <c r="H80" s="22"/>
      <c r="I80" s="22"/>
      <c r="J80" s="22"/>
      <c r="K80" s="22"/>
      <c r="L80" s="22"/>
      <c r="M80" s="22"/>
      <c r="N80" s="22"/>
      <c r="O80" s="22"/>
      <c r="P80" s="22"/>
      <c r="Q80" s="22"/>
      <c r="R80" s="23"/>
    </row>
    <row r="81" spans="1:20">
      <c r="A81" s="31" t="s">
        <v>114</v>
      </c>
      <c r="B81" s="22" t="s">
        <v>82</v>
      </c>
      <c r="C81" s="22"/>
      <c r="D81" s="22"/>
      <c r="E81" s="22"/>
      <c r="F81" s="22"/>
      <c r="G81" s="22"/>
      <c r="H81" s="22"/>
      <c r="I81" s="22"/>
      <c r="J81" s="22"/>
      <c r="K81" s="22"/>
      <c r="L81" s="22"/>
      <c r="M81" s="22"/>
      <c r="N81" s="22"/>
      <c r="O81" s="22"/>
      <c r="P81" s="22"/>
      <c r="Q81" s="22"/>
      <c r="R81" s="23"/>
    </row>
    <row r="82" spans="1:20">
      <c r="A82" s="138" t="s">
        <v>115</v>
      </c>
      <c r="B82" s="22" t="s">
        <v>83</v>
      </c>
      <c r="C82" s="75">
        <v>7285</v>
      </c>
      <c r="D82" s="75">
        <v>7285</v>
      </c>
      <c r="E82" s="75">
        <v>7285</v>
      </c>
      <c r="F82" s="75">
        <v>7285</v>
      </c>
      <c r="G82" s="75">
        <v>7285</v>
      </c>
      <c r="H82" s="75">
        <v>7285</v>
      </c>
      <c r="I82" s="75">
        <v>7285</v>
      </c>
      <c r="J82" s="75">
        <v>7285</v>
      </c>
      <c r="K82" s="75">
        <v>7285</v>
      </c>
      <c r="L82" s="75">
        <v>7285</v>
      </c>
      <c r="M82" s="75">
        <v>7285</v>
      </c>
      <c r="N82" s="75">
        <v>7285</v>
      </c>
      <c r="O82" s="75">
        <v>7285</v>
      </c>
      <c r="P82" s="75">
        <v>7285</v>
      </c>
      <c r="Q82" s="75">
        <v>7285</v>
      </c>
      <c r="R82" s="76">
        <v>7285</v>
      </c>
    </row>
    <row r="83" spans="1:20">
      <c r="A83" s="53" t="s">
        <v>116</v>
      </c>
      <c r="B83" s="22" t="s">
        <v>90</v>
      </c>
      <c r="C83" s="22"/>
      <c r="D83" s="22"/>
      <c r="E83" s="22"/>
      <c r="F83" s="22"/>
      <c r="G83" s="22"/>
      <c r="H83" s="22"/>
      <c r="I83" s="22"/>
      <c r="J83" s="22"/>
      <c r="K83" s="22"/>
      <c r="L83" s="22"/>
      <c r="M83" s="22"/>
      <c r="N83" s="22"/>
      <c r="O83" s="22"/>
      <c r="P83" s="22"/>
      <c r="Q83" s="22"/>
      <c r="R83" s="23"/>
    </row>
    <row r="84" spans="1:20">
      <c r="A84" s="21" t="s">
        <v>117</v>
      </c>
      <c r="B84" s="22" t="s">
        <v>84</v>
      </c>
      <c r="C84" s="24">
        <f>7.4*110%</f>
        <v>8.14</v>
      </c>
      <c r="D84" s="24">
        <f t="shared" ref="D84:R84" si="22">7.4*110%</f>
        <v>8.14</v>
      </c>
      <c r="E84" s="24">
        <f t="shared" si="22"/>
        <v>8.14</v>
      </c>
      <c r="F84" s="24">
        <f t="shared" si="22"/>
        <v>8.14</v>
      </c>
      <c r="G84" s="24">
        <f t="shared" si="22"/>
        <v>8.14</v>
      </c>
      <c r="H84" s="24">
        <f t="shared" si="22"/>
        <v>8.14</v>
      </c>
      <c r="I84" s="24">
        <f t="shared" si="22"/>
        <v>8.14</v>
      </c>
      <c r="J84" s="24">
        <f t="shared" si="22"/>
        <v>8.14</v>
      </c>
      <c r="K84" s="24">
        <f t="shared" si="22"/>
        <v>8.14</v>
      </c>
      <c r="L84" s="24">
        <f t="shared" si="22"/>
        <v>8.14</v>
      </c>
      <c r="M84" s="24">
        <f t="shared" si="22"/>
        <v>8.14</v>
      </c>
      <c r="N84" s="24">
        <f t="shared" si="22"/>
        <v>8.14</v>
      </c>
      <c r="O84" s="24">
        <f t="shared" si="22"/>
        <v>8.14</v>
      </c>
      <c r="P84" s="24">
        <f t="shared" si="22"/>
        <v>8.14</v>
      </c>
      <c r="Q84" s="24">
        <f t="shared" si="22"/>
        <v>8.14</v>
      </c>
      <c r="R84" s="73">
        <f t="shared" si="22"/>
        <v>8.14</v>
      </c>
    </row>
    <row r="85" spans="1:20">
      <c r="A85" s="21" t="s">
        <v>118</v>
      </c>
      <c r="B85" s="22" t="s">
        <v>85</v>
      </c>
      <c r="C85" s="24">
        <f>1.7*110%</f>
        <v>1.87</v>
      </c>
      <c r="D85" s="24">
        <f t="shared" ref="D85:R85" si="23">1.7*110%</f>
        <v>1.87</v>
      </c>
      <c r="E85" s="24">
        <f t="shared" si="23"/>
        <v>1.87</v>
      </c>
      <c r="F85" s="24">
        <f t="shared" si="23"/>
        <v>1.87</v>
      </c>
      <c r="G85" s="24">
        <f t="shared" si="23"/>
        <v>1.87</v>
      </c>
      <c r="H85" s="24">
        <f t="shared" si="23"/>
        <v>1.87</v>
      </c>
      <c r="I85" s="24">
        <f t="shared" si="23"/>
        <v>1.87</v>
      </c>
      <c r="J85" s="24">
        <f t="shared" si="23"/>
        <v>1.87</v>
      </c>
      <c r="K85" s="24">
        <f t="shared" si="23"/>
        <v>1.87</v>
      </c>
      <c r="L85" s="24">
        <f t="shared" si="23"/>
        <v>1.87</v>
      </c>
      <c r="M85" s="24">
        <f t="shared" si="23"/>
        <v>1.87</v>
      </c>
      <c r="N85" s="24">
        <f t="shared" si="23"/>
        <v>1.87</v>
      </c>
      <c r="O85" s="24">
        <f t="shared" si="23"/>
        <v>1.87</v>
      </c>
      <c r="P85" s="24">
        <f t="shared" si="23"/>
        <v>1.87</v>
      </c>
      <c r="Q85" s="24">
        <f t="shared" si="23"/>
        <v>1.87</v>
      </c>
      <c r="R85" s="73">
        <f t="shared" si="23"/>
        <v>1.87</v>
      </c>
    </row>
    <row r="86" spans="1:20">
      <c r="A86" s="21"/>
      <c r="B86" s="22" t="s">
        <v>86</v>
      </c>
      <c r="C86" s="26">
        <v>0.15</v>
      </c>
      <c r="D86" s="26">
        <v>0.15</v>
      </c>
      <c r="E86" s="26">
        <v>0.15</v>
      </c>
      <c r="F86" s="26">
        <v>0.15</v>
      </c>
      <c r="G86" s="26">
        <v>0.15</v>
      </c>
      <c r="H86" s="26">
        <v>0.15</v>
      </c>
      <c r="I86" s="26">
        <v>0.15</v>
      </c>
      <c r="J86" s="26">
        <v>0.15</v>
      </c>
      <c r="K86" s="26">
        <v>0.15</v>
      </c>
      <c r="L86" s="26">
        <v>0.15</v>
      </c>
      <c r="M86" s="26">
        <v>0.15</v>
      </c>
      <c r="N86" s="26">
        <v>0.15</v>
      </c>
      <c r="O86" s="26">
        <v>0.15</v>
      </c>
      <c r="P86" s="26">
        <v>0.15</v>
      </c>
      <c r="Q86" s="26">
        <v>0.15</v>
      </c>
      <c r="R86" s="27">
        <v>0.15</v>
      </c>
      <c r="T86" s="9"/>
    </row>
    <row r="87" spans="1:20">
      <c r="A87" s="21"/>
      <c r="B87" s="22" t="s">
        <v>87</v>
      </c>
      <c r="C87" s="25">
        <f>(C84+C85)*C82</f>
        <v>72922.850000000006</v>
      </c>
      <c r="D87" s="25">
        <f t="shared" ref="D87:R87" si="24">(D84+D85)*D82</f>
        <v>72922.850000000006</v>
      </c>
      <c r="E87" s="25">
        <f t="shared" si="24"/>
        <v>72922.850000000006</v>
      </c>
      <c r="F87" s="25">
        <f t="shared" si="24"/>
        <v>72922.850000000006</v>
      </c>
      <c r="G87" s="25">
        <f t="shared" si="24"/>
        <v>72922.850000000006</v>
      </c>
      <c r="H87" s="25">
        <f t="shared" si="24"/>
        <v>72922.850000000006</v>
      </c>
      <c r="I87" s="25">
        <f t="shared" si="24"/>
        <v>72922.850000000006</v>
      </c>
      <c r="J87" s="25">
        <f t="shared" si="24"/>
        <v>72922.850000000006</v>
      </c>
      <c r="K87" s="25">
        <f t="shared" si="24"/>
        <v>72922.850000000006</v>
      </c>
      <c r="L87" s="25">
        <f t="shared" si="24"/>
        <v>72922.850000000006</v>
      </c>
      <c r="M87" s="25">
        <f t="shared" si="24"/>
        <v>72922.850000000006</v>
      </c>
      <c r="N87" s="25">
        <f t="shared" si="24"/>
        <v>72922.850000000006</v>
      </c>
      <c r="O87" s="25">
        <f t="shared" si="24"/>
        <v>72922.850000000006</v>
      </c>
      <c r="P87" s="25">
        <f t="shared" si="24"/>
        <v>72922.850000000006</v>
      </c>
      <c r="Q87" s="25">
        <f t="shared" si="24"/>
        <v>72922.850000000006</v>
      </c>
      <c r="R87" s="74">
        <f t="shared" si="24"/>
        <v>72922.850000000006</v>
      </c>
    </row>
    <row r="88" spans="1:20">
      <c r="A88" s="21"/>
      <c r="B88" s="22"/>
      <c r="C88" s="22"/>
      <c r="D88" s="22"/>
      <c r="E88" s="22"/>
      <c r="F88" s="22"/>
      <c r="G88" s="22"/>
      <c r="H88" s="22"/>
      <c r="I88" s="22"/>
      <c r="J88" s="22"/>
      <c r="K88" s="22"/>
      <c r="L88" s="22"/>
      <c r="M88" s="22"/>
      <c r="N88" s="22"/>
      <c r="O88" s="22"/>
      <c r="P88" s="22"/>
      <c r="Q88" s="22"/>
      <c r="R88" s="23"/>
    </row>
    <row r="89" spans="1:20">
      <c r="A89" s="31" t="s">
        <v>119</v>
      </c>
      <c r="B89" s="22" t="s">
        <v>120</v>
      </c>
      <c r="C89" s="54">
        <v>0.2</v>
      </c>
      <c r="D89" s="54">
        <v>0.2</v>
      </c>
      <c r="E89" s="54">
        <v>0.2</v>
      </c>
      <c r="F89" s="54">
        <v>0.2</v>
      </c>
      <c r="G89" s="54">
        <v>0.2</v>
      </c>
      <c r="H89" s="54">
        <v>0.2</v>
      </c>
      <c r="I89" s="54">
        <v>0.2</v>
      </c>
      <c r="J89" s="54">
        <v>0.2</v>
      </c>
      <c r="K89" s="54">
        <v>0.2</v>
      </c>
      <c r="L89" s="54">
        <v>0.2</v>
      </c>
      <c r="M89" s="54">
        <v>0.2</v>
      </c>
      <c r="N89" s="54">
        <v>0.2</v>
      </c>
      <c r="O89" s="54">
        <v>0.2</v>
      </c>
      <c r="P89" s="54">
        <v>0.2</v>
      </c>
      <c r="Q89" s="54">
        <v>0.2</v>
      </c>
      <c r="R89" s="77">
        <v>0.2</v>
      </c>
    </row>
    <row r="90" spans="1:20">
      <c r="A90" s="21"/>
      <c r="B90" s="22" t="s">
        <v>121</v>
      </c>
      <c r="C90" s="22">
        <v>1440</v>
      </c>
      <c r="D90" s="22">
        <v>1440</v>
      </c>
      <c r="E90" s="22">
        <v>1440</v>
      </c>
      <c r="F90" s="22">
        <v>1440</v>
      </c>
      <c r="G90" s="22">
        <v>1440</v>
      </c>
      <c r="H90" s="22">
        <v>1440</v>
      </c>
      <c r="I90" s="22">
        <v>1440</v>
      </c>
      <c r="J90" s="22">
        <v>1440</v>
      </c>
      <c r="K90" s="22">
        <v>1440</v>
      </c>
      <c r="L90" s="22">
        <v>1440</v>
      </c>
      <c r="M90" s="22">
        <v>1440</v>
      </c>
      <c r="N90" s="22">
        <v>1440</v>
      </c>
      <c r="O90" s="22">
        <v>1440</v>
      </c>
      <c r="P90" s="22">
        <v>1440</v>
      </c>
      <c r="Q90" s="22">
        <v>1440</v>
      </c>
      <c r="R90" s="23">
        <v>1440</v>
      </c>
    </row>
    <row r="91" spans="1:20">
      <c r="A91" s="21"/>
      <c r="B91" s="22" t="s">
        <v>84</v>
      </c>
      <c r="C91" s="24">
        <f>24.6*(1-C89)</f>
        <v>19.680000000000003</v>
      </c>
      <c r="D91" s="24">
        <f t="shared" ref="D91:R91" si="25">24.6*(1-D89)</f>
        <v>19.680000000000003</v>
      </c>
      <c r="E91" s="24">
        <f t="shared" si="25"/>
        <v>19.680000000000003</v>
      </c>
      <c r="F91" s="24">
        <f t="shared" si="25"/>
        <v>19.680000000000003</v>
      </c>
      <c r="G91" s="24">
        <f t="shared" si="25"/>
        <v>19.680000000000003</v>
      </c>
      <c r="H91" s="24">
        <f t="shared" si="25"/>
        <v>19.680000000000003</v>
      </c>
      <c r="I91" s="24">
        <f t="shared" si="25"/>
        <v>19.680000000000003</v>
      </c>
      <c r="J91" s="24">
        <f t="shared" si="25"/>
        <v>19.680000000000003</v>
      </c>
      <c r="K91" s="24">
        <f t="shared" si="25"/>
        <v>19.680000000000003</v>
      </c>
      <c r="L91" s="24">
        <f t="shared" si="25"/>
        <v>19.680000000000003</v>
      </c>
      <c r="M91" s="24">
        <f t="shared" si="25"/>
        <v>19.680000000000003</v>
      </c>
      <c r="N91" s="24">
        <f t="shared" si="25"/>
        <v>19.680000000000003</v>
      </c>
      <c r="O91" s="24">
        <f t="shared" si="25"/>
        <v>19.680000000000003</v>
      </c>
      <c r="P91" s="24">
        <f t="shared" si="25"/>
        <v>19.680000000000003</v>
      </c>
      <c r="Q91" s="24">
        <f t="shared" si="25"/>
        <v>19.680000000000003</v>
      </c>
      <c r="R91" s="73">
        <f t="shared" si="25"/>
        <v>19.680000000000003</v>
      </c>
    </row>
    <row r="92" spans="1:20">
      <c r="A92" s="21"/>
      <c r="B92" s="22" t="s">
        <v>85</v>
      </c>
      <c r="C92" s="24">
        <f>246.33*(1-C89)</f>
        <v>197.06400000000002</v>
      </c>
      <c r="D92" s="24">
        <f t="shared" ref="D92:R92" si="26">246.33*(1-D89)</f>
        <v>197.06400000000002</v>
      </c>
      <c r="E92" s="24">
        <f t="shared" si="26"/>
        <v>197.06400000000002</v>
      </c>
      <c r="F92" s="24">
        <f t="shared" si="26"/>
        <v>197.06400000000002</v>
      </c>
      <c r="G92" s="24">
        <f t="shared" si="26"/>
        <v>197.06400000000002</v>
      </c>
      <c r="H92" s="24">
        <f t="shared" si="26"/>
        <v>197.06400000000002</v>
      </c>
      <c r="I92" s="24">
        <f t="shared" si="26"/>
        <v>197.06400000000002</v>
      </c>
      <c r="J92" s="24">
        <f t="shared" si="26"/>
        <v>197.06400000000002</v>
      </c>
      <c r="K92" s="24">
        <f t="shared" si="26"/>
        <v>197.06400000000002</v>
      </c>
      <c r="L92" s="24">
        <f t="shared" si="26"/>
        <v>197.06400000000002</v>
      </c>
      <c r="M92" s="24">
        <f t="shared" si="26"/>
        <v>197.06400000000002</v>
      </c>
      <c r="N92" s="24">
        <f t="shared" si="26"/>
        <v>197.06400000000002</v>
      </c>
      <c r="O92" s="24">
        <f t="shared" si="26"/>
        <v>197.06400000000002</v>
      </c>
      <c r="P92" s="24">
        <f t="shared" si="26"/>
        <v>197.06400000000002</v>
      </c>
      <c r="Q92" s="24">
        <f t="shared" si="26"/>
        <v>197.06400000000002</v>
      </c>
      <c r="R92" s="73">
        <f t="shared" si="26"/>
        <v>197.06400000000002</v>
      </c>
    </row>
    <row r="93" spans="1:20">
      <c r="A93" s="21"/>
      <c r="B93" s="22" t="s">
        <v>86</v>
      </c>
      <c r="C93" s="26">
        <v>0.15</v>
      </c>
      <c r="D93" s="26">
        <v>0.15</v>
      </c>
      <c r="E93" s="26">
        <v>0.15</v>
      </c>
      <c r="F93" s="26">
        <v>0.15</v>
      </c>
      <c r="G93" s="26">
        <v>0.15</v>
      </c>
      <c r="H93" s="26">
        <v>0.15</v>
      </c>
      <c r="I93" s="26">
        <v>0.15</v>
      </c>
      <c r="J93" s="26">
        <v>0.15</v>
      </c>
      <c r="K93" s="26">
        <v>0.15</v>
      </c>
      <c r="L93" s="26">
        <v>0.15</v>
      </c>
      <c r="M93" s="26">
        <v>0.15</v>
      </c>
      <c r="N93" s="26">
        <v>0.15</v>
      </c>
      <c r="O93" s="26">
        <v>0.15</v>
      </c>
      <c r="P93" s="26">
        <v>0.15</v>
      </c>
      <c r="Q93" s="26">
        <v>0.15</v>
      </c>
      <c r="R93" s="27">
        <v>0.15</v>
      </c>
    </row>
    <row r="94" spans="1:20">
      <c r="A94" s="21"/>
      <c r="B94" s="22" t="s">
        <v>87</v>
      </c>
      <c r="C94" s="24">
        <f t="shared" ref="C94:R94" si="27">(C91+C92)*C90*(1+C93)</f>
        <v>358928.06400000001</v>
      </c>
      <c r="D94" s="24">
        <f t="shared" si="27"/>
        <v>358928.06400000001</v>
      </c>
      <c r="E94" s="24">
        <f t="shared" si="27"/>
        <v>358928.06400000001</v>
      </c>
      <c r="F94" s="24">
        <f t="shared" si="27"/>
        <v>358928.06400000001</v>
      </c>
      <c r="G94" s="24">
        <f t="shared" si="27"/>
        <v>358928.06400000001</v>
      </c>
      <c r="H94" s="24">
        <f t="shared" si="27"/>
        <v>358928.06400000001</v>
      </c>
      <c r="I94" s="24">
        <f t="shared" si="27"/>
        <v>358928.06400000001</v>
      </c>
      <c r="J94" s="24">
        <f t="shared" si="27"/>
        <v>358928.06400000001</v>
      </c>
      <c r="K94" s="24">
        <f t="shared" si="27"/>
        <v>358928.06400000001</v>
      </c>
      <c r="L94" s="24">
        <f t="shared" si="27"/>
        <v>358928.06400000001</v>
      </c>
      <c r="M94" s="24">
        <f t="shared" si="27"/>
        <v>358928.06400000001</v>
      </c>
      <c r="N94" s="24">
        <f t="shared" si="27"/>
        <v>358928.06400000001</v>
      </c>
      <c r="O94" s="24">
        <f t="shared" si="27"/>
        <v>358928.06400000001</v>
      </c>
      <c r="P94" s="24">
        <f t="shared" si="27"/>
        <v>358928.06400000001</v>
      </c>
      <c r="Q94" s="24">
        <f t="shared" si="27"/>
        <v>358928.06400000001</v>
      </c>
      <c r="R94" s="73">
        <f t="shared" si="27"/>
        <v>358928.06400000001</v>
      </c>
    </row>
    <row r="95" spans="1:20">
      <c r="A95" s="21"/>
      <c r="B95" s="22"/>
      <c r="C95" s="22"/>
      <c r="D95" s="22"/>
      <c r="E95" s="22"/>
      <c r="F95" s="22"/>
      <c r="G95" s="22"/>
      <c r="H95" s="22"/>
      <c r="I95" s="22"/>
      <c r="J95" s="22"/>
      <c r="K95" s="22"/>
      <c r="L95" s="22"/>
      <c r="M95" s="22"/>
      <c r="N95" s="22"/>
      <c r="O95" s="22"/>
      <c r="P95" s="22"/>
      <c r="Q95" s="22"/>
      <c r="R95" s="23"/>
    </row>
    <row r="96" spans="1:20">
      <c r="A96" s="21"/>
      <c r="B96" s="22"/>
      <c r="C96" s="22"/>
      <c r="D96" s="22"/>
      <c r="E96" s="22"/>
      <c r="F96" s="22"/>
      <c r="G96" s="22"/>
      <c r="H96" s="22"/>
      <c r="I96" s="22"/>
      <c r="J96" s="22"/>
      <c r="K96" s="22"/>
      <c r="L96" s="22"/>
      <c r="M96" s="22"/>
      <c r="N96" s="22"/>
      <c r="O96" s="22"/>
      <c r="P96" s="22"/>
      <c r="Q96" s="22"/>
      <c r="R96" s="23"/>
    </row>
    <row r="97" spans="1:18">
      <c r="A97" s="31" t="s">
        <v>100</v>
      </c>
      <c r="B97" s="22" t="s">
        <v>101</v>
      </c>
      <c r="C97" s="29">
        <f>SUMIF($B56:$B94,$B$94,C56:C94)</f>
        <v>637029.59755000006</v>
      </c>
      <c r="D97" s="29">
        <f t="shared" ref="D97:R97" si="28">SUMIF($B56:$B94,$B$94,D56:D94)</f>
        <v>708649.87950000004</v>
      </c>
      <c r="E97" s="29">
        <f t="shared" si="28"/>
        <v>670879.08259999997</v>
      </c>
      <c r="F97" s="29">
        <f t="shared" si="28"/>
        <v>718565.84050000005</v>
      </c>
      <c r="G97" s="29">
        <f t="shared" si="28"/>
        <v>668039.51194999996</v>
      </c>
      <c r="H97" s="29">
        <f t="shared" si="28"/>
        <v>690125.06145000004</v>
      </c>
      <c r="I97" s="29">
        <f t="shared" si="28"/>
        <v>704458.13234999997</v>
      </c>
      <c r="J97" s="29">
        <f t="shared" si="28"/>
        <v>717844.67969999998</v>
      </c>
      <c r="K97" s="29">
        <f t="shared" si="28"/>
        <v>699500.15185000002</v>
      </c>
      <c r="L97" s="29">
        <f t="shared" si="28"/>
        <v>706125.81669999997</v>
      </c>
      <c r="M97" s="29">
        <f t="shared" si="28"/>
        <v>717303.80909999995</v>
      </c>
      <c r="N97" s="29">
        <f t="shared" si="28"/>
        <v>684896.64564999996</v>
      </c>
      <c r="O97" s="29">
        <f t="shared" si="28"/>
        <v>700356.53029999998</v>
      </c>
      <c r="P97" s="29">
        <f t="shared" si="28"/>
        <v>710227.41875000007</v>
      </c>
      <c r="Q97" s="29">
        <f t="shared" si="28"/>
        <v>749620.82744999998</v>
      </c>
      <c r="R97" s="30">
        <f t="shared" si="28"/>
        <v>708289.29909999995</v>
      </c>
    </row>
    <row r="98" spans="1:18">
      <c r="A98" s="21"/>
      <c r="B98" s="22"/>
      <c r="C98" s="22"/>
      <c r="D98" s="22"/>
      <c r="E98" s="22"/>
      <c r="F98" s="22"/>
      <c r="G98" s="22"/>
      <c r="H98" s="22"/>
      <c r="I98" s="22"/>
      <c r="J98" s="22"/>
      <c r="K98" s="22"/>
      <c r="L98" s="22"/>
      <c r="M98" s="22"/>
      <c r="N98" s="22"/>
      <c r="O98" s="22"/>
      <c r="P98" s="22"/>
      <c r="Q98" s="22"/>
      <c r="R98" s="23"/>
    </row>
    <row r="99" spans="1:18">
      <c r="A99" s="21"/>
      <c r="B99" s="22" t="s">
        <v>102</v>
      </c>
      <c r="C99" s="24">
        <f t="shared" ref="C99:R99" si="29">2.5*$D$1</f>
        <v>61010</v>
      </c>
      <c r="D99" s="24">
        <f t="shared" si="29"/>
        <v>61010</v>
      </c>
      <c r="E99" s="24">
        <f t="shared" si="29"/>
        <v>61010</v>
      </c>
      <c r="F99" s="24">
        <f t="shared" si="29"/>
        <v>61010</v>
      </c>
      <c r="G99" s="24">
        <f t="shared" si="29"/>
        <v>61010</v>
      </c>
      <c r="H99" s="24">
        <f t="shared" si="29"/>
        <v>61010</v>
      </c>
      <c r="I99" s="24">
        <f t="shared" si="29"/>
        <v>61010</v>
      </c>
      <c r="J99" s="24">
        <f t="shared" si="29"/>
        <v>61010</v>
      </c>
      <c r="K99" s="24">
        <f t="shared" si="29"/>
        <v>61010</v>
      </c>
      <c r="L99" s="24">
        <f t="shared" si="29"/>
        <v>61010</v>
      </c>
      <c r="M99" s="24">
        <f t="shared" si="29"/>
        <v>61010</v>
      </c>
      <c r="N99" s="24">
        <f t="shared" si="29"/>
        <v>61010</v>
      </c>
      <c r="O99" s="24">
        <f t="shared" si="29"/>
        <v>61010</v>
      </c>
      <c r="P99" s="24">
        <f t="shared" si="29"/>
        <v>61010</v>
      </c>
      <c r="Q99" s="24">
        <f t="shared" si="29"/>
        <v>61010</v>
      </c>
      <c r="R99" s="73">
        <f t="shared" si="29"/>
        <v>61010</v>
      </c>
    </row>
    <row r="100" spans="1:18">
      <c r="A100" s="21"/>
      <c r="B100" s="22" t="s">
        <v>103</v>
      </c>
      <c r="C100" s="24">
        <f>C46*1.5</f>
        <v>24000</v>
      </c>
      <c r="D100" s="24">
        <f t="shared" ref="D100:R100" si="30">D46*1.5</f>
        <v>24000</v>
      </c>
      <c r="E100" s="24">
        <f t="shared" si="30"/>
        <v>24000</v>
      </c>
      <c r="F100" s="24">
        <f t="shared" si="30"/>
        <v>24000</v>
      </c>
      <c r="G100" s="24">
        <f t="shared" si="30"/>
        <v>24000</v>
      </c>
      <c r="H100" s="24">
        <f t="shared" si="30"/>
        <v>24000</v>
      </c>
      <c r="I100" s="24">
        <f t="shared" si="30"/>
        <v>24000</v>
      </c>
      <c r="J100" s="24">
        <f t="shared" si="30"/>
        <v>24000</v>
      </c>
      <c r="K100" s="24">
        <f t="shared" si="30"/>
        <v>24000</v>
      </c>
      <c r="L100" s="24">
        <f t="shared" si="30"/>
        <v>24000</v>
      </c>
      <c r="M100" s="24">
        <f t="shared" si="30"/>
        <v>24000</v>
      </c>
      <c r="N100" s="24">
        <f t="shared" si="30"/>
        <v>24000</v>
      </c>
      <c r="O100" s="24">
        <f t="shared" si="30"/>
        <v>24000</v>
      </c>
      <c r="P100" s="24">
        <f t="shared" si="30"/>
        <v>24000</v>
      </c>
      <c r="Q100" s="24">
        <f t="shared" si="30"/>
        <v>24000</v>
      </c>
      <c r="R100" s="73">
        <f t="shared" si="30"/>
        <v>24000</v>
      </c>
    </row>
    <row r="101" spans="1:18">
      <c r="A101" s="21"/>
      <c r="B101" s="22"/>
      <c r="C101" s="22"/>
      <c r="D101" s="22"/>
      <c r="E101" s="22"/>
      <c r="F101" s="22"/>
      <c r="G101" s="22"/>
      <c r="H101" s="22"/>
      <c r="I101" s="22"/>
      <c r="J101" s="22"/>
      <c r="K101" s="22"/>
      <c r="L101" s="22"/>
      <c r="M101" s="22"/>
      <c r="N101" s="22"/>
      <c r="O101" s="22"/>
      <c r="P101" s="22"/>
      <c r="Q101" s="22"/>
      <c r="R101" s="23"/>
    </row>
    <row r="102" spans="1:18">
      <c r="A102" s="31" t="s">
        <v>104</v>
      </c>
      <c r="B102" s="22" t="s">
        <v>105</v>
      </c>
      <c r="C102" s="29">
        <f>SUM(C97,C99,C100)</f>
        <v>722039.59755000006</v>
      </c>
      <c r="D102" s="29">
        <f t="shared" ref="D102:R102" si="31">SUM(D97,D99,D100)</f>
        <v>793659.87950000004</v>
      </c>
      <c r="E102" s="29">
        <f t="shared" si="31"/>
        <v>755889.08259999997</v>
      </c>
      <c r="F102" s="29">
        <f t="shared" si="31"/>
        <v>803575.84050000005</v>
      </c>
      <c r="G102" s="29">
        <f t="shared" si="31"/>
        <v>753049.51194999996</v>
      </c>
      <c r="H102" s="29">
        <f t="shared" si="31"/>
        <v>775135.06145000004</v>
      </c>
      <c r="I102" s="29">
        <f t="shared" si="31"/>
        <v>789468.13234999997</v>
      </c>
      <c r="J102" s="29">
        <f t="shared" si="31"/>
        <v>802854.67969999998</v>
      </c>
      <c r="K102" s="29">
        <f t="shared" si="31"/>
        <v>784510.15185000002</v>
      </c>
      <c r="L102" s="29">
        <f t="shared" si="31"/>
        <v>791135.81669999997</v>
      </c>
      <c r="M102" s="29">
        <f t="shared" si="31"/>
        <v>802313.80909999995</v>
      </c>
      <c r="N102" s="29">
        <f t="shared" si="31"/>
        <v>769906.64564999996</v>
      </c>
      <c r="O102" s="29">
        <f t="shared" si="31"/>
        <v>785366.53029999998</v>
      </c>
      <c r="P102" s="29">
        <f t="shared" si="31"/>
        <v>795237.41875000007</v>
      </c>
      <c r="Q102" s="29">
        <f t="shared" si="31"/>
        <v>834630.82744999998</v>
      </c>
      <c r="R102" s="30">
        <f t="shared" si="31"/>
        <v>793299.29909999995</v>
      </c>
    </row>
    <row r="103" spans="1:18">
      <c r="A103" s="21"/>
      <c r="B103" s="22"/>
      <c r="C103" s="22"/>
      <c r="D103" s="22"/>
      <c r="E103" s="22"/>
      <c r="F103" s="22"/>
      <c r="G103" s="22"/>
      <c r="H103" s="22"/>
      <c r="I103" s="22"/>
      <c r="J103" s="22"/>
      <c r="K103" s="22"/>
      <c r="L103" s="22"/>
      <c r="M103" s="22"/>
      <c r="N103" s="22"/>
      <c r="O103" s="22"/>
      <c r="P103" s="22"/>
      <c r="Q103" s="22"/>
      <c r="R103" s="23"/>
    </row>
    <row r="104" spans="1:18">
      <c r="A104" s="21"/>
      <c r="B104" s="22"/>
      <c r="C104" s="22"/>
      <c r="D104" s="22"/>
      <c r="E104" s="22"/>
      <c r="F104" s="22"/>
      <c r="G104" s="22"/>
      <c r="H104" s="22"/>
      <c r="I104" s="22"/>
      <c r="J104" s="22"/>
      <c r="K104" s="22"/>
      <c r="L104" s="22"/>
      <c r="M104" s="22"/>
      <c r="N104" s="22"/>
      <c r="O104" s="22"/>
      <c r="P104" s="22"/>
      <c r="Q104" s="22"/>
      <c r="R104" s="23"/>
    </row>
    <row r="105" spans="1:18">
      <c r="A105" s="21"/>
      <c r="B105" s="22" t="s">
        <v>122</v>
      </c>
      <c r="C105" s="22"/>
      <c r="D105" s="22"/>
      <c r="E105" s="22"/>
      <c r="F105" s="22"/>
      <c r="G105" s="22"/>
      <c r="H105" s="22"/>
      <c r="I105" s="22"/>
      <c r="J105" s="22"/>
      <c r="K105" s="22"/>
      <c r="L105" s="22"/>
      <c r="M105" s="22"/>
      <c r="N105" s="22"/>
      <c r="O105" s="22"/>
      <c r="P105" s="22"/>
      <c r="Q105" s="22"/>
      <c r="R105" s="23"/>
    </row>
    <row r="106" spans="1:18">
      <c r="A106" s="78"/>
      <c r="B106" s="79"/>
      <c r="C106" s="79"/>
      <c r="D106" s="79"/>
      <c r="E106" s="79"/>
      <c r="F106" s="79"/>
      <c r="G106" s="79"/>
      <c r="H106" s="79"/>
      <c r="I106" s="79"/>
      <c r="J106" s="79"/>
      <c r="K106" s="79"/>
      <c r="L106" s="79"/>
      <c r="M106" s="79"/>
      <c r="N106" s="79"/>
      <c r="O106" s="79"/>
      <c r="P106" s="79"/>
      <c r="Q106" s="79"/>
      <c r="R106" s="80"/>
    </row>
    <row r="108" spans="1:18">
      <c r="C108" s="47" t="s">
        <v>123</v>
      </c>
      <c r="D108" s="46"/>
      <c r="E108" s="46"/>
      <c r="F108" s="46"/>
      <c r="G108" s="46"/>
      <c r="H108" s="46"/>
      <c r="I108" s="46"/>
      <c r="J108" s="46"/>
      <c r="K108" s="46"/>
      <c r="L108" s="46"/>
      <c r="M108" s="46"/>
      <c r="N108" s="46"/>
      <c r="O108" s="46"/>
      <c r="P108" s="46"/>
      <c r="Q108" s="46"/>
      <c r="R108" s="14"/>
    </row>
    <row r="109" spans="1:18">
      <c r="C109" s="48"/>
      <c r="R109" s="5"/>
    </row>
    <row r="110" spans="1:18">
      <c r="C110" s="98" t="s">
        <v>65</v>
      </c>
      <c r="D110" s="97" t="s">
        <v>66</v>
      </c>
      <c r="E110" s="97" t="s">
        <v>67</v>
      </c>
      <c r="F110" s="97" t="s">
        <v>68</v>
      </c>
      <c r="G110" s="97" t="s">
        <v>69</v>
      </c>
      <c r="H110" s="97" t="s">
        <v>70</v>
      </c>
      <c r="I110" s="97" t="s">
        <v>71</v>
      </c>
      <c r="J110" s="97" t="s">
        <v>72</v>
      </c>
      <c r="K110" s="97" t="s">
        <v>73</v>
      </c>
      <c r="L110" s="97" t="s">
        <v>74</v>
      </c>
      <c r="M110" s="97" t="s">
        <v>75</v>
      </c>
      <c r="N110" s="97" t="s">
        <v>76</v>
      </c>
      <c r="O110" s="97" t="s">
        <v>77</v>
      </c>
      <c r="P110" s="97" t="s">
        <v>78</v>
      </c>
      <c r="Q110" s="97" t="s">
        <v>79</v>
      </c>
      <c r="R110" s="99" t="s">
        <v>80</v>
      </c>
    </row>
    <row r="111" spans="1:18">
      <c r="B111" s="1" t="s">
        <v>124</v>
      </c>
      <c r="C111" s="59">
        <f>C97-C43</f>
        <v>-36216.825149999815</v>
      </c>
      <c r="D111" s="12">
        <f t="shared" ref="D111:R111" si="32">D97-D43</f>
        <v>23690.068780000205</v>
      </c>
      <c r="E111" s="12">
        <f t="shared" si="32"/>
        <v>-7901.4526699999114</v>
      </c>
      <c r="F111" s="12">
        <f t="shared" si="32"/>
        <v>31268.402700000093</v>
      </c>
      <c r="G111" s="12">
        <f t="shared" si="32"/>
        <v>-13908.17023999989</v>
      </c>
      <c r="H111" s="12">
        <f t="shared" si="32"/>
        <v>7237.7704950001789</v>
      </c>
      <c r="I111" s="12">
        <f t="shared" si="32"/>
        <v>26780.544370000134</v>
      </c>
      <c r="J111" s="12">
        <f t="shared" si="32"/>
        <v>30879.851340000052</v>
      </c>
      <c r="K111" s="12">
        <f t="shared" si="32"/>
        <v>13194.738895000191</v>
      </c>
      <c r="L111" s="12">
        <f t="shared" si="32"/>
        <v>18454.231000000029</v>
      </c>
      <c r="M111" s="12">
        <f t="shared" si="32"/>
        <v>28381.614385000081</v>
      </c>
      <c r="N111" s="12">
        <f t="shared" si="32"/>
        <v>5375.1143200000515</v>
      </c>
      <c r="O111" s="12">
        <f t="shared" si="32"/>
        <v>19440.485510000144</v>
      </c>
      <c r="P111" s="12">
        <f t="shared" si="32"/>
        <v>21352.929025000194</v>
      </c>
      <c r="Q111" s="12">
        <f t="shared" si="32"/>
        <v>58645.597535000066</v>
      </c>
      <c r="R111" s="8">
        <f t="shared" si="32"/>
        <v>19676.579390000086</v>
      </c>
    </row>
    <row r="112" spans="1:18">
      <c r="B112" s="1" t="s">
        <v>125</v>
      </c>
      <c r="C112" s="60">
        <f t="shared" ref="C112:R112" si="33">C111/$D$1</f>
        <v>-1.4840528253564913</v>
      </c>
      <c r="D112" s="9">
        <f t="shared" si="33"/>
        <v>0.97074531961974286</v>
      </c>
      <c r="E112" s="9">
        <f t="shared" si="33"/>
        <v>-0.32377694927060774</v>
      </c>
      <c r="F112" s="9">
        <f t="shared" si="33"/>
        <v>1.281281867726606</v>
      </c>
      <c r="G112" s="9">
        <f t="shared" si="33"/>
        <v>-0.5699135485985859</v>
      </c>
      <c r="H112" s="9">
        <f t="shared" si="33"/>
        <v>0.296581318431412</v>
      </c>
      <c r="I112" s="9">
        <f t="shared" si="33"/>
        <v>1.097383394935262</v>
      </c>
      <c r="J112" s="9">
        <f t="shared" si="33"/>
        <v>1.2653602417636474</v>
      </c>
      <c r="K112" s="9">
        <f t="shared" si="33"/>
        <v>0.54067935154073887</v>
      </c>
      <c r="L112" s="9">
        <f t="shared" si="33"/>
        <v>0.75619697590559043</v>
      </c>
      <c r="M112" s="9">
        <f t="shared" si="33"/>
        <v>1.1629902632765154</v>
      </c>
      <c r="N112" s="9">
        <f t="shared" si="33"/>
        <v>0.22025546303884821</v>
      </c>
      <c r="O112" s="9">
        <f t="shared" si="33"/>
        <v>0.79661061752172369</v>
      </c>
      <c r="P112" s="9">
        <f t="shared" si="33"/>
        <v>0.8749766032207914</v>
      </c>
      <c r="Q112" s="9">
        <f t="shared" si="33"/>
        <v>2.4031141425585996</v>
      </c>
      <c r="R112" s="61">
        <f t="shared" si="33"/>
        <v>0.80628501024422583</v>
      </c>
    </row>
    <row r="113" spans="2:18">
      <c r="B113" s="1" t="s">
        <v>126</v>
      </c>
      <c r="C113" s="59">
        <f t="shared" ref="C113:R113" si="34">C102-C49</f>
        <v>-22115.825149999815</v>
      </c>
      <c r="D113" s="12">
        <f t="shared" si="34"/>
        <v>37791.068780000205</v>
      </c>
      <c r="E113" s="12">
        <f t="shared" si="34"/>
        <v>6199.5473300000886</v>
      </c>
      <c r="F113" s="12">
        <f t="shared" si="34"/>
        <v>45369.402700000093</v>
      </c>
      <c r="G113" s="12">
        <f t="shared" si="34"/>
        <v>192.82976000010967</v>
      </c>
      <c r="H113" s="12">
        <f t="shared" si="34"/>
        <v>21338.770495000179</v>
      </c>
      <c r="I113" s="12">
        <f t="shared" si="34"/>
        <v>40881.544370000134</v>
      </c>
      <c r="J113" s="12">
        <f t="shared" si="34"/>
        <v>44980.851340000052</v>
      </c>
      <c r="K113" s="12">
        <f t="shared" si="34"/>
        <v>27295.738895000191</v>
      </c>
      <c r="L113" s="12">
        <f t="shared" si="34"/>
        <v>32555.231000000029</v>
      </c>
      <c r="M113" s="12">
        <f t="shared" si="34"/>
        <v>42482.614385000081</v>
      </c>
      <c r="N113" s="12">
        <f t="shared" si="34"/>
        <v>19476.114320000052</v>
      </c>
      <c r="O113" s="12">
        <f t="shared" si="34"/>
        <v>33541.485510000144</v>
      </c>
      <c r="P113" s="12">
        <f t="shared" si="34"/>
        <v>35453.929025000194</v>
      </c>
      <c r="Q113" s="12">
        <f t="shared" si="34"/>
        <v>72746.597535000066</v>
      </c>
      <c r="R113" s="8">
        <f t="shared" si="34"/>
        <v>33777.579390000086</v>
      </c>
    </row>
    <row r="114" spans="2:18">
      <c r="B114" s="1" t="s">
        <v>127</v>
      </c>
      <c r="C114" s="60">
        <f t="shared" ref="C114:R114" si="35">C113/$D$1</f>
        <v>-0.90623771307981538</v>
      </c>
      <c r="D114" s="9">
        <f t="shared" si="35"/>
        <v>1.5485604318964188</v>
      </c>
      <c r="E114" s="9">
        <f t="shared" si="35"/>
        <v>0.25403816300606819</v>
      </c>
      <c r="F114" s="9">
        <f t="shared" si="35"/>
        <v>1.8590969800032819</v>
      </c>
      <c r="G114" s="9">
        <f t="shared" si="35"/>
        <v>7.9015636780900532E-3</v>
      </c>
      <c r="H114" s="9">
        <f t="shared" si="35"/>
        <v>0.87439643070808792</v>
      </c>
      <c r="I114" s="9">
        <f t="shared" si="35"/>
        <v>1.675198507211938</v>
      </c>
      <c r="J114" s="9">
        <f t="shared" si="35"/>
        <v>1.8431753540403233</v>
      </c>
      <c r="K114" s="9">
        <f t="shared" si="35"/>
        <v>1.1184944638174148</v>
      </c>
      <c r="L114" s="9">
        <f t="shared" si="35"/>
        <v>1.3340120881822664</v>
      </c>
      <c r="M114" s="9">
        <f t="shared" si="35"/>
        <v>1.7408053755531914</v>
      </c>
      <c r="N114" s="9">
        <f t="shared" si="35"/>
        <v>0.79807057531552417</v>
      </c>
      <c r="O114" s="9">
        <f t="shared" si="35"/>
        <v>1.3744257297983997</v>
      </c>
      <c r="P114" s="9">
        <f t="shared" si="35"/>
        <v>1.4527917154974674</v>
      </c>
      <c r="Q114" s="9">
        <f t="shared" si="35"/>
        <v>2.9809292548352757</v>
      </c>
      <c r="R114" s="61">
        <f t="shared" si="35"/>
        <v>1.3841001225209018</v>
      </c>
    </row>
    <row r="115" spans="2:18">
      <c r="C115" s="4"/>
      <c r="R115" s="5"/>
    </row>
    <row r="116" spans="2:18">
      <c r="C116" s="48" t="s">
        <v>128</v>
      </c>
      <c r="R116" s="5"/>
    </row>
    <row r="117" spans="2:18">
      <c r="C117" s="4" t="s">
        <v>129</v>
      </c>
      <c r="R117" s="5"/>
    </row>
    <row r="118" spans="2:18">
      <c r="C118" s="4" t="s">
        <v>130</v>
      </c>
      <c r="R118" s="5"/>
    </row>
    <row r="119" spans="2:18">
      <c r="C119" s="4" t="s">
        <v>131</v>
      </c>
      <c r="R119" s="5"/>
    </row>
    <row r="120" spans="2:18">
      <c r="C120" s="4" t="s">
        <v>132</v>
      </c>
      <c r="R120" s="5"/>
    </row>
    <row r="121" spans="2:18">
      <c r="C121" s="4" t="s">
        <v>133</v>
      </c>
      <c r="R121" s="5"/>
    </row>
    <row r="122" spans="2:18">
      <c r="C122" s="4" t="s">
        <v>134</v>
      </c>
      <c r="R122" s="5"/>
    </row>
    <row r="123" spans="2:18">
      <c r="C123" s="4" t="s">
        <v>135</v>
      </c>
      <c r="R123" s="5"/>
    </row>
    <row r="124" spans="2:18">
      <c r="C124" s="4" t="s">
        <v>136</v>
      </c>
      <c r="R124" s="5"/>
    </row>
    <row r="125" spans="2:18">
      <c r="C125" s="6" t="s">
        <v>137</v>
      </c>
      <c r="D125" s="2"/>
      <c r="E125" s="2"/>
      <c r="F125" s="2"/>
      <c r="G125" s="2"/>
      <c r="H125" s="2"/>
      <c r="I125" s="2"/>
      <c r="J125" s="2"/>
      <c r="K125" s="2"/>
      <c r="L125" s="2"/>
      <c r="M125" s="2"/>
      <c r="N125" s="2"/>
      <c r="O125" s="2"/>
      <c r="P125" s="2"/>
      <c r="Q125" s="2"/>
      <c r="R125" s="7"/>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971E-138F-48B8-83D7-15AE7CDBCA25}">
  <dimension ref="B2:F58"/>
  <sheetViews>
    <sheetView zoomScale="85" zoomScaleNormal="85" workbookViewId="0">
      <selection activeCell="B2" sqref="B2"/>
    </sheetView>
  </sheetViews>
  <sheetFormatPr defaultRowHeight="15"/>
  <cols>
    <col min="2" max="2" width="25.7109375" customWidth="1"/>
    <col min="3" max="3" width="28.140625" customWidth="1"/>
    <col min="5" max="5" width="8.28515625" customWidth="1"/>
    <col min="6" max="6" width="15.28515625" customWidth="1"/>
    <col min="7" max="7" width="10.140625" bestFit="1" customWidth="1"/>
    <col min="8" max="8" width="10.7109375" customWidth="1"/>
    <col min="9" max="9" width="9.85546875" customWidth="1"/>
    <col min="10" max="10" width="6.7109375" customWidth="1"/>
    <col min="11" max="11" width="12.140625" bestFit="1" customWidth="1"/>
    <col min="12" max="12" width="18.7109375" customWidth="1"/>
    <col min="14" max="14" width="22.5703125" customWidth="1"/>
    <col min="15" max="15" width="41" customWidth="1"/>
    <col min="21" max="21" width="11.140625" bestFit="1" customWidth="1"/>
    <col min="23" max="23" width="12.140625" bestFit="1" customWidth="1"/>
    <col min="24" max="24" width="13.42578125" bestFit="1" customWidth="1"/>
    <col min="25" max="25" width="13.28515625" customWidth="1"/>
  </cols>
  <sheetData>
    <row r="2" spans="2:6" ht="21">
      <c r="B2" s="52" t="s">
        <v>138</v>
      </c>
    </row>
    <row r="5" spans="2:6">
      <c r="B5" s="1" t="s">
        <v>139</v>
      </c>
    </row>
    <row r="6" spans="2:6">
      <c r="B6" t="s">
        <v>140</v>
      </c>
      <c r="C6" t="s">
        <v>141</v>
      </c>
      <c r="D6" t="s">
        <v>14</v>
      </c>
    </row>
    <row r="7" spans="2:6">
      <c r="B7" t="s">
        <v>32</v>
      </c>
      <c r="C7" s="12">
        <f>1909*1.7</f>
        <v>3245.2999999999997</v>
      </c>
      <c r="D7" s="13" t="s">
        <v>142</v>
      </c>
    </row>
    <row r="8" spans="2:6">
      <c r="D8" s="12"/>
      <c r="F8" s="13"/>
    </row>
    <row r="10" spans="2:6">
      <c r="B10" s="1" t="s">
        <v>143</v>
      </c>
    </row>
    <row r="11" spans="2:6">
      <c r="B11" t="s">
        <v>144</v>
      </c>
      <c r="C11" t="s">
        <v>145</v>
      </c>
      <c r="D11" t="s">
        <v>146</v>
      </c>
    </row>
    <row r="12" spans="2:6">
      <c r="B12">
        <v>7.5</v>
      </c>
      <c r="C12">
        <v>2100</v>
      </c>
      <c r="D12">
        <v>6525</v>
      </c>
    </row>
    <row r="13" spans="2:6">
      <c r="B13">
        <v>10</v>
      </c>
      <c r="C13">
        <v>2425</v>
      </c>
      <c r="D13">
        <v>8050</v>
      </c>
    </row>
    <row r="14" spans="2:6">
      <c r="B14">
        <v>12.5</v>
      </c>
      <c r="C14">
        <v>2575</v>
      </c>
      <c r="D14">
        <v>9100</v>
      </c>
    </row>
    <row r="15" spans="2:6">
      <c r="B15">
        <v>15</v>
      </c>
      <c r="C15">
        <v>2850</v>
      </c>
      <c r="D15">
        <v>12200</v>
      </c>
    </row>
    <row r="16" spans="2:6">
      <c r="B16">
        <v>20</v>
      </c>
      <c r="C16">
        <v>3325</v>
      </c>
      <c r="D16">
        <v>15700</v>
      </c>
    </row>
    <row r="17" spans="2:4">
      <c r="B17">
        <v>25</v>
      </c>
      <c r="C17">
        <v>3975</v>
      </c>
      <c r="D17">
        <v>36900</v>
      </c>
    </row>
    <row r="18" spans="2:4">
      <c r="B18">
        <v>30</v>
      </c>
      <c r="C18">
        <v>4725</v>
      </c>
      <c r="D18">
        <v>37200</v>
      </c>
    </row>
    <row r="19" spans="2:4">
      <c r="B19">
        <v>40</v>
      </c>
      <c r="C19">
        <v>6300</v>
      </c>
      <c r="D19">
        <v>45400</v>
      </c>
    </row>
    <row r="20" spans="2:4">
      <c r="B20">
        <v>50</v>
      </c>
      <c r="C20">
        <v>7875</v>
      </c>
      <c r="D20">
        <v>51500</v>
      </c>
    </row>
    <row r="26" spans="2:4">
      <c r="B26" s="1" t="s">
        <v>147</v>
      </c>
    </row>
    <row r="49" spans="2:5">
      <c r="B49" t="s">
        <v>21</v>
      </c>
      <c r="C49" t="s">
        <v>148</v>
      </c>
      <c r="D49" t="s">
        <v>149</v>
      </c>
      <c r="E49" t="s">
        <v>150</v>
      </c>
    </row>
    <row r="50" spans="2:5">
      <c r="B50" t="s">
        <v>151</v>
      </c>
      <c r="C50">
        <v>24.6</v>
      </c>
      <c r="D50">
        <v>246.33</v>
      </c>
      <c r="E50" s="56">
        <f>C50+D50</f>
        <v>270.93</v>
      </c>
    </row>
    <row r="51" spans="2:5">
      <c r="B51" t="s">
        <v>152</v>
      </c>
      <c r="C51">
        <v>16.32</v>
      </c>
      <c r="D51">
        <v>40.33</v>
      </c>
      <c r="E51" s="56">
        <f>C51+D51</f>
        <v>56.65</v>
      </c>
    </row>
    <row r="52" spans="2:5">
      <c r="B52" t="s">
        <v>153</v>
      </c>
      <c r="C52">
        <f>3/5*C51</f>
        <v>9.7919999999999998</v>
      </c>
      <c r="D52">
        <v>40.33</v>
      </c>
      <c r="E52" s="56">
        <f>C52+D52</f>
        <v>50.122</v>
      </c>
    </row>
    <row r="54" spans="2:5">
      <c r="C54" t="s">
        <v>154</v>
      </c>
    </row>
    <row r="55" spans="2:5">
      <c r="C55" s="1" t="s">
        <v>155</v>
      </c>
    </row>
    <row r="56" spans="2:5">
      <c r="C56" t="s">
        <v>156</v>
      </c>
    </row>
    <row r="58" spans="2:5">
      <c r="C58" s="1" t="s">
        <v>157</v>
      </c>
    </row>
  </sheetData>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05233-657D-4612-B090-5DCBA77590B4}">
  <dimension ref="B2:H77"/>
  <sheetViews>
    <sheetView topLeftCell="A20" zoomScale="85" zoomScaleNormal="85" workbookViewId="0">
      <selection activeCell="B3" sqref="B3"/>
    </sheetView>
  </sheetViews>
  <sheetFormatPr defaultRowHeight="15"/>
  <cols>
    <col min="2" max="2" width="11" customWidth="1"/>
    <col min="4" max="4" width="10.5703125" bestFit="1" customWidth="1"/>
    <col min="5" max="5" width="10" bestFit="1" customWidth="1"/>
    <col min="6" max="6" width="12.140625" customWidth="1"/>
    <col min="9" max="9" width="10" bestFit="1" customWidth="1"/>
  </cols>
  <sheetData>
    <row r="2" spans="2:5" ht="21">
      <c r="B2" s="52" t="s">
        <v>158</v>
      </c>
    </row>
    <row r="5" spans="2:5">
      <c r="B5" t="s">
        <v>159</v>
      </c>
      <c r="D5" t="s">
        <v>160</v>
      </c>
    </row>
    <row r="7" spans="2:5">
      <c r="B7" t="s">
        <v>161</v>
      </c>
      <c r="C7" t="s">
        <v>162</v>
      </c>
      <c r="D7" t="s">
        <v>149</v>
      </c>
      <c r="E7" t="s">
        <v>53</v>
      </c>
    </row>
    <row r="8" spans="2:5">
      <c r="B8">
        <v>30</v>
      </c>
      <c r="C8">
        <v>5525</v>
      </c>
      <c r="D8">
        <v>1275</v>
      </c>
      <c r="E8">
        <f>C8+D8</f>
        <v>6800</v>
      </c>
    </row>
    <row r="9" spans="2:5">
      <c r="B9">
        <v>45</v>
      </c>
      <c r="C9">
        <v>5400</v>
      </c>
      <c r="D9">
        <v>1275</v>
      </c>
      <c r="E9">
        <f t="shared" ref="E9:E27" si="0">C9+D9</f>
        <v>6675</v>
      </c>
    </row>
    <row r="10" spans="2:5">
      <c r="B10">
        <v>60</v>
      </c>
      <c r="C10">
        <v>5775</v>
      </c>
      <c r="D10">
        <v>1275</v>
      </c>
      <c r="E10">
        <f t="shared" si="0"/>
        <v>7050</v>
      </c>
    </row>
    <row r="11" spans="2:5">
      <c r="B11">
        <v>75</v>
      </c>
      <c r="C11">
        <v>6100</v>
      </c>
      <c r="D11">
        <v>1400</v>
      </c>
      <c r="E11">
        <f t="shared" si="0"/>
        <v>7500</v>
      </c>
    </row>
    <row r="12" spans="2:5">
      <c r="B12">
        <v>90</v>
      </c>
      <c r="C12">
        <v>6150</v>
      </c>
      <c r="D12">
        <v>1400</v>
      </c>
      <c r="E12">
        <f t="shared" si="0"/>
        <v>7550</v>
      </c>
    </row>
    <row r="13" spans="2:5">
      <c r="B13">
        <v>105</v>
      </c>
      <c r="C13">
        <v>7125</v>
      </c>
      <c r="D13">
        <v>1550</v>
      </c>
      <c r="E13">
        <f t="shared" si="0"/>
        <v>8675</v>
      </c>
    </row>
    <row r="14" spans="2:5">
      <c r="B14">
        <v>120</v>
      </c>
      <c r="C14">
        <v>6800</v>
      </c>
      <c r="D14">
        <v>1725</v>
      </c>
      <c r="E14">
        <f t="shared" si="0"/>
        <v>8525</v>
      </c>
    </row>
    <row r="15" spans="2:5">
      <c r="B15">
        <v>135</v>
      </c>
      <c r="C15">
        <v>7550</v>
      </c>
      <c r="D15">
        <v>2050</v>
      </c>
      <c r="E15">
        <f t="shared" si="0"/>
        <v>9600</v>
      </c>
    </row>
    <row r="16" spans="2:5">
      <c r="B16">
        <v>150</v>
      </c>
      <c r="C16">
        <v>7950</v>
      </c>
      <c r="D16">
        <v>2375</v>
      </c>
      <c r="E16">
        <f t="shared" si="0"/>
        <v>10325</v>
      </c>
    </row>
    <row r="17" spans="2:7">
      <c r="B17">
        <v>165</v>
      </c>
      <c r="C17">
        <v>8175</v>
      </c>
      <c r="D17">
        <v>2575</v>
      </c>
      <c r="E17">
        <f t="shared" si="0"/>
        <v>10750</v>
      </c>
    </row>
    <row r="18" spans="2:7">
      <c r="B18">
        <v>296</v>
      </c>
      <c r="C18">
        <v>16200</v>
      </c>
      <c r="D18">
        <v>2800</v>
      </c>
      <c r="E18">
        <f t="shared" si="0"/>
        <v>19000</v>
      </c>
    </row>
    <row r="19" spans="2:7">
      <c r="B19">
        <v>370</v>
      </c>
      <c r="C19">
        <v>18000</v>
      </c>
      <c r="D19">
        <v>3850</v>
      </c>
      <c r="E19">
        <f t="shared" si="0"/>
        <v>21850</v>
      </c>
    </row>
    <row r="20" spans="2:7">
      <c r="B20">
        <v>444</v>
      </c>
      <c r="C20">
        <v>21600</v>
      </c>
      <c r="D20">
        <v>4400</v>
      </c>
      <c r="E20">
        <f t="shared" si="0"/>
        <v>26000</v>
      </c>
    </row>
    <row r="21" spans="2:7">
      <c r="B21">
        <v>518</v>
      </c>
      <c r="C21">
        <v>23900</v>
      </c>
      <c r="D21">
        <v>4775</v>
      </c>
      <c r="E21">
        <f t="shared" si="0"/>
        <v>28675</v>
      </c>
    </row>
    <row r="22" spans="2:7">
      <c r="B22">
        <v>592</v>
      </c>
      <c r="C22">
        <v>26200</v>
      </c>
      <c r="D22">
        <v>4900</v>
      </c>
      <c r="E22">
        <f t="shared" si="0"/>
        <v>31100</v>
      </c>
    </row>
    <row r="23" spans="2:7">
      <c r="B23">
        <v>666</v>
      </c>
      <c r="C23">
        <v>28400</v>
      </c>
      <c r="D23">
        <v>5275</v>
      </c>
      <c r="E23">
        <f t="shared" si="0"/>
        <v>33675</v>
      </c>
    </row>
    <row r="24" spans="2:7">
      <c r="B24">
        <v>740</v>
      </c>
      <c r="C24">
        <v>28600</v>
      </c>
      <c r="D24">
        <v>5400</v>
      </c>
      <c r="E24">
        <f t="shared" si="0"/>
        <v>34000</v>
      </c>
    </row>
    <row r="25" spans="2:7">
      <c r="B25">
        <v>814</v>
      </c>
      <c r="C25">
        <v>30800</v>
      </c>
      <c r="D25">
        <v>5550</v>
      </c>
      <c r="E25">
        <f t="shared" si="0"/>
        <v>36350</v>
      </c>
    </row>
    <row r="26" spans="2:7">
      <c r="B26">
        <v>888</v>
      </c>
      <c r="C26">
        <v>33300</v>
      </c>
      <c r="D26">
        <v>5700</v>
      </c>
      <c r="E26">
        <f t="shared" si="0"/>
        <v>39000</v>
      </c>
    </row>
    <row r="27" spans="2:7">
      <c r="B27">
        <v>962</v>
      </c>
      <c r="C27">
        <v>35300</v>
      </c>
      <c r="D27">
        <v>5850</v>
      </c>
      <c r="E27">
        <f t="shared" si="0"/>
        <v>41150</v>
      </c>
    </row>
    <row r="30" spans="2:7">
      <c r="B30" t="s">
        <v>163</v>
      </c>
    </row>
    <row r="32" spans="2:7">
      <c r="G32" t="s">
        <v>164</v>
      </c>
    </row>
    <row r="33" spans="2:8">
      <c r="B33" t="s">
        <v>165</v>
      </c>
      <c r="C33" t="s">
        <v>166</v>
      </c>
      <c r="D33" t="s">
        <v>82</v>
      </c>
      <c r="E33" t="s">
        <v>167</v>
      </c>
      <c r="G33" t="s">
        <v>161</v>
      </c>
      <c r="H33" t="s">
        <v>85</v>
      </c>
    </row>
    <row r="34" spans="2:8">
      <c r="B34" t="s">
        <v>168</v>
      </c>
      <c r="C34">
        <v>85.1</v>
      </c>
      <c r="D34">
        <v>400</v>
      </c>
      <c r="E34" s="15">
        <v>7413</v>
      </c>
      <c r="G34">
        <v>102</v>
      </c>
      <c r="H34">
        <v>1650</v>
      </c>
    </row>
    <row r="35" spans="2:8">
      <c r="B35" t="s">
        <v>168</v>
      </c>
      <c r="C35">
        <v>85.1</v>
      </c>
      <c r="D35">
        <v>650</v>
      </c>
      <c r="E35" s="15">
        <v>10679</v>
      </c>
      <c r="G35">
        <v>122</v>
      </c>
      <c r="H35">
        <v>2150</v>
      </c>
    </row>
    <row r="36" spans="2:8">
      <c r="B36" t="s">
        <v>168</v>
      </c>
      <c r="C36">
        <v>85.1</v>
      </c>
      <c r="D36">
        <v>910</v>
      </c>
      <c r="E36" s="15">
        <v>13720</v>
      </c>
      <c r="G36">
        <v>163</v>
      </c>
      <c r="H36">
        <v>2375</v>
      </c>
    </row>
    <row r="37" spans="2:8">
      <c r="B37" t="s">
        <v>168</v>
      </c>
      <c r="C37">
        <v>85.1</v>
      </c>
      <c r="D37">
        <v>1040</v>
      </c>
      <c r="E37" s="15">
        <v>15005</v>
      </c>
      <c r="G37">
        <v>203</v>
      </c>
      <c r="H37">
        <v>2375</v>
      </c>
    </row>
    <row r="38" spans="2:8">
      <c r="B38" t="s">
        <v>168</v>
      </c>
      <c r="C38">
        <v>85.1</v>
      </c>
      <c r="D38">
        <v>1170</v>
      </c>
      <c r="E38" s="15">
        <v>16622</v>
      </c>
      <c r="G38">
        <v>240</v>
      </c>
      <c r="H38">
        <v>2525</v>
      </c>
    </row>
    <row r="39" spans="2:8">
      <c r="B39" t="s">
        <v>168</v>
      </c>
      <c r="C39">
        <v>85.1</v>
      </c>
      <c r="D39">
        <v>1300</v>
      </c>
      <c r="E39" s="15">
        <v>17967</v>
      </c>
      <c r="G39">
        <v>280</v>
      </c>
      <c r="H39">
        <v>2675</v>
      </c>
    </row>
    <row r="40" spans="2:8">
      <c r="B40" t="s">
        <v>169</v>
      </c>
      <c r="D40">
        <v>495</v>
      </c>
      <c r="E40" s="12">
        <v>6661</v>
      </c>
      <c r="G40">
        <v>320</v>
      </c>
      <c r="H40">
        <v>3050</v>
      </c>
    </row>
    <row r="41" spans="2:8">
      <c r="B41" t="s">
        <v>170</v>
      </c>
      <c r="C41">
        <v>82</v>
      </c>
      <c r="D41">
        <v>315</v>
      </c>
      <c r="E41" s="15">
        <v>4266</v>
      </c>
      <c r="G41">
        <v>360</v>
      </c>
      <c r="H41">
        <v>3425</v>
      </c>
    </row>
    <row r="42" spans="2:8">
      <c r="B42" t="s">
        <v>170</v>
      </c>
      <c r="D42">
        <v>360</v>
      </c>
      <c r="E42" s="15">
        <v>4455</v>
      </c>
      <c r="G42">
        <v>400</v>
      </c>
      <c r="H42">
        <v>3800</v>
      </c>
    </row>
    <row r="43" spans="2:8">
      <c r="B43" t="s">
        <v>170</v>
      </c>
      <c r="D43">
        <v>399</v>
      </c>
      <c r="E43" s="15">
        <v>4893</v>
      </c>
      <c r="G43">
        <v>440</v>
      </c>
      <c r="H43">
        <v>4175</v>
      </c>
    </row>
    <row r="44" spans="2:8">
      <c r="B44" t="s">
        <v>170</v>
      </c>
      <c r="D44">
        <v>500</v>
      </c>
      <c r="E44" s="12">
        <v>6427</v>
      </c>
      <c r="G44">
        <v>544</v>
      </c>
      <c r="H44">
        <v>4800</v>
      </c>
    </row>
    <row r="45" spans="2:8">
      <c r="B45" t="s">
        <v>171</v>
      </c>
      <c r="C45">
        <v>85</v>
      </c>
      <c r="D45">
        <v>500</v>
      </c>
      <c r="E45" s="15">
        <v>13121</v>
      </c>
      <c r="G45">
        <v>765</v>
      </c>
      <c r="H45">
        <v>4975</v>
      </c>
    </row>
    <row r="46" spans="2:8">
      <c r="B46" t="s">
        <v>171</v>
      </c>
      <c r="C46">
        <v>85</v>
      </c>
      <c r="D46">
        <v>750</v>
      </c>
      <c r="E46" s="15">
        <v>14700</v>
      </c>
      <c r="G46">
        <v>892</v>
      </c>
      <c r="H46">
        <v>5650</v>
      </c>
    </row>
    <row r="47" spans="2:8">
      <c r="B47" t="s">
        <v>171</v>
      </c>
      <c r="C47">
        <v>85</v>
      </c>
      <c r="D47">
        <v>1250</v>
      </c>
      <c r="E47" s="15">
        <v>15456</v>
      </c>
    </row>
    <row r="59" spans="2:4">
      <c r="B59" s="106" t="s">
        <v>172</v>
      </c>
      <c r="C59" s="46"/>
      <c r="D59" s="14"/>
    </row>
    <row r="60" spans="2:4">
      <c r="B60" s="4" t="s">
        <v>173</v>
      </c>
      <c r="C60">
        <f>200*12</f>
        <v>2400</v>
      </c>
      <c r="D60" s="5"/>
    </row>
    <row r="61" spans="2:4">
      <c r="B61" s="4"/>
      <c r="C61">
        <f>C60*1000/(500*30)</f>
        <v>160</v>
      </c>
      <c r="D61" s="5" t="s">
        <v>174</v>
      </c>
    </row>
    <row r="62" spans="2:4">
      <c r="B62" s="4"/>
      <c r="C62">
        <v>19</v>
      </c>
      <c r="D62" s="5" t="s">
        <v>175</v>
      </c>
    </row>
    <row r="63" spans="2:4">
      <c r="B63" s="4"/>
      <c r="C63">
        <f>C61*19</f>
        <v>3040</v>
      </c>
      <c r="D63" s="5" t="s">
        <v>175</v>
      </c>
    </row>
    <row r="64" spans="2:4">
      <c r="B64" s="4"/>
      <c r="C64" s="105">
        <f>C63*0.9/746</f>
        <v>3.6675603217158175</v>
      </c>
      <c r="D64" s="5"/>
    </row>
    <row r="65" spans="2:7">
      <c r="B65" s="6"/>
      <c r="C65" s="107">
        <f>C64/C60</f>
        <v>1.5281501340482573E-3</v>
      </c>
      <c r="D65" s="7"/>
    </row>
    <row r="68" spans="2:7">
      <c r="B68" t="s">
        <v>176</v>
      </c>
    </row>
    <row r="71" spans="2:7">
      <c r="D71" t="s">
        <v>177</v>
      </c>
      <c r="E71" t="s">
        <v>178</v>
      </c>
    </row>
    <row r="72" spans="2:7">
      <c r="B72" t="s">
        <v>179</v>
      </c>
      <c r="C72" s="13">
        <v>232123135040</v>
      </c>
      <c r="D72">
        <v>8625</v>
      </c>
      <c r="E72" s="15">
        <v>10125</v>
      </c>
      <c r="F72">
        <v>2</v>
      </c>
      <c r="G72" s="15">
        <v>10125</v>
      </c>
    </row>
    <row r="73" spans="2:7">
      <c r="B73" t="s">
        <v>180</v>
      </c>
      <c r="D73">
        <v>8525</v>
      </c>
      <c r="E73" s="15">
        <v>10125</v>
      </c>
      <c r="F73">
        <v>3</v>
      </c>
      <c r="G73" s="15">
        <v>10125</v>
      </c>
    </row>
    <row r="74" spans="2:7">
      <c r="B74" t="s">
        <v>181</v>
      </c>
      <c r="D74">
        <v>12400</v>
      </c>
      <c r="E74" s="15">
        <v>14635</v>
      </c>
      <c r="F74">
        <v>5</v>
      </c>
      <c r="G74" s="15">
        <v>14635</v>
      </c>
    </row>
    <row r="75" spans="2:7">
      <c r="B75" t="s">
        <v>182</v>
      </c>
      <c r="D75">
        <v>12000</v>
      </c>
      <c r="E75" s="15">
        <v>14200</v>
      </c>
      <c r="F75">
        <v>7.5</v>
      </c>
      <c r="G75" s="15">
        <v>14200</v>
      </c>
    </row>
    <row r="76" spans="2:7">
      <c r="B76" t="s">
        <v>183</v>
      </c>
      <c r="D76">
        <v>15200</v>
      </c>
      <c r="E76" s="15">
        <v>18150</v>
      </c>
      <c r="F76">
        <v>10</v>
      </c>
      <c r="G76" s="15">
        <v>18150</v>
      </c>
    </row>
    <row r="77" spans="2:7">
      <c r="B77" t="s">
        <v>184</v>
      </c>
      <c r="D77">
        <v>16300</v>
      </c>
      <c r="E77" s="15">
        <v>19350</v>
      </c>
      <c r="F77">
        <v>15</v>
      </c>
      <c r="G77" s="15">
        <v>19350</v>
      </c>
    </row>
  </sheetData>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418C1C3CD522429F9295B4569DD6C1" ma:contentTypeVersion="17" ma:contentTypeDescription="Create a new document." ma:contentTypeScope="" ma:versionID="e9e03cde65a4c8555dff70f01aa8e45e">
  <xsd:schema xmlns:xsd="http://www.w3.org/2001/XMLSchema" xmlns:xs="http://www.w3.org/2001/XMLSchema" xmlns:p="http://schemas.microsoft.com/office/2006/metadata/properties" xmlns:ns2="64fd6132-5076-4b89-928a-d8e4a6334481" xmlns:ns3="3ebb0589-ab5a-4457-b858-f2bd68e554dd" targetNamespace="http://schemas.microsoft.com/office/2006/metadata/properties" ma:root="true" ma:fieldsID="bd7268890f30a616b196deecb7995ef8" ns2:_="" ns3:_="">
    <xsd:import namespace="64fd6132-5076-4b89-928a-d8e4a6334481"/>
    <xsd:import namespace="3ebb0589-ab5a-4457-b858-f2bd68e554d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fd6132-5076-4b89-928a-d8e4a63344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Notes" ma:index="22" nillable="true" ma:displayName="Notes" ma:description="General notes" ma:format="Dropdown" ma:internalName="Notes">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bb0589-ab5a-4457-b858-f2bd68e554d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9f0f2ed-d63e-4dfc-a5f0-579bed758327}" ma:internalName="TaxCatchAll" ma:showField="CatchAllData" ma:web="3ebb0589-ab5a-4457-b858-f2bd68e554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fd6132-5076-4b89-928a-d8e4a6334481">
      <Terms xmlns="http://schemas.microsoft.com/office/infopath/2007/PartnerControls"/>
    </lcf76f155ced4ddcb4097134ff3c332f>
    <TaxCatchAll xmlns="3ebb0589-ab5a-4457-b858-f2bd68e554dd" xsi:nil="true"/>
    <Notes xmlns="64fd6132-5076-4b89-928a-d8e4a6334481" xsi:nil="true"/>
  </documentManagement>
</p:properties>
</file>

<file path=customXml/itemProps1.xml><?xml version="1.0" encoding="utf-8"?>
<ds:datastoreItem xmlns:ds="http://schemas.openxmlformats.org/officeDocument/2006/customXml" ds:itemID="{ED4E5B40-7458-4101-96E9-74F140E6438C}"/>
</file>

<file path=customXml/itemProps2.xml><?xml version="1.0" encoding="utf-8"?>
<ds:datastoreItem xmlns:ds="http://schemas.openxmlformats.org/officeDocument/2006/customXml" ds:itemID="{F613D11C-58C4-48F2-81A2-A79A86EED604}"/>
</file>

<file path=customXml/itemProps3.xml><?xml version="1.0" encoding="utf-8"?>
<ds:datastoreItem xmlns:ds="http://schemas.openxmlformats.org/officeDocument/2006/customXml" ds:itemID="{C20B8C60-4B1A-42FC-8949-7A2BDBBEBD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A NORESCO</dc:creator>
  <cp:keywords/>
  <dc:description/>
  <cp:lastModifiedBy/>
  <cp:revision/>
  <dcterms:created xsi:type="dcterms:W3CDTF">2022-10-25T17:00:52Z</dcterms:created>
  <dcterms:modified xsi:type="dcterms:W3CDTF">2024-08-21T22:30:25Z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864bb8-b671-4bed-ba85-9478127ab5e9_Enabled">
    <vt:lpwstr>true</vt:lpwstr>
  </property>
  <property fmtid="{D5CDD505-2E9C-101B-9397-08002B2CF9AE}" pid="3" name="MSIP_Label_b7864bb8-b671-4bed-ba85-9478127ab5e9_SetDate">
    <vt:lpwstr>2024-08-15T18:32:35Z</vt:lpwstr>
  </property>
  <property fmtid="{D5CDD505-2E9C-101B-9397-08002B2CF9AE}" pid="4" name="MSIP_Label_b7864bb8-b671-4bed-ba85-9478127ab5e9_Method">
    <vt:lpwstr>Standard</vt:lpwstr>
  </property>
  <property fmtid="{D5CDD505-2E9C-101B-9397-08002B2CF9AE}" pid="5" name="MSIP_Label_b7864bb8-b671-4bed-ba85-9478127ab5e9_Name">
    <vt:lpwstr>Confidential – 2023</vt:lpwstr>
  </property>
  <property fmtid="{D5CDD505-2E9C-101B-9397-08002B2CF9AE}" pid="6" name="MSIP_Label_b7864bb8-b671-4bed-ba85-9478127ab5e9_SiteId">
    <vt:lpwstr>36839a65-7f3f-4bac-9ea4-f571f10a9a03</vt:lpwstr>
  </property>
  <property fmtid="{D5CDD505-2E9C-101B-9397-08002B2CF9AE}" pid="7" name="MSIP_Label_b7864bb8-b671-4bed-ba85-9478127ab5e9_ActionId">
    <vt:lpwstr>1037ec53-e444-438d-a01d-1c72a21b5666</vt:lpwstr>
  </property>
  <property fmtid="{D5CDD505-2E9C-101B-9397-08002B2CF9AE}" pid="8" name="MSIP_Label_b7864bb8-b671-4bed-ba85-9478127ab5e9_ContentBits">
    <vt:lpwstr>0</vt:lpwstr>
  </property>
  <property fmtid="{D5CDD505-2E9C-101B-9397-08002B2CF9AE}" pid="9" name="ContentTypeId">
    <vt:lpwstr>0x01010062418C1C3CD522429F9295B4569DD6C1</vt:lpwstr>
  </property>
  <property fmtid="{D5CDD505-2E9C-101B-9397-08002B2CF9AE}" pid="10" name="MediaServiceImageTags">
    <vt:lpwstr/>
  </property>
</Properties>
</file>