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C:\Users\tsan1\Desktop\"/>
    </mc:Choice>
  </mc:AlternateContent>
  <xr:revisionPtr revIDLastSave="0" documentId="8_{963D7E89-CF50-4DE5-96C3-2B570DB9F68A}" xr6:coauthVersionLast="47" xr6:coauthVersionMax="47" xr10:uidLastSave="{00000000-0000-0000-0000-000000000000}"/>
  <bookViews>
    <workbookView xWindow="-108" yWindow="-108" windowWidth="41496" windowHeight="16896" activeTab="2" xr2:uid="{CF196500-D188-434E-91C6-FD102ED45C71}"/>
  </bookViews>
  <sheets>
    <sheet name="Index" sheetId="11" r:id="rId1"/>
    <sheet name="Final Results" sheetId="5" r:id="rId2"/>
    <sheet name="Proto Costing" sheetId="3" r:id="rId3"/>
    <sheet name="Airside Component Costs" sheetId="1" r:id="rId4"/>
    <sheet name="Plant Equipment Costs" sheetId="4" r:id="rId5"/>
    <sheet name="AGIC" sheetId="6"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6" i="3" l="1"/>
  <c r="C81" i="3"/>
  <c r="D81" i="3"/>
  <c r="E81" i="3"/>
  <c r="F81" i="3"/>
  <c r="G81" i="3"/>
  <c r="H81" i="3"/>
  <c r="I81" i="3"/>
  <c r="J81" i="3"/>
  <c r="K81" i="3"/>
  <c r="L81" i="3"/>
  <c r="M81" i="3"/>
  <c r="N81" i="3"/>
  <c r="O81" i="3"/>
  <c r="P81" i="3"/>
  <c r="Q81" i="3"/>
  <c r="R81" i="3"/>
  <c r="R26" i="3"/>
  <c r="Q26" i="3"/>
  <c r="P26" i="3"/>
  <c r="O26" i="3"/>
  <c r="N26" i="3"/>
  <c r="M26" i="3"/>
  <c r="L26" i="3"/>
  <c r="K26" i="3"/>
  <c r="J26" i="3"/>
  <c r="I26" i="3"/>
  <c r="H26" i="3"/>
  <c r="G26" i="3"/>
  <c r="F26" i="3"/>
  <c r="E26" i="3"/>
  <c r="D26" i="3"/>
  <c r="C84" i="1"/>
  <c r="C82" i="1"/>
  <c r="J30" i="4"/>
  <c r="J31" i="4" s="1"/>
  <c r="J33" i="4" s="1"/>
  <c r="J34" i="4" s="1"/>
  <c r="J35" i="4" s="1"/>
  <c r="D31" i="4"/>
  <c r="D33" i="4" s="1"/>
  <c r="D34" i="4" s="1"/>
  <c r="D35" i="4" s="1"/>
  <c r="E8" i="5"/>
  <c r="J61" i="3" l="1"/>
  <c r="R61" i="3"/>
  <c r="Q32" i="3"/>
  <c r="P32" i="3"/>
  <c r="O32" i="3"/>
  <c r="N32" i="3"/>
  <c r="M32" i="3"/>
  <c r="L32" i="3"/>
  <c r="K32" i="3"/>
  <c r="J32" i="3"/>
  <c r="I32" i="3"/>
  <c r="H32" i="3"/>
  <c r="G32" i="3"/>
  <c r="F32" i="3"/>
  <c r="E32" i="3"/>
  <c r="D32" i="3"/>
  <c r="C32" i="3" l="1"/>
  <c r="C10" i="3"/>
  <c r="H61" i="3"/>
  <c r="I61" i="3"/>
  <c r="L61" i="3"/>
  <c r="G61" i="3"/>
  <c r="K61" i="3"/>
  <c r="M61" i="3"/>
  <c r="N61" i="3"/>
  <c r="C61" i="3"/>
  <c r="O61" i="3"/>
  <c r="D61" i="3"/>
  <c r="P61" i="3"/>
  <c r="E61" i="3"/>
  <c r="Q61" i="3"/>
  <c r="F61" i="3"/>
  <c r="R32" i="3"/>
  <c r="P30" i="3" l="1"/>
  <c r="Q30" i="3" l="1"/>
  <c r="R30" i="3"/>
  <c r="I30" i="3"/>
  <c r="C30" i="3"/>
  <c r="D30" i="3"/>
  <c r="E30" i="3"/>
  <c r="F30" i="3"/>
  <c r="G30" i="3"/>
  <c r="J30" i="3"/>
  <c r="K30" i="3"/>
  <c r="L30" i="3"/>
  <c r="M30" i="3"/>
  <c r="N30" i="3"/>
  <c r="O30" i="3"/>
  <c r="H30" i="3"/>
  <c r="G17" i="5"/>
  <c r="H17" i="5"/>
  <c r="H16" i="5" l="1"/>
  <c r="G16" i="5"/>
  <c r="G15" i="5"/>
  <c r="E15" i="5"/>
  <c r="H15" i="5" s="1"/>
  <c r="C72" i="1" l="1"/>
  <c r="E72" i="1" s="1"/>
  <c r="E71" i="1"/>
  <c r="E70" i="1"/>
  <c r="G18" i="5" l="1"/>
  <c r="E18" i="5"/>
  <c r="H12" i="5"/>
  <c r="H11" i="5"/>
  <c r="G12" i="5"/>
  <c r="G11" i="5"/>
  <c r="R105" i="3"/>
  <c r="Q105" i="3"/>
  <c r="P105" i="3"/>
  <c r="O105" i="3"/>
  <c r="N105" i="3"/>
  <c r="M105" i="3"/>
  <c r="L105" i="3"/>
  <c r="K105" i="3"/>
  <c r="J105" i="3"/>
  <c r="I105" i="3"/>
  <c r="H105" i="3"/>
  <c r="G105" i="3"/>
  <c r="F105" i="3"/>
  <c r="E105" i="3"/>
  <c r="D105" i="3"/>
  <c r="C105" i="3"/>
  <c r="C104" i="3"/>
  <c r="R84" i="3"/>
  <c r="Q84" i="3"/>
  <c r="P84" i="3"/>
  <c r="O84" i="3"/>
  <c r="N84" i="3"/>
  <c r="M84" i="3"/>
  <c r="L84" i="3"/>
  <c r="K84" i="3"/>
  <c r="J84" i="3"/>
  <c r="I84" i="3"/>
  <c r="H84" i="3"/>
  <c r="G84" i="3"/>
  <c r="F84" i="3"/>
  <c r="E84" i="3"/>
  <c r="D84" i="3"/>
  <c r="C84" i="3"/>
  <c r="R97" i="3"/>
  <c r="Q97" i="3"/>
  <c r="P97" i="3"/>
  <c r="O97" i="3"/>
  <c r="N97" i="3"/>
  <c r="M97" i="3"/>
  <c r="L97" i="3"/>
  <c r="K97" i="3"/>
  <c r="J97" i="3"/>
  <c r="I97" i="3"/>
  <c r="H97" i="3"/>
  <c r="G97" i="3"/>
  <c r="F97" i="3"/>
  <c r="E97" i="3"/>
  <c r="D97" i="3"/>
  <c r="R96" i="3"/>
  <c r="Q96" i="3"/>
  <c r="P96" i="3"/>
  <c r="O96" i="3"/>
  <c r="N96" i="3"/>
  <c r="M96" i="3"/>
  <c r="L96" i="3"/>
  <c r="K96" i="3"/>
  <c r="J96" i="3"/>
  <c r="I96" i="3"/>
  <c r="H96" i="3"/>
  <c r="G96" i="3"/>
  <c r="F96" i="3"/>
  <c r="E96" i="3"/>
  <c r="D96" i="3"/>
  <c r="C97" i="3"/>
  <c r="C96" i="3"/>
  <c r="R23" i="3"/>
  <c r="Q23" i="3"/>
  <c r="P23" i="3"/>
  <c r="O23" i="3"/>
  <c r="N23" i="3"/>
  <c r="M23" i="3"/>
  <c r="L23" i="3"/>
  <c r="K23" i="3"/>
  <c r="J23" i="3"/>
  <c r="I23" i="3"/>
  <c r="H23" i="3"/>
  <c r="G23" i="3"/>
  <c r="F23" i="3"/>
  <c r="E23" i="3"/>
  <c r="D23" i="3"/>
  <c r="C23" i="3"/>
  <c r="R40" i="3"/>
  <c r="Q40" i="3"/>
  <c r="P40" i="3"/>
  <c r="O40" i="3"/>
  <c r="N40" i="3"/>
  <c r="M40" i="3"/>
  <c r="L40" i="3"/>
  <c r="K40" i="3"/>
  <c r="J40" i="3"/>
  <c r="I40" i="3"/>
  <c r="H40" i="3"/>
  <c r="G40" i="3"/>
  <c r="F40" i="3"/>
  <c r="E40" i="3"/>
  <c r="D40" i="3"/>
  <c r="C40" i="3"/>
  <c r="P45" i="3" l="1"/>
  <c r="F45" i="3"/>
  <c r="R45" i="3"/>
  <c r="L45" i="3"/>
  <c r="C45" i="3"/>
  <c r="E45" i="3"/>
  <c r="H45" i="3"/>
  <c r="O45" i="3"/>
  <c r="D45" i="3"/>
  <c r="Q45" i="3"/>
  <c r="G45" i="3"/>
  <c r="I45" i="3"/>
  <c r="J45" i="3"/>
  <c r="M45" i="3"/>
  <c r="N45" i="3"/>
  <c r="K45" i="3"/>
  <c r="T42" i="5"/>
  <c r="H42" i="5"/>
  <c r="S42" i="5"/>
  <c r="G42" i="5"/>
  <c r="R42" i="5"/>
  <c r="F42" i="5"/>
  <c r="Q42" i="5"/>
  <c r="E42" i="5"/>
  <c r="M42" i="5"/>
  <c r="L42" i="5"/>
  <c r="K42" i="5"/>
  <c r="J42" i="5"/>
  <c r="I42" i="5"/>
  <c r="P42" i="5"/>
  <c r="O42" i="5"/>
  <c r="N42" i="5"/>
  <c r="R10" i="3" l="1"/>
  <c r="P11" i="3"/>
  <c r="R11" i="3"/>
  <c r="C15" i="3"/>
  <c r="R99" i="3"/>
  <c r="Q99" i="3"/>
  <c r="P99" i="3"/>
  <c r="O99" i="3"/>
  <c r="N99" i="3"/>
  <c r="M99" i="3"/>
  <c r="L99" i="3"/>
  <c r="K99" i="3"/>
  <c r="J99" i="3"/>
  <c r="I99" i="3"/>
  <c r="H99" i="3"/>
  <c r="G99" i="3"/>
  <c r="F99" i="3"/>
  <c r="E99" i="3"/>
  <c r="D99" i="3"/>
  <c r="C99" i="3"/>
  <c r="R90" i="3"/>
  <c r="Q90" i="3"/>
  <c r="P90" i="3"/>
  <c r="O90" i="3"/>
  <c r="N90" i="3"/>
  <c r="M90" i="3"/>
  <c r="L90" i="3"/>
  <c r="K90" i="3"/>
  <c r="J90" i="3"/>
  <c r="I90" i="3"/>
  <c r="H90" i="3"/>
  <c r="G90" i="3"/>
  <c r="F90" i="3"/>
  <c r="E90" i="3"/>
  <c r="D90" i="3"/>
  <c r="C90" i="3"/>
  <c r="R89" i="3"/>
  <c r="Q89" i="3"/>
  <c r="P89" i="3"/>
  <c r="O89" i="3"/>
  <c r="N89" i="3"/>
  <c r="M89" i="3"/>
  <c r="L89" i="3"/>
  <c r="K89" i="3"/>
  <c r="J89" i="3"/>
  <c r="I89" i="3"/>
  <c r="H89" i="3"/>
  <c r="G89" i="3"/>
  <c r="F89" i="3"/>
  <c r="E89" i="3"/>
  <c r="D89" i="3"/>
  <c r="C89" i="3"/>
  <c r="R74" i="3"/>
  <c r="Q74" i="3"/>
  <c r="P74" i="3"/>
  <c r="O74" i="3"/>
  <c r="N74" i="3"/>
  <c r="M74" i="3"/>
  <c r="L74" i="3"/>
  <c r="K74" i="3"/>
  <c r="J74" i="3"/>
  <c r="I74" i="3"/>
  <c r="H74" i="3"/>
  <c r="G74" i="3"/>
  <c r="F74" i="3"/>
  <c r="E74" i="3"/>
  <c r="D74" i="3"/>
  <c r="C74" i="3"/>
  <c r="E11" i="3" l="1"/>
  <c r="C16" i="3"/>
  <c r="N15" i="3"/>
  <c r="M10" i="3"/>
  <c r="O11" i="3"/>
  <c r="F10" i="3"/>
  <c r="H11" i="3"/>
  <c r="I15" i="3"/>
  <c r="E10" i="3"/>
  <c r="F11" i="3"/>
  <c r="H15" i="3"/>
  <c r="C11" i="3"/>
  <c r="M11" i="3"/>
  <c r="I11" i="3"/>
  <c r="O10" i="3"/>
  <c r="H10" i="3"/>
  <c r="P10" i="3"/>
  <c r="R15" i="3"/>
  <c r="Q15" i="3"/>
  <c r="E15" i="3"/>
  <c r="M15" i="3"/>
  <c r="Q10" i="3"/>
  <c r="Q11" i="3"/>
  <c r="N10" i="3"/>
  <c r="P15" i="3"/>
  <c r="G10" i="3"/>
  <c r="I10" i="3"/>
  <c r="J15" i="3"/>
  <c r="J11" i="3"/>
  <c r="J10" i="3"/>
  <c r="N11" i="3"/>
  <c r="O15" i="3"/>
  <c r="K11" i="3"/>
  <c r="K10" i="3"/>
  <c r="K15" i="3"/>
  <c r="L10" i="3"/>
  <c r="L15" i="3"/>
  <c r="L11" i="3"/>
  <c r="F15" i="3"/>
  <c r="D15" i="3"/>
  <c r="D11" i="3"/>
  <c r="D10" i="3"/>
  <c r="G11" i="3"/>
  <c r="G15" i="3"/>
  <c r="J66" i="3"/>
  <c r="J68" i="3"/>
  <c r="I66" i="3"/>
  <c r="I68" i="3"/>
  <c r="D66" i="3"/>
  <c r="D68" i="3"/>
  <c r="R66" i="3"/>
  <c r="R68" i="3"/>
  <c r="K66" i="3"/>
  <c r="K68" i="3"/>
  <c r="M66" i="3"/>
  <c r="M68" i="3"/>
  <c r="E66" i="3"/>
  <c r="E68" i="3"/>
  <c r="F66" i="3"/>
  <c r="F68" i="3"/>
  <c r="G66" i="3"/>
  <c r="G68" i="3"/>
  <c r="L66" i="3"/>
  <c r="L68" i="3"/>
  <c r="N66" i="3"/>
  <c r="N68" i="3"/>
  <c r="O66" i="3"/>
  <c r="O68" i="3"/>
  <c r="P66" i="3"/>
  <c r="P68" i="3"/>
  <c r="Q66" i="3"/>
  <c r="Q68" i="3"/>
  <c r="H66" i="3"/>
  <c r="H68" i="3"/>
  <c r="C66" i="3"/>
  <c r="C68" i="3"/>
  <c r="G92" i="3"/>
  <c r="H92" i="3"/>
  <c r="D92" i="3"/>
  <c r="P92" i="3"/>
  <c r="E92" i="3"/>
  <c r="Q92" i="3"/>
  <c r="L71" i="3"/>
  <c r="F92" i="3"/>
  <c r="R92" i="3"/>
  <c r="K92" i="3"/>
  <c r="L92" i="3"/>
  <c r="F71" i="3"/>
  <c r="C71" i="3"/>
  <c r="O71" i="3"/>
  <c r="M71" i="3"/>
  <c r="R71" i="3"/>
  <c r="G71" i="3"/>
  <c r="Q71" i="3"/>
  <c r="H71" i="3"/>
  <c r="E71" i="3"/>
  <c r="I71" i="3"/>
  <c r="M92" i="3"/>
  <c r="N92" i="3"/>
  <c r="J71" i="3"/>
  <c r="K71" i="3"/>
  <c r="C92" i="3"/>
  <c r="N71" i="3"/>
  <c r="D71" i="3"/>
  <c r="P71" i="3"/>
  <c r="J92" i="3"/>
  <c r="O92" i="3"/>
  <c r="I92" i="3"/>
  <c r="M38" i="1"/>
  <c r="M37" i="1"/>
  <c r="M36" i="1"/>
  <c r="M35" i="1"/>
  <c r="M34" i="1"/>
  <c r="M33" i="1"/>
  <c r="M32" i="1"/>
  <c r="M31" i="1"/>
  <c r="M30" i="1"/>
  <c r="M29" i="1"/>
  <c r="M28" i="1"/>
  <c r="M27" i="1"/>
  <c r="M26" i="1"/>
  <c r="M25" i="1"/>
  <c r="M24" i="1"/>
  <c r="M23" i="1"/>
  <c r="F16" i="3" l="1"/>
  <c r="K16" i="3"/>
  <c r="H16" i="3"/>
  <c r="M16" i="3"/>
  <c r="Q16" i="3"/>
  <c r="P16" i="3"/>
  <c r="R16" i="3"/>
  <c r="I16" i="3"/>
  <c r="G16" i="3"/>
  <c r="O16" i="3"/>
  <c r="E16" i="3"/>
  <c r="N16" i="3"/>
  <c r="P41" i="5"/>
  <c r="J16" i="3"/>
  <c r="D16" i="3"/>
  <c r="L16" i="3"/>
  <c r="E77" i="3"/>
  <c r="Q69" i="3"/>
  <c r="F69" i="3"/>
  <c r="I69" i="3"/>
  <c r="H77" i="3"/>
  <c r="L77" i="3"/>
  <c r="S41" i="5"/>
  <c r="H41" i="5"/>
  <c r="K41" i="5"/>
  <c r="Q77" i="3"/>
  <c r="P69" i="3"/>
  <c r="E69" i="3"/>
  <c r="J69" i="3"/>
  <c r="P77" i="3"/>
  <c r="G77" i="3"/>
  <c r="R41" i="5"/>
  <c r="G41" i="5"/>
  <c r="L41" i="5"/>
  <c r="O69" i="3"/>
  <c r="O102" i="3" s="1"/>
  <c r="M69" i="3"/>
  <c r="D77" i="3"/>
  <c r="R77" i="3"/>
  <c r="N77" i="3"/>
  <c r="M77" i="3"/>
  <c r="Q41" i="5"/>
  <c r="O41" i="5"/>
  <c r="N69" i="3"/>
  <c r="K69" i="3"/>
  <c r="O77" i="3"/>
  <c r="K77" i="3"/>
  <c r="C77" i="3"/>
  <c r="M41" i="5"/>
  <c r="J77" i="3"/>
  <c r="F77" i="3"/>
  <c r="C69" i="3"/>
  <c r="L69" i="3"/>
  <c r="R69" i="3"/>
  <c r="E41" i="5"/>
  <c r="N41" i="5"/>
  <c r="T41" i="5"/>
  <c r="H69" i="3"/>
  <c r="G69" i="3"/>
  <c r="D69" i="3"/>
  <c r="I77" i="3"/>
  <c r="J41" i="5"/>
  <c r="I41" i="5"/>
  <c r="F41" i="5"/>
  <c r="Q102" i="3"/>
  <c r="F102" i="3" l="1"/>
  <c r="D102" i="3"/>
  <c r="I102" i="3"/>
  <c r="H102" i="3"/>
  <c r="J102" i="3"/>
  <c r="R102" i="3"/>
  <c r="E102" i="3"/>
  <c r="P102" i="3"/>
  <c r="N102" i="3"/>
  <c r="C102" i="3"/>
  <c r="M102" i="3"/>
  <c r="G102" i="3"/>
  <c r="K102" i="3"/>
  <c r="L102" i="3"/>
  <c r="L13" i="3" l="1"/>
  <c r="D13" i="3"/>
  <c r="P13" i="3"/>
  <c r="E13" i="3"/>
  <c r="Q13" i="3"/>
  <c r="J13" i="3"/>
  <c r="R13" i="3"/>
  <c r="G13" i="3"/>
  <c r="F13" i="3"/>
  <c r="H13" i="3"/>
  <c r="M13" i="3"/>
  <c r="I13" i="3"/>
  <c r="N13" i="3"/>
  <c r="C13" i="3"/>
  <c r="O13" i="3"/>
  <c r="K13" i="3"/>
  <c r="R104" i="3" l="1"/>
  <c r="Q104" i="3"/>
  <c r="P104" i="3"/>
  <c r="O104" i="3"/>
  <c r="N104" i="3"/>
  <c r="M104" i="3"/>
  <c r="L104" i="3"/>
  <c r="K104" i="3"/>
  <c r="J104" i="3"/>
  <c r="I104" i="3"/>
  <c r="H104" i="3"/>
  <c r="G104" i="3"/>
  <c r="F104" i="3"/>
  <c r="E104" i="3"/>
  <c r="D104" i="3"/>
  <c r="R20" i="6"/>
  <c r="Q20" i="6"/>
  <c r="P20" i="6"/>
  <c r="O20" i="6"/>
  <c r="N20" i="6"/>
  <c r="M20" i="6"/>
  <c r="L20" i="6"/>
  <c r="K20" i="6"/>
  <c r="J20" i="6"/>
  <c r="I20" i="6"/>
  <c r="H20" i="6"/>
  <c r="G20" i="6"/>
  <c r="F20" i="6"/>
  <c r="E20" i="6"/>
  <c r="D20" i="6"/>
  <c r="C20" i="6"/>
  <c r="P19" i="6"/>
  <c r="N19" i="6"/>
  <c r="R19" i="6"/>
  <c r="Q19" i="6"/>
  <c r="O19" i="6"/>
  <c r="M19" i="6"/>
  <c r="G19" i="6"/>
  <c r="F19" i="6"/>
  <c r="E19" i="6"/>
  <c r="D19" i="6"/>
  <c r="C19" i="6"/>
  <c r="H14" i="5"/>
  <c r="G14" i="5"/>
  <c r="C13" i="6"/>
  <c r="C21" i="6" s="1"/>
  <c r="E21" i="6" l="1"/>
  <c r="L21" i="6"/>
  <c r="M21" i="6"/>
  <c r="M24" i="6" s="1"/>
  <c r="M25" i="6" s="1"/>
  <c r="O21" i="6"/>
  <c r="O24" i="6" s="1"/>
  <c r="O25" i="6" s="1"/>
  <c r="C107" i="3"/>
  <c r="E40" i="5" s="1"/>
  <c r="F21" i="6"/>
  <c r="G21" i="6"/>
  <c r="G24" i="6" s="1"/>
  <c r="G25" i="6" s="1"/>
  <c r="H21" i="6"/>
  <c r="H24" i="6" s="1"/>
  <c r="H25" i="6" s="1"/>
  <c r="K21" i="6"/>
  <c r="C24" i="6"/>
  <c r="C25" i="6" s="1"/>
  <c r="N21" i="6"/>
  <c r="Q21" i="6"/>
  <c r="Q24" i="6" s="1"/>
  <c r="Q25" i="6" s="1"/>
  <c r="R21" i="6"/>
  <c r="R24" i="6" s="1"/>
  <c r="R25" i="6" s="1"/>
  <c r="D21" i="6"/>
  <c r="D24" i="6" s="1"/>
  <c r="D25" i="6" s="1"/>
  <c r="P21" i="6"/>
  <c r="L24" i="6"/>
  <c r="L25" i="6" s="1"/>
  <c r="I21" i="6"/>
  <c r="J21" i="6"/>
  <c r="J24" i="6" s="1"/>
  <c r="J25" i="6" s="1"/>
  <c r="H13" i="5"/>
  <c r="G13" i="5"/>
  <c r="R54" i="3"/>
  <c r="Q54" i="3"/>
  <c r="P54" i="3"/>
  <c r="O54" i="3"/>
  <c r="N54" i="3"/>
  <c r="M54" i="3"/>
  <c r="L54" i="3"/>
  <c r="K54" i="3"/>
  <c r="J54" i="3"/>
  <c r="I54" i="3"/>
  <c r="H54" i="3"/>
  <c r="G54" i="3"/>
  <c r="F54" i="3"/>
  <c r="E54" i="3"/>
  <c r="D54" i="3"/>
  <c r="C54" i="3"/>
  <c r="R53" i="3"/>
  <c r="Q53" i="3"/>
  <c r="P53" i="3"/>
  <c r="O53" i="3"/>
  <c r="N53" i="3"/>
  <c r="M53" i="3"/>
  <c r="L53" i="3"/>
  <c r="K53" i="3"/>
  <c r="J53" i="3"/>
  <c r="I53" i="3"/>
  <c r="H53" i="3"/>
  <c r="G53" i="3"/>
  <c r="F53" i="3"/>
  <c r="E53" i="3"/>
  <c r="D53" i="3"/>
  <c r="C53" i="3"/>
  <c r="E24" i="6" l="1"/>
  <c r="E25" i="6" s="1"/>
  <c r="G45" i="5" s="1"/>
  <c r="K24" i="6"/>
  <c r="K25" i="6" s="1"/>
  <c r="M45" i="5" s="1"/>
  <c r="E43" i="5"/>
  <c r="P38" i="5"/>
  <c r="L38" i="5"/>
  <c r="O38" i="5"/>
  <c r="N38" i="5"/>
  <c r="M38" i="5"/>
  <c r="K38" i="5"/>
  <c r="E38" i="5"/>
  <c r="Q38" i="5"/>
  <c r="J38" i="5"/>
  <c r="T38" i="5"/>
  <c r="I38" i="5"/>
  <c r="H38" i="5"/>
  <c r="G38" i="5"/>
  <c r="S38" i="5"/>
  <c r="F38" i="5"/>
  <c r="R38" i="5"/>
  <c r="N24" i="6"/>
  <c r="N25" i="6" s="1"/>
  <c r="E45" i="5"/>
  <c r="J45" i="5"/>
  <c r="L45" i="5"/>
  <c r="T45" i="5"/>
  <c r="S45" i="5"/>
  <c r="N45" i="5"/>
  <c r="F45" i="5"/>
  <c r="O45" i="5"/>
  <c r="Q45" i="5"/>
  <c r="I45" i="5"/>
  <c r="F24" i="6"/>
  <c r="F25" i="6" s="1"/>
  <c r="P24" i="6"/>
  <c r="P25" i="6" s="1"/>
  <c r="I24" i="6"/>
  <c r="I25" i="6" s="1"/>
  <c r="D47" i="3" l="1"/>
  <c r="O47" i="3"/>
  <c r="H47" i="3"/>
  <c r="M47" i="3"/>
  <c r="G47" i="3"/>
  <c r="L47" i="3"/>
  <c r="R47" i="3"/>
  <c r="I47" i="3"/>
  <c r="K47" i="3"/>
  <c r="E47" i="3"/>
  <c r="C47" i="3"/>
  <c r="N47" i="3"/>
  <c r="Q47" i="3"/>
  <c r="F47" i="3"/>
  <c r="J47" i="3"/>
  <c r="P47" i="3"/>
  <c r="P45" i="5"/>
  <c r="K45" i="5"/>
  <c r="R45" i="5"/>
  <c r="H45" i="5"/>
  <c r="N107" i="3"/>
  <c r="P40" i="5" s="1"/>
  <c r="F107" i="3"/>
  <c r="H40" i="5" s="1"/>
  <c r="R107" i="3"/>
  <c r="T40" i="5" s="1"/>
  <c r="E107" i="3"/>
  <c r="G40" i="5" s="1"/>
  <c r="P107" i="3"/>
  <c r="R40" i="5" s="1"/>
  <c r="Q107" i="3"/>
  <c r="S40" i="5" s="1"/>
  <c r="L107" i="3"/>
  <c r="N40" i="5" s="1"/>
  <c r="G107" i="3"/>
  <c r="I40" i="5" s="1"/>
  <c r="O107" i="3"/>
  <c r="Q40" i="5" s="1"/>
  <c r="K107" i="3"/>
  <c r="M40" i="5" s="1"/>
  <c r="M107" i="3"/>
  <c r="O40" i="5" s="1"/>
  <c r="D107" i="3"/>
  <c r="F40" i="5" s="1"/>
  <c r="H107" i="3"/>
  <c r="J40" i="5" s="1"/>
  <c r="I107" i="3"/>
  <c r="K40" i="5" s="1"/>
  <c r="J107" i="3"/>
  <c r="L40" i="5" s="1"/>
  <c r="G35" i="3"/>
  <c r="G34" i="3"/>
  <c r="Q35" i="3"/>
  <c r="Q34" i="3"/>
  <c r="E35" i="3"/>
  <c r="E34" i="3"/>
  <c r="K34" i="3"/>
  <c r="K35" i="3"/>
  <c r="F35" i="3"/>
  <c r="F34" i="3"/>
  <c r="D35" i="3"/>
  <c r="D34" i="3"/>
  <c r="O35" i="3"/>
  <c r="O34" i="3"/>
  <c r="N35" i="3"/>
  <c r="N34" i="3"/>
  <c r="R35" i="3"/>
  <c r="R34" i="3"/>
  <c r="M35" i="3"/>
  <c r="M34" i="3"/>
  <c r="L34" i="3"/>
  <c r="L35" i="3"/>
  <c r="J34" i="3"/>
  <c r="J35" i="3"/>
  <c r="P35" i="3"/>
  <c r="P34" i="3"/>
  <c r="I34" i="3"/>
  <c r="I35" i="3"/>
  <c r="C35" i="3"/>
  <c r="C34" i="3"/>
  <c r="H34" i="3"/>
  <c r="H35" i="3"/>
  <c r="N48" i="3" l="1"/>
  <c r="E48" i="3"/>
  <c r="I48" i="3"/>
  <c r="R48" i="3"/>
  <c r="L48" i="3"/>
  <c r="G48" i="3"/>
  <c r="P48" i="3"/>
  <c r="M48" i="3"/>
  <c r="C48" i="3"/>
  <c r="K48" i="3"/>
  <c r="J48" i="3"/>
  <c r="H48" i="3"/>
  <c r="F48" i="3"/>
  <c r="O48" i="3"/>
  <c r="Q48" i="3"/>
  <c r="D48" i="3"/>
  <c r="I43" i="5"/>
  <c r="S43" i="5"/>
  <c r="L43" i="5"/>
  <c r="K43" i="5"/>
  <c r="H43" i="5"/>
  <c r="J43" i="5"/>
  <c r="P43" i="5"/>
  <c r="Q43" i="5"/>
  <c r="N43" i="5"/>
  <c r="R43" i="5"/>
  <c r="G43" i="5"/>
  <c r="F43" i="5"/>
  <c r="O43" i="5"/>
  <c r="T43" i="5"/>
  <c r="M43" i="5"/>
  <c r="C37" i="3"/>
  <c r="R37" i="3"/>
  <c r="H37" i="3"/>
  <c r="G37" i="3"/>
  <c r="D37" i="3"/>
  <c r="F37" i="3"/>
  <c r="K37" i="3"/>
  <c r="N37" i="3"/>
  <c r="J37" i="3"/>
  <c r="I37" i="3"/>
  <c r="M37" i="3"/>
  <c r="L37" i="3"/>
  <c r="P37" i="3"/>
  <c r="E37" i="3"/>
  <c r="O37" i="3"/>
  <c r="Q37" i="3"/>
  <c r="E37" i="5" l="1"/>
  <c r="R51" i="3"/>
  <c r="T37" i="5"/>
  <c r="Q51" i="3"/>
  <c r="S37" i="5"/>
  <c r="M51" i="3"/>
  <c r="O37" i="5"/>
  <c r="C51" i="3"/>
  <c r="O51" i="3"/>
  <c r="Q37" i="5"/>
  <c r="I51" i="3"/>
  <c r="K37" i="5"/>
  <c r="E51" i="3"/>
  <c r="G37" i="5"/>
  <c r="J51" i="3"/>
  <c r="L37" i="5"/>
  <c r="P51" i="3"/>
  <c r="R37" i="5"/>
  <c r="N51" i="3"/>
  <c r="P37" i="5"/>
  <c r="L51" i="3"/>
  <c r="N37" i="5"/>
  <c r="K51" i="3"/>
  <c r="M37" i="5"/>
  <c r="F51" i="3"/>
  <c r="H37" i="5"/>
  <c r="D51" i="3"/>
  <c r="F37" i="5"/>
  <c r="G51" i="3"/>
  <c r="I37" i="5"/>
  <c r="H51" i="3"/>
  <c r="J37" i="5"/>
  <c r="K56" i="3" l="1"/>
  <c r="D56" i="3"/>
  <c r="P56" i="3"/>
  <c r="N56" i="3"/>
  <c r="R56" i="3"/>
  <c r="J56" i="3"/>
  <c r="C56" i="3"/>
  <c r="E56" i="3"/>
  <c r="L56" i="3"/>
  <c r="Q56" i="3"/>
  <c r="I56" i="3"/>
  <c r="F56" i="3"/>
  <c r="H56" i="3"/>
  <c r="M56" i="3"/>
  <c r="G56" i="3"/>
  <c r="O56" i="3"/>
  <c r="R36" i="5" l="1"/>
  <c r="O36" i="5"/>
  <c r="O39" i="5" s="1"/>
  <c r="K36" i="5"/>
  <c r="K39" i="5" s="1"/>
  <c r="N36" i="5"/>
  <c r="I36" i="5"/>
  <c r="T36" i="5"/>
  <c r="L36" i="5"/>
  <c r="E36" i="5"/>
  <c r="P36" i="5"/>
  <c r="G36" i="5"/>
  <c r="J36" i="5"/>
  <c r="Q36" i="5"/>
  <c r="S36" i="5"/>
  <c r="H36" i="5"/>
  <c r="F36" i="5"/>
  <c r="M36" i="5"/>
  <c r="R39" i="5" l="1"/>
  <c r="R44" i="5" s="1"/>
  <c r="R46" i="5" s="1"/>
  <c r="O44" i="5"/>
  <c r="O46" i="5" s="1"/>
  <c r="K44" i="5"/>
  <c r="K46" i="5" s="1"/>
  <c r="Q39" i="5"/>
  <c r="S39" i="5"/>
  <c r="J39" i="5"/>
  <c r="G39" i="5"/>
  <c r="E39" i="5"/>
  <c r="L39" i="5"/>
  <c r="M39" i="5"/>
  <c r="T39" i="5"/>
  <c r="T44" i="5" s="1"/>
  <c r="F39" i="5"/>
  <c r="I39" i="5"/>
  <c r="H39" i="5"/>
  <c r="N39" i="5"/>
  <c r="P39" i="5"/>
  <c r="K48" i="5" l="1"/>
  <c r="O48" i="5"/>
  <c r="R48" i="5"/>
  <c r="T46" i="5"/>
  <c r="F44" i="5"/>
  <c r="F46" i="5" s="1"/>
  <c r="L44" i="5"/>
  <c r="L46" i="5" s="1"/>
  <c r="I44" i="5"/>
  <c r="I46" i="5" s="1"/>
  <c r="M44" i="5"/>
  <c r="M46" i="5" s="1"/>
  <c r="E44" i="5"/>
  <c r="E46" i="5" s="1"/>
  <c r="P44" i="5"/>
  <c r="P46" i="5" s="1"/>
  <c r="S44" i="5"/>
  <c r="S46" i="5" s="1"/>
  <c r="G44" i="5"/>
  <c r="G46" i="5" s="1"/>
  <c r="H44" i="5"/>
  <c r="H46" i="5" s="1"/>
  <c r="J44" i="5"/>
  <c r="J46" i="5" s="1"/>
  <c r="N44" i="5"/>
  <c r="N46" i="5" s="1"/>
  <c r="Q44" i="5"/>
  <c r="Q46" i="5" s="1"/>
  <c r="S48" i="5" l="1"/>
  <c r="F48" i="5"/>
  <c r="T48" i="5"/>
  <c r="M48" i="5"/>
  <c r="G48" i="5"/>
  <c r="Q48" i="5"/>
  <c r="P48" i="5"/>
  <c r="E48" i="5"/>
  <c r="N48" i="5"/>
  <c r="J48" i="5"/>
  <c r="I48" i="5"/>
  <c r="H48" i="5"/>
  <c r="L48"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tc={A8ACC727-E5AA-4E35-BD64-456B0BEAAF49}</author>
    <author>tc={4DCC3416-A53D-49D5-8F40-54A9DB9B934F}</author>
    <author>tc={6CC2AE8C-C396-48CB-BCFB-D5466A75225F}</author>
    <author>tc={01DE1E54-83B1-47A1-9C03-209EFF27CBCA}</author>
  </authors>
  <commentList>
    <comment ref="E10" authorId="0" shapeId="0" xr:uid="{A8ACC727-E5AA-4E35-BD64-456B0BEAAF49}">
      <text>
        <t>[Threaded comment]
Your version of Excel allows you to read this threaded comment; however, any edits to it will get removed if the file is opened in a newer version of Excel. Learn more: https://go.microsoft.com/fwlink/?linkid=870924
Comment:
    Annual Maintenance Cost estimates from O&amp;M equipment task lists and an assumed burdened labor rate of $100-$120/hr.</t>
      </text>
    </comment>
    <comment ref="F10" authorId="1" shapeId="0" xr:uid="{4DCC3416-A53D-49D5-8F40-54A9DB9B934F}">
      <text>
        <t>[Threaded comment]
Your version of Excel allows you to read this threaded comment; however, any edits to it will get removed if the file is opened in a newer version of Excel. Learn more: https://go.microsoft.com/fwlink/?linkid=870924
Comment:
    Expected Useful Life of Equipment, from ASHRAE Life Expectancy Chart</t>
      </text>
    </comment>
    <comment ref="G10" authorId="2" shapeId="0" xr:uid="{6CC2AE8C-C396-48CB-BCFB-D5466A75225F}">
      <text>
        <t>[Threaded comment]
Your version of Excel allows you to read this threaded comment; however, any edits to it will get removed if the file is opened in a newer version of Excel. Learn more: https://go.microsoft.com/fwlink/?linkid=870924
Comment:
    Discount factor for equipment replacement after EUL period.</t>
      </text>
    </comment>
    <comment ref="H10" authorId="3" shapeId="0" xr:uid="{01DE1E54-83B1-47A1-9C03-209EFF27CBCA}">
      <text>
        <t>[Threaded comment]
Your version of Excel allows you to read this threaded comment; however, any edits to it will get removed if the file is opened in a newer version of Excel. Learn more: https://go.microsoft.com/fwlink/?linkid=870924
Comment:
    Total maintenance cost over expected life, per unit, accounting for the discount rate.</t>
      </text>
    </comment>
  </commentList>
</comments>
</file>

<file path=xl/sharedStrings.xml><?xml version="1.0" encoding="utf-8"?>
<sst xmlns="http://schemas.openxmlformats.org/spreadsheetml/2006/main" count="461" uniqueCount="250">
  <si>
    <t>Tab Name</t>
  </si>
  <si>
    <t>Purpose</t>
  </si>
  <si>
    <t>Final Results</t>
  </si>
  <si>
    <t>Final incremental costs including first costs, maintenance costs, and replacement costs</t>
  </si>
  <si>
    <t>Proto Costing</t>
  </si>
  <si>
    <t>Cost buildup for each prototype and system type</t>
  </si>
  <si>
    <t>Air-side Component Costs</t>
  </si>
  <si>
    <t>Air-side distribution component costs</t>
  </si>
  <si>
    <t>Plant Equipment Costs</t>
  </si>
  <si>
    <t>Plant component data and regressions</t>
  </si>
  <si>
    <t>AGIC</t>
  </si>
  <si>
    <t>Avoided Gas Infrastructure Costs</t>
  </si>
  <si>
    <t>Medium Office Prototype Incremental First Costs and Maintenance and Replacement Costs</t>
  </si>
  <si>
    <t>Maintenance and Replacement Costs Calculation</t>
  </si>
  <si>
    <t>Parameter</t>
  </si>
  <si>
    <t>Value</t>
  </si>
  <si>
    <t>Source</t>
  </si>
  <si>
    <t>Discount Rate</t>
  </si>
  <si>
    <t>CEC Assumption</t>
  </si>
  <si>
    <t>Medium Office Num Zones</t>
  </si>
  <si>
    <t>Assumption based on zoning layout</t>
  </si>
  <si>
    <t>Medium Office Floor Area</t>
  </si>
  <si>
    <t>Prototype Definition</t>
  </si>
  <si>
    <t>Annual Maint</t>
  </si>
  <si>
    <t>EUL</t>
  </si>
  <si>
    <t>Repl Discount</t>
  </si>
  <si>
    <t>Annual Conv Factor</t>
  </si>
  <si>
    <t>PVAV</t>
  </si>
  <si>
    <t>VRF</t>
  </si>
  <si>
    <t>Boiler</t>
  </si>
  <si>
    <t>Pump</t>
  </si>
  <si>
    <t>VRF Indoor Unit</t>
  </si>
  <si>
    <t>VAV Terminal Unit</t>
  </si>
  <si>
    <t>DOAS</t>
  </si>
  <si>
    <t>ERV / HRV price</t>
  </si>
  <si>
    <t>1. O&amp;M for DOAS unit mainly consists of mainteance and replacement of airside energy recovery.</t>
  </si>
  <si>
    <t>2. Annual Maintenance Cost estimates from O&amp;M equipment task lists and an assumed burdened labor rate of $100-$120/hr.</t>
  </si>
  <si>
    <t>3. EUL = Expected Useful Life of Equipment, from ASHRAE Equipment Life Expectancy Chart</t>
  </si>
  <si>
    <t>4. Repl Discount = Discount factor for equipment replacement after EUL period.</t>
  </si>
  <si>
    <t>5. PV of Maint Cost = Total maintenance cost over expected life, per unit, accounting for the discount rate.</t>
  </si>
  <si>
    <t>6. VRF Maintenance Costs use estimated maintenance costs from four-pipe fan coil units.</t>
  </si>
  <si>
    <t>Proposed First Cost - proposed HVAC system first cost of all costed components.  Note for some buildings this may not include systems (chiller, tower) that have  a neutral cost.</t>
  </si>
  <si>
    <t xml:space="preserve">Replacement Cost - replacement cost of all systems in table above applicable to the design, modified by the Replacement Discount factor in colum G.  </t>
  </si>
  <si>
    <t>Maintenance Cost - the total maintenance cost of all system components in the table above, column H, multiplied by the number of components of each type.</t>
  </si>
  <si>
    <t>Incr Cost = the incremental HVAC system cost over the baseline, per square foot of building floor area.</t>
  </si>
  <si>
    <t>AGIC Avoided Cost - the avoided cost of gas infrastructure (running gas lines to building, and runnling gas lines to HVAC units).  This only applies to office buildings, not to schools.  See AGIC Worksheet tab for details.</t>
  </si>
  <si>
    <t>Net Incremental Cost - the net incremental cost over the standard design (2022 baseline) HVAC system, per square foot of floor area.</t>
  </si>
  <si>
    <t>Medium Office VRF/DOAS Cost-Effectiveness</t>
  </si>
  <si>
    <t>CZ</t>
  </si>
  <si>
    <t>Base Case</t>
  </si>
  <si>
    <t>Baseline First Cost</t>
  </si>
  <si>
    <t>Replacement Cost</t>
  </si>
  <si>
    <t>Maintenance Cost</t>
  </si>
  <si>
    <t>Total</t>
  </si>
  <si>
    <t>VRF/DOAS</t>
  </si>
  <si>
    <t>Proposed First Cost</t>
  </si>
  <si>
    <t>Cost-Effectiveness</t>
  </si>
  <si>
    <t>Incremental Cost</t>
  </si>
  <si>
    <t>AGIC Avoided Cost</t>
  </si>
  <si>
    <t>Net Incremental Cost</t>
  </si>
  <si>
    <t>LSC Energy Model Savings</t>
  </si>
  <si>
    <t>BCR, Medium Office LCC'</t>
  </si>
  <si>
    <t>Medium Office Cost Components</t>
  </si>
  <si>
    <t>Floor Area</t>
  </si>
  <si>
    <t>sf</t>
  </si>
  <si>
    <t>Medium Office Prototype - Base Case</t>
  </si>
  <si>
    <t>Data Source / Notes</t>
  </si>
  <si>
    <t>CZ1</t>
  </si>
  <si>
    <t>CZ2</t>
  </si>
  <si>
    <t>CZ3</t>
  </si>
  <si>
    <t>CZ4</t>
  </si>
  <si>
    <t>CZ5</t>
  </si>
  <si>
    <t>CZ6</t>
  </si>
  <si>
    <t>CZ7</t>
  </si>
  <si>
    <t>CZ8</t>
  </si>
  <si>
    <t>CZ9</t>
  </si>
  <si>
    <t>CZ10</t>
  </si>
  <si>
    <t>CZ11</t>
  </si>
  <si>
    <t>CZ12</t>
  </si>
  <si>
    <t>CZ13</t>
  </si>
  <si>
    <t>CZ14</t>
  </si>
  <si>
    <t>CZ15</t>
  </si>
  <si>
    <t>CZ16</t>
  </si>
  <si>
    <t>Capacity</t>
  </si>
  <si>
    <t>Size, tons, from model runs</t>
  </si>
  <si>
    <t>Qty</t>
  </si>
  <si>
    <t>Mat Cost (per ton)</t>
  </si>
  <si>
    <t>RS Means Equipment Cost</t>
  </si>
  <si>
    <t>Labor Cost (per ton)</t>
  </si>
  <si>
    <t>RS Means Online Labor Cost</t>
  </si>
  <si>
    <t>O&amp;P</t>
  </si>
  <si>
    <t>Subtotal</t>
  </si>
  <si>
    <t>Condensate Line</t>
  </si>
  <si>
    <t>Cost per ton for installing condensate lines</t>
  </si>
  <si>
    <t>Ductwork</t>
  </si>
  <si>
    <t>Ductwork for VAV AHU, linear feet</t>
  </si>
  <si>
    <t>Mat Cost (per LF)</t>
  </si>
  <si>
    <t>MEP CA Office Project Avg (NORESCO)</t>
  </si>
  <si>
    <t>Labor Cost (per LF)</t>
  </si>
  <si>
    <t>VAV Boxes</t>
  </si>
  <si>
    <t>Qty (Num Zones)</t>
  </si>
  <si>
    <t>Number of Zones, Medium Office</t>
  </si>
  <si>
    <t>n/a</t>
  </si>
  <si>
    <t>Average Cost per Terminal Unit: See Airside Component Costs</t>
  </si>
  <si>
    <t>Gas Boiler</t>
  </si>
  <si>
    <t>Central Gas Boiler from model sizing, MBH</t>
  </si>
  <si>
    <t>Mat Cost</t>
  </si>
  <si>
    <t>RS Means Online 2023</t>
  </si>
  <si>
    <t>Labor Cost</t>
  </si>
  <si>
    <t>HW Piping</t>
  </si>
  <si>
    <t>Linear Feet of Piping</t>
  </si>
  <si>
    <t>Unit Cost</t>
  </si>
  <si>
    <t>Installed First Cost</t>
  </si>
  <si>
    <t>Nameplate HP, Calculated from (a) gpm requirement, (b) standard design W/cfm, roudned up to nearest motor nameplate HP for costing</t>
  </si>
  <si>
    <t>Circ Pump</t>
  </si>
  <si>
    <t>SUBTOTAL</t>
  </si>
  <si>
    <t>No controls, Cx</t>
  </si>
  <si>
    <t>Includes all Costs except Controls and Cx</t>
  </si>
  <si>
    <t>Controls</t>
  </si>
  <si>
    <t>Feng, J. and Hwakong Cheng 2018. Construction and Energy Costs for Radiant vs. VAV Systems in the California Bay Area, Final Report, Taylor Engineering and UC Berkeley, EPIC-14-009, November 15, 2018.</t>
  </si>
  <si>
    <t>Commissioning (Htg System)</t>
  </si>
  <si>
    <t>Cx Costs are differential function testing estimates for bours (NORESCO), using a loaded Cx labor rate of $160/hr.</t>
  </si>
  <si>
    <t>TOTAL</t>
  </si>
  <si>
    <t>Project Total (Costed Portion)</t>
  </si>
  <si>
    <t>Total Project Costs for ~50ksf building</t>
  </si>
  <si>
    <t>Medium Office Prototype - VRF/DOAS (Proposed Case)</t>
  </si>
  <si>
    <t>Red Car Analytics, 2050 Partners, VHE DOAS Study. 2022.</t>
  </si>
  <si>
    <t xml:space="preserve">O&amp;P </t>
  </si>
  <si>
    <t>Condensate Line Cost, Indoor fan coils</t>
  </si>
  <si>
    <t>Rx Piping</t>
  </si>
  <si>
    <t>Indoor Units</t>
  </si>
  <si>
    <t>Mat Cost (per SF)</t>
  </si>
  <si>
    <t>Indoor Unit cost per ton from VHE DOAS Study, with 30 zones as a reference. Indoor units will be proportional to the number of zones.</t>
  </si>
  <si>
    <t xml:space="preserve">DOAS Unit </t>
  </si>
  <si>
    <t>"Std Package"</t>
  </si>
  <si>
    <t>Qty (cfm)</t>
  </si>
  <si>
    <t>Design ventilation airlfow for Medium Office, CFM.</t>
  </si>
  <si>
    <t>110% multiplier</t>
  </si>
  <si>
    <t>on Std HRV Cost</t>
  </si>
  <si>
    <t>Red Car Analytics, 2050 Partners, VHE DOAS Study. 2022. Costed as $/cfm of ventilation airflow.</t>
  </si>
  <si>
    <t>for bypass</t>
  </si>
  <si>
    <t>DOAS Ductwork</t>
  </si>
  <si>
    <t>DOAS vs. VAV Ductwork (Note 1)</t>
  </si>
  <si>
    <t>Reduction of 20% for Smaller duct size compared to VAV AHU, since lower cfm (Assumption)</t>
  </si>
  <si>
    <t>Qty (LF)</t>
  </si>
  <si>
    <t>MEP CA Office Project Avg (NORESCO), with 20% reduction applied</t>
  </si>
  <si>
    <t>Airside Component Costs</t>
  </si>
  <si>
    <t>Labor Costs - PVAV (RSMeansOnline), gas heat</t>
  </si>
  <si>
    <t>Nominal Tons</t>
  </si>
  <si>
    <t>Bare Labor</t>
  </si>
  <si>
    <t>Eqp Cost (Ref only)</t>
  </si>
  <si>
    <t>Airflow Sizing for Built-Up Air Handling Units, from Energy Model</t>
  </si>
  <si>
    <t># of Fans Represented</t>
  </si>
  <si>
    <t>Climate Zone</t>
  </si>
  <si>
    <t>BASESYS RETFAN</t>
  </si>
  <si>
    <t>BASESYS6 SUPFAN</t>
  </si>
  <si>
    <t>BASESYS RETFAN-2</t>
  </si>
  <si>
    <t>BASESYS6 SUPFAN-2</t>
  </si>
  <si>
    <t>BASESYS RETFAN-3</t>
  </si>
  <si>
    <t>BASESYS6 SUPFAN-3</t>
  </si>
  <si>
    <t>BASESYS RETFAN-4</t>
  </si>
  <si>
    <t>BASESYS6 SUPFAN-4</t>
  </si>
  <si>
    <t>BASESYS RETFAN-5</t>
  </si>
  <si>
    <t>BASESYS6 SUPFAN-5</t>
  </si>
  <si>
    <t>TotalCFM</t>
  </si>
  <si>
    <t>-</t>
  </si>
  <si>
    <t>Distribution System Costs - adapted from MEP project data of California office buildings, NORESCO (Singer)</t>
  </si>
  <si>
    <t>These costs are used to determine ductwork and piping installed costs per linear foot (LF).</t>
  </si>
  <si>
    <t>Distribution Costs - J. Singer (Northern California recent Large Office MEP projects)</t>
  </si>
  <si>
    <t>Component</t>
  </si>
  <si>
    <t>Material Cost per ft</t>
  </si>
  <si>
    <t>Labor</t>
  </si>
  <si>
    <t>Total Cost</t>
  </si>
  <si>
    <t>Duct</t>
  </si>
  <si>
    <t>Pipe</t>
  </si>
  <si>
    <t>Pipe Base</t>
  </si>
  <si>
    <t>Duct 32.80 - 16" round with labor</t>
  </si>
  <si>
    <t>Assume 24.50 with fittings - $50</t>
  </si>
  <si>
    <t>Duct Insulation - $4.77</t>
  </si>
  <si>
    <t>Total: $54.77/LF</t>
  </si>
  <si>
    <t>VAV Terminal Unit Cost Assumptions for Base Case</t>
  </si>
  <si>
    <t>Terminal Unit Costs</t>
  </si>
  <si>
    <t>RS Means Cost</t>
  </si>
  <si>
    <t>RSMeans 233616105660</t>
  </si>
  <si>
    <t>CA Union rate multiplier</t>
  </si>
  <si>
    <t>VAV Box, 1250 cfm avg</t>
  </si>
  <si>
    <t>Commercial NG Boilers - AF Supply, Distributor</t>
  </si>
  <si>
    <t>Make</t>
  </si>
  <si>
    <t>Eff</t>
  </si>
  <si>
    <t>Cost</t>
  </si>
  <si>
    <t>RS Means for Labor</t>
  </si>
  <si>
    <t>Well-McLain</t>
  </si>
  <si>
    <t>MBH</t>
  </si>
  <si>
    <t>Lochinvar Cu</t>
  </si>
  <si>
    <t>Lochinvar</t>
  </si>
  <si>
    <t>LAARS</t>
  </si>
  <si>
    <t>Pump Sizing</t>
  </si>
  <si>
    <t>Pump Sizing gas</t>
  </si>
  <si>
    <t>Large Office</t>
  </si>
  <si>
    <t>Load</t>
  </si>
  <si>
    <t>tons</t>
  </si>
  <si>
    <t>Model</t>
  </si>
  <si>
    <t>GPM</t>
  </si>
  <si>
    <t>gpm</t>
  </si>
  <si>
    <t>Calc = f (10F delta T)</t>
  </si>
  <si>
    <t>Pump Efficacy</t>
  </si>
  <si>
    <t>W/gpm</t>
  </si>
  <si>
    <t>App G</t>
  </si>
  <si>
    <t>Constant</t>
  </si>
  <si>
    <t>Pump Power</t>
  </si>
  <si>
    <t>Conversion</t>
  </si>
  <si>
    <t>Pump bhp</t>
  </si>
  <si>
    <t xml:space="preserve">BHP per ton </t>
  </si>
  <si>
    <t>Conversion Factor, Pump HP per gpm</t>
  </si>
  <si>
    <t>From RS Means:  assume base mounted pump with coupling guard for easier service (more expensive than close mounted)</t>
  </si>
  <si>
    <t>Material</t>
  </si>
  <si>
    <t>Total Installed</t>
  </si>
  <si>
    <t>2 HP to 50 gpm</t>
  </si>
  <si>
    <t>3 HP to 90 gpm</t>
  </si>
  <si>
    <t>5 HP to 225 gpm</t>
  </si>
  <si>
    <t>7 1/2 HP to 350 gpm</t>
  </si>
  <si>
    <t>10 HP to 600 gpm</t>
  </si>
  <si>
    <t>15 H to 1000 gpm</t>
  </si>
  <si>
    <t>Avoided Gas Infrstructure Costs</t>
  </si>
  <si>
    <t>Source: CPUC</t>
  </si>
  <si>
    <t>Medium Office</t>
  </si>
  <si>
    <t>Amount</t>
  </si>
  <si>
    <t>Gas T&amp;D Avoided Costs</t>
  </si>
  <si>
    <t>therm</t>
  </si>
  <si>
    <t>GHG Abatement Cost</t>
  </si>
  <si>
    <t>ton</t>
  </si>
  <si>
    <t>Utility-Specific Costs (Note 1)</t>
  </si>
  <si>
    <t>Service Extension PG&amp;E</t>
  </si>
  <si>
    <t>bldg</t>
  </si>
  <si>
    <t>Service line including trenching</t>
  </si>
  <si>
    <t>Service line including trenching (greenfield)</t>
  </si>
  <si>
    <t>Meter</t>
  </si>
  <si>
    <t>Submeters</t>
  </si>
  <si>
    <t>x 3</t>
  </si>
  <si>
    <t>Submeter, Leviton GMP 10-251, with installation</t>
  </si>
  <si>
    <t>Medium Office - Total</t>
  </si>
  <si>
    <t>Service Line (high)</t>
  </si>
  <si>
    <t>Submeters (qty 3)</t>
  </si>
  <si>
    <t>Avoided Gas Lines (Note 2)</t>
  </si>
  <si>
    <t>AGIC Cost</t>
  </si>
  <si>
    <t>AGIC Cost (per sf)</t>
  </si>
  <si>
    <t>Notes</t>
  </si>
  <si>
    <t>1. Avoided gas infrastructure costs from Wildan 2022. 2022 Distributed Energy Resources Avoided Cost Caculator Documentation, prepared for the California Public Utilities Commission, June 22, 2022.</t>
  </si>
  <si>
    <t>2. Avoided Gas Line cost savings is derived from general contractor estimates of avoided gas pipe lines to rooftop equipment. Gas line quotes are $15.30/ft, $17.25/ft and $20/ft for 1", 1 1/4" and 1 1/2" gas pipies</t>
  </si>
  <si>
    <t>repsecitvely. Gas pressure regulators at $72 each would be required, and pipe supports ($10-$65 depending upon type) every 6 to 8 feet would also be required.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</si>
</sst>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_);[Red]\(&quot;$&quot;#,##0\)"/>
    <numFmt numFmtId="8" formatCode="&quot;$&quot;#,##0.00_);[Red]\(&quot;$&quot;#,##0.00\)"/>
    <numFmt numFmtId="44" formatCode="_(&quot;$&quot;* #,##0.00_);_(&quot;$&quot;* \(#,##0.00\);_(&quot;$&quot;* &quot;-&quot;??_);_(@_)"/>
    <numFmt numFmtId="164" formatCode="0.0"/>
    <numFmt numFmtId="165" formatCode="&quot;$&quot;#,##0"/>
    <numFmt numFmtId="166" formatCode="&quot;$&quot;#,##0.000_);[Red]\(&quot;$&quot;#,##0.000\)"/>
    <numFmt numFmtId="167" formatCode="0.000"/>
    <numFmt numFmtId="168" formatCode="0.000000"/>
    <numFmt numFmtId="169" formatCode="&quot;$&quot;#,##0.00"/>
  </numFmts>
  <fonts count="15" x14ac:knownFonts="1">
    <font>
      <sz val="11"/>
      <color theme="1"/>
      <name val="Calibri"/>
      <family val="2"/>
      <scheme val="minor"/>
    </font>
    <font>
      <b/>
      <sz val="11"/>
      <color theme="1"/>
      <name val="Calibri"/>
      <family val="2"/>
      <scheme val="minor"/>
    </font>
    <font>
      <sz val="11"/>
      <color theme="1"/>
      <name val="Calibri"/>
      <family val="2"/>
      <scheme val="minor"/>
    </font>
    <font>
      <i/>
      <sz val="11"/>
      <color theme="1"/>
      <name val="Calibri"/>
      <family val="2"/>
      <scheme val="minor"/>
    </font>
    <font>
      <sz val="11"/>
      <color theme="0"/>
      <name val="Calibri"/>
      <family val="2"/>
      <scheme val="minor"/>
    </font>
    <font>
      <b/>
      <sz val="16"/>
      <color theme="1"/>
      <name val="Calibri"/>
      <family val="2"/>
      <scheme val="minor"/>
    </font>
    <font>
      <b/>
      <sz val="14"/>
      <color theme="1"/>
      <name val="Calibri"/>
      <family val="2"/>
      <scheme val="minor"/>
    </font>
    <font>
      <sz val="14"/>
      <color theme="1"/>
      <name val="Calibri"/>
      <family val="2"/>
      <scheme val="minor"/>
    </font>
    <font>
      <sz val="11"/>
      <color rgb="FF000000"/>
      <name val="Calibri"/>
      <family val="2"/>
    </font>
    <font>
      <sz val="8"/>
      <name val="Calibri"/>
      <family val="2"/>
      <scheme val="minor"/>
    </font>
    <font>
      <b/>
      <sz val="11"/>
      <color rgb="FF0070C0"/>
      <name val="Calibri"/>
      <family val="2"/>
      <scheme val="minor"/>
    </font>
    <font>
      <b/>
      <sz val="20"/>
      <color theme="1"/>
      <name val="Calibri"/>
      <family val="2"/>
      <scheme val="minor"/>
    </font>
    <font>
      <sz val="11"/>
      <name val="Calibri"/>
      <family val="2"/>
      <scheme val="minor"/>
    </font>
    <font>
      <b/>
      <sz val="14"/>
      <name val="Calibri"/>
      <family val="2"/>
      <scheme val="minor"/>
    </font>
    <font>
      <b/>
      <sz val="11"/>
      <name val="Calibri"/>
      <family val="2"/>
      <scheme val="minor"/>
    </font>
  </fonts>
  <fills count="10">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1" tint="0.14999847407452621"/>
        <bgColor indexed="64"/>
      </patternFill>
    </fill>
    <fill>
      <patternFill patternType="solid">
        <fgColor theme="7" tint="0.79998168889431442"/>
        <bgColor indexed="64"/>
      </patternFill>
    </fill>
    <fill>
      <patternFill patternType="solid">
        <fgColor theme="1"/>
        <bgColor indexed="64"/>
      </patternFill>
    </fill>
    <fill>
      <patternFill patternType="solid">
        <fgColor theme="0" tint="-0.14999847407452621"/>
        <bgColor indexed="64"/>
      </patternFill>
    </fill>
    <fill>
      <patternFill patternType="solid">
        <fgColor rgb="FF92D050"/>
        <bgColor indexed="64"/>
      </patternFill>
    </fill>
    <fill>
      <patternFill patternType="solid">
        <fgColor theme="5" tint="0.79998168889431442"/>
        <bgColor indexed="64"/>
      </patternFill>
    </fill>
  </fills>
  <borders count="21">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thin">
        <color auto="1"/>
      </top>
      <bottom/>
      <diagonal/>
    </border>
    <border>
      <left style="thin">
        <color auto="1"/>
      </left>
      <right/>
      <top style="thin">
        <color auto="1"/>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3">
    <xf numFmtId="0" fontId="0" fillId="0" borderId="0"/>
    <xf numFmtId="44" fontId="2" fillId="0" borderId="0" applyFont="0" applyFill="0" applyBorder="0" applyAlignment="0" applyProtection="0"/>
    <xf numFmtId="9" fontId="2" fillId="0" borderId="0" applyFont="0" applyFill="0" applyBorder="0" applyAlignment="0" applyProtection="0"/>
  </cellStyleXfs>
  <cellXfs count="169">
    <xf numFmtId="0" fontId="0" fillId="0" borderId="0" xfId="0"/>
    <xf numFmtId="0" fontId="1" fillId="0" borderId="0" xfId="0" applyFont="1"/>
    <xf numFmtId="0" fontId="0" fillId="0" borderId="1" xfId="0" applyBorder="1"/>
    <xf numFmtId="0" fontId="0" fillId="0" borderId="5" xfId="0" applyBorder="1"/>
    <xf numFmtId="0" fontId="0" fillId="0" borderId="6" xfId="0" applyBorder="1"/>
    <xf numFmtId="0" fontId="0" fillId="0" borderId="7" xfId="0" applyBorder="1"/>
    <xf numFmtId="0" fontId="0" fillId="0" borderId="8" xfId="0" applyBorder="1"/>
    <xf numFmtId="6" fontId="0" fillId="0" borderId="0" xfId="0" applyNumberFormat="1"/>
    <xf numFmtId="1" fontId="0" fillId="0" borderId="0" xfId="0" applyNumberFormat="1"/>
    <xf numFmtId="2" fontId="0" fillId="0" borderId="0" xfId="0" applyNumberFormat="1"/>
    <xf numFmtId="0" fontId="0" fillId="0" borderId="9" xfId="0" applyBorder="1"/>
    <xf numFmtId="8" fontId="0" fillId="0" borderId="0" xfId="0" applyNumberFormat="1"/>
    <xf numFmtId="165" fontId="0" fillId="0" borderId="0" xfId="0" applyNumberFormat="1"/>
    <xf numFmtId="0" fontId="0" fillId="3" borderId="15" xfId="0" applyFill="1" applyBorder="1"/>
    <xf numFmtId="0" fontId="5" fillId="3" borderId="14" xfId="0" applyFont="1" applyFill="1" applyBorder="1"/>
    <xf numFmtId="0" fontId="0" fillId="3" borderId="14" xfId="0" applyFill="1" applyBorder="1"/>
    <xf numFmtId="0" fontId="0" fillId="3" borderId="5" xfId="0" applyFill="1" applyBorder="1"/>
    <xf numFmtId="0" fontId="0" fillId="3" borderId="0" xfId="0" applyFill="1"/>
    <xf numFmtId="165" fontId="0" fillId="3" borderId="0" xfId="0" applyNumberFormat="1" applyFill="1"/>
    <xf numFmtId="6" fontId="0" fillId="3" borderId="0" xfId="0" applyNumberFormat="1" applyFill="1"/>
    <xf numFmtId="9" fontId="0" fillId="3" borderId="0" xfId="0" applyNumberFormat="1" applyFill="1"/>
    <xf numFmtId="0" fontId="1" fillId="3" borderId="0" xfId="0" applyFont="1" applyFill="1"/>
    <xf numFmtId="6" fontId="1" fillId="3" borderId="14" xfId="0" applyNumberFormat="1" applyFont="1" applyFill="1" applyBorder="1"/>
    <xf numFmtId="0" fontId="4" fillId="4" borderId="5" xfId="0" applyFont="1" applyFill="1" applyBorder="1"/>
    <xf numFmtId="0" fontId="5" fillId="5" borderId="14" xfId="0" applyFont="1" applyFill="1" applyBorder="1"/>
    <xf numFmtId="0" fontId="0" fillId="5" borderId="0" xfId="0" applyFill="1"/>
    <xf numFmtId="0" fontId="0" fillId="5" borderId="5" xfId="0" applyFill="1" applyBorder="1"/>
    <xf numFmtId="165" fontId="0" fillId="5" borderId="0" xfId="1" applyNumberFormat="1" applyFont="1" applyFill="1" applyBorder="1"/>
    <xf numFmtId="6" fontId="0" fillId="5" borderId="0" xfId="0" applyNumberFormat="1" applyFill="1"/>
    <xf numFmtId="9" fontId="0" fillId="5" borderId="0" xfId="0" applyNumberFormat="1" applyFill="1"/>
    <xf numFmtId="165" fontId="0" fillId="5" borderId="0" xfId="0" applyNumberFormat="1" applyFill="1"/>
    <xf numFmtId="0" fontId="0" fillId="0" borderId="0" xfId="0" applyAlignment="1">
      <alignment horizontal="center"/>
    </xf>
    <xf numFmtId="166" fontId="0" fillId="0" borderId="0" xfId="0" applyNumberFormat="1" applyAlignment="1">
      <alignment horizontal="center" wrapText="1"/>
    </xf>
    <xf numFmtId="0" fontId="0" fillId="0" borderId="0" xfId="0" applyAlignment="1">
      <alignment wrapText="1"/>
    </xf>
    <xf numFmtId="167" fontId="0" fillId="0" borderId="0" xfId="0" applyNumberFormat="1"/>
    <xf numFmtId="0" fontId="6" fillId="0" borderId="0" xfId="0" applyFont="1"/>
    <xf numFmtId="0" fontId="7" fillId="0" borderId="0" xfId="0" applyFont="1"/>
    <xf numFmtId="0" fontId="0" fillId="0" borderId="14" xfId="0" applyBorder="1"/>
    <xf numFmtId="0" fontId="1" fillId="0" borderId="15" xfId="0" applyFont="1" applyBorder="1"/>
    <xf numFmtId="0" fontId="1" fillId="0" borderId="5" xfId="0" applyFont="1" applyBorder="1"/>
    <xf numFmtId="168" fontId="1" fillId="2" borderId="1" xfId="0" applyNumberFormat="1" applyFont="1" applyFill="1" applyBorder="1"/>
    <xf numFmtId="167" fontId="1" fillId="2" borderId="1" xfId="0" applyNumberFormat="1" applyFont="1" applyFill="1" applyBorder="1"/>
    <xf numFmtId="2" fontId="1" fillId="5" borderId="0" xfId="0" applyNumberFormat="1" applyFont="1" applyFill="1"/>
    <xf numFmtId="0" fontId="3" fillId="0" borderId="0" xfId="0" applyFont="1"/>
    <xf numFmtId="0" fontId="1" fillId="5" borderId="0" xfId="0" applyFont="1" applyFill="1"/>
    <xf numFmtId="0" fontId="8" fillId="0" borderId="10" xfId="0" applyFont="1" applyBorder="1" applyAlignment="1">
      <alignment vertical="center"/>
    </xf>
    <xf numFmtId="0" fontId="8" fillId="0" borderId="11" xfId="0" applyFont="1" applyBorder="1" applyAlignment="1">
      <alignment horizontal="right" vertical="center"/>
    </xf>
    <xf numFmtId="0" fontId="8" fillId="0" borderId="12" xfId="0" applyFont="1" applyBorder="1" applyAlignment="1">
      <alignment vertical="center"/>
    </xf>
    <xf numFmtId="0" fontId="8" fillId="0" borderId="13" xfId="0" applyFont="1" applyBorder="1" applyAlignment="1">
      <alignment vertical="center"/>
    </xf>
    <xf numFmtId="0" fontId="8" fillId="0" borderId="12" xfId="0" applyFont="1" applyBorder="1" applyAlignment="1">
      <alignment horizontal="right" vertical="center"/>
    </xf>
    <xf numFmtId="3" fontId="8" fillId="0" borderId="13" xfId="0" applyNumberFormat="1" applyFont="1" applyBorder="1" applyAlignment="1">
      <alignment horizontal="right" vertical="center"/>
    </xf>
    <xf numFmtId="0" fontId="8" fillId="0" borderId="13" xfId="0" applyFont="1" applyBorder="1" applyAlignment="1">
      <alignment horizontal="right" vertical="center"/>
    </xf>
    <xf numFmtId="0" fontId="8" fillId="0" borderId="16" xfId="0" applyFont="1" applyBorder="1" applyAlignment="1">
      <alignment vertical="center"/>
    </xf>
    <xf numFmtId="0" fontId="8" fillId="7" borderId="13" xfId="0" applyFont="1" applyFill="1" applyBorder="1" applyAlignment="1">
      <alignment vertical="center"/>
    </xf>
    <xf numFmtId="0" fontId="3" fillId="3" borderId="5" xfId="0" applyFont="1" applyFill="1" applyBorder="1"/>
    <xf numFmtId="8" fontId="0" fillId="5" borderId="0" xfId="0" applyNumberFormat="1" applyFill="1"/>
    <xf numFmtId="169" fontId="0" fillId="0" borderId="0" xfId="0" applyNumberFormat="1"/>
    <xf numFmtId="9" fontId="0" fillId="3" borderId="0" xfId="2" applyFont="1" applyFill="1" applyBorder="1"/>
    <xf numFmtId="165" fontId="0" fillId="0" borderId="0" xfId="0" applyNumberFormat="1" applyAlignment="1">
      <alignment horizontal="center" wrapText="1"/>
    </xf>
    <xf numFmtId="169" fontId="1" fillId="8" borderId="0" xfId="0" applyNumberFormat="1" applyFont="1" applyFill="1"/>
    <xf numFmtId="6" fontId="0" fillId="0" borderId="0" xfId="0" applyNumberFormat="1" applyAlignment="1">
      <alignment horizontal="center"/>
    </xf>
    <xf numFmtId="0" fontId="0" fillId="0" borderId="17" xfId="0" applyBorder="1"/>
    <xf numFmtId="0" fontId="0" fillId="0" borderId="17" xfId="0" applyBorder="1" applyAlignment="1">
      <alignment wrapText="1"/>
    </xf>
    <xf numFmtId="166" fontId="3" fillId="0" borderId="0" xfId="0" applyNumberFormat="1" applyFont="1"/>
    <xf numFmtId="6" fontId="0" fillId="9" borderId="14" xfId="0" applyNumberFormat="1" applyFill="1" applyBorder="1"/>
    <xf numFmtId="0" fontId="0" fillId="9" borderId="14" xfId="0" applyFill="1" applyBorder="1"/>
    <xf numFmtId="167" fontId="0" fillId="9" borderId="14" xfId="0" applyNumberFormat="1" applyFill="1" applyBorder="1"/>
    <xf numFmtId="0" fontId="0" fillId="9" borderId="9" xfId="0" applyFill="1" applyBorder="1"/>
    <xf numFmtId="6" fontId="0" fillId="9" borderId="0" xfId="0" applyNumberFormat="1" applyFill="1"/>
    <xf numFmtId="0" fontId="0" fillId="9" borderId="0" xfId="0" applyFill="1"/>
    <xf numFmtId="167" fontId="0" fillId="9" borderId="0" xfId="0" applyNumberFormat="1" applyFill="1"/>
    <xf numFmtId="0" fontId="0" fillId="9" borderId="6" xfId="0" applyFill="1" applyBorder="1"/>
    <xf numFmtId="6" fontId="0" fillId="9" borderId="1" xfId="0" applyNumberFormat="1" applyFill="1" applyBorder="1"/>
    <xf numFmtId="0" fontId="0" fillId="9" borderId="1" xfId="0" applyFill="1" applyBorder="1"/>
    <xf numFmtId="167" fontId="0" fillId="9" borderId="1" xfId="0" applyNumberFormat="1" applyFill="1" applyBorder="1"/>
    <xf numFmtId="0" fontId="0" fillId="9" borderId="8" xfId="0" applyFill="1" applyBorder="1"/>
    <xf numFmtId="0" fontId="1" fillId="0" borderId="17" xfId="0" applyFont="1" applyBorder="1"/>
    <xf numFmtId="0" fontId="0" fillId="0" borderId="19" xfId="0" applyBorder="1"/>
    <xf numFmtId="0" fontId="0" fillId="0" borderId="20" xfId="0" applyBorder="1"/>
    <xf numFmtId="0" fontId="0" fillId="0" borderId="18" xfId="0" applyBorder="1"/>
    <xf numFmtId="6" fontId="0" fillId="0" borderId="14" xfId="0" applyNumberFormat="1" applyBorder="1"/>
    <xf numFmtId="6" fontId="0" fillId="0" borderId="1" xfId="0" applyNumberFormat="1" applyBorder="1"/>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166" fontId="0" fillId="0" borderId="0" xfId="0" applyNumberFormat="1"/>
    <xf numFmtId="44" fontId="0" fillId="5" borderId="0" xfId="1" applyFont="1" applyFill="1" applyBorder="1"/>
    <xf numFmtId="169" fontId="0" fillId="3" borderId="0" xfId="0" applyNumberFormat="1" applyFill="1"/>
    <xf numFmtId="0" fontId="11" fillId="0" borderId="0" xfId="0" applyFont="1"/>
    <xf numFmtId="9" fontId="0" fillId="0" borderId="0" xfId="2" applyFont="1" applyFill="1"/>
    <xf numFmtId="3" fontId="0" fillId="0" borderId="1" xfId="0" applyNumberFormat="1" applyBorder="1"/>
    <xf numFmtId="167" fontId="0" fillId="0" borderId="14" xfId="0" applyNumberFormat="1" applyBorder="1"/>
    <xf numFmtId="0" fontId="10" fillId="0" borderId="0" xfId="0" applyFont="1"/>
    <xf numFmtId="0" fontId="0" fillId="0" borderId="15" xfId="0" applyBorder="1"/>
    <xf numFmtId="0" fontId="0" fillId="0" borderId="3" xfId="0" applyBorder="1"/>
    <xf numFmtId="0" fontId="12" fillId="0" borderId="17" xfId="0" applyFont="1" applyBorder="1"/>
    <xf numFmtId="0" fontId="13" fillId="0" borderId="0" xfId="0" applyFont="1"/>
    <xf numFmtId="0" fontId="0" fillId="3" borderId="9" xfId="0" applyFill="1" applyBorder="1"/>
    <xf numFmtId="0" fontId="0" fillId="3" borderId="6" xfId="0" applyFill="1" applyBorder="1"/>
    <xf numFmtId="165" fontId="0" fillId="3" borderId="6" xfId="0" applyNumberFormat="1" applyFill="1" applyBorder="1"/>
    <xf numFmtId="169" fontId="0" fillId="3" borderId="6" xfId="0" applyNumberFormat="1" applyFill="1" applyBorder="1"/>
    <xf numFmtId="9" fontId="0" fillId="3" borderId="6" xfId="0" applyNumberFormat="1" applyFill="1" applyBorder="1"/>
    <xf numFmtId="0" fontId="1" fillId="3" borderId="6" xfId="0" applyFont="1" applyFill="1" applyBorder="1"/>
    <xf numFmtId="6" fontId="0" fillId="3" borderId="6" xfId="0" applyNumberFormat="1" applyFill="1" applyBorder="1"/>
    <xf numFmtId="9" fontId="0" fillId="3" borderId="6" xfId="2" applyFont="1" applyFill="1" applyBorder="1"/>
    <xf numFmtId="6" fontId="1" fillId="3" borderId="9" xfId="0" applyNumberFormat="1" applyFont="1" applyFill="1" applyBorder="1"/>
    <xf numFmtId="0" fontId="0" fillId="3" borderId="7" xfId="0" applyFill="1" applyBorder="1"/>
    <xf numFmtId="0" fontId="0" fillId="3" borderId="1" xfId="0" applyFill="1" applyBorder="1"/>
    <xf numFmtId="0" fontId="0" fillId="3" borderId="8" xfId="0" applyFill="1" applyBorder="1"/>
    <xf numFmtId="0" fontId="0" fillId="5" borderId="15" xfId="0" applyFill="1" applyBorder="1"/>
    <xf numFmtId="0" fontId="0" fillId="5" borderId="14" xfId="0" applyFill="1" applyBorder="1"/>
    <xf numFmtId="0" fontId="0" fillId="5" borderId="9" xfId="0" applyFill="1" applyBorder="1"/>
    <xf numFmtId="0" fontId="0" fillId="5" borderId="6" xfId="0" applyFill="1" applyBorder="1"/>
    <xf numFmtId="0" fontId="1" fillId="5" borderId="6" xfId="0" applyFont="1" applyFill="1" applyBorder="1"/>
    <xf numFmtId="9" fontId="0" fillId="5" borderId="6" xfId="0" applyNumberFormat="1" applyFill="1" applyBorder="1"/>
    <xf numFmtId="165" fontId="0" fillId="5" borderId="6" xfId="0" applyNumberFormat="1" applyFill="1" applyBorder="1"/>
    <xf numFmtId="165" fontId="0" fillId="5" borderId="6" xfId="1" applyNumberFormat="1" applyFont="1" applyFill="1" applyBorder="1"/>
    <xf numFmtId="6" fontId="0" fillId="5" borderId="6" xfId="0" applyNumberFormat="1" applyFill="1" applyBorder="1"/>
    <xf numFmtId="8" fontId="0" fillId="5" borderId="6" xfId="0" applyNumberFormat="1" applyFill="1" applyBorder="1"/>
    <xf numFmtId="2" fontId="1" fillId="5" borderId="6" xfId="0" applyNumberFormat="1" applyFont="1" applyFill="1" applyBorder="1"/>
    <xf numFmtId="0" fontId="4" fillId="6" borderId="7" xfId="0" applyFont="1" applyFill="1" applyBorder="1"/>
    <xf numFmtId="0" fontId="0" fillId="5" borderId="1" xfId="0" applyFill="1" applyBorder="1"/>
    <xf numFmtId="0" fontId="1" fillId="5" borderId="18" xfId="0" applyFont="1" applyFill="1" applyBorder="1"/>
    <xf numFmtId="0" fontId="0" fillId="5" borderId="19" xfId="0" applyFill="1" applyBorder="1"/>
    <xf numFmtId="9" fontId="0" fillId="5" borderId="19" xfId="0" applyNumberFormat="1" applyFill="1" applyBorder="1"/>
    <xf numFmtId="165" fontId="0" fillId="5" borderId="19" xfId="0" applyNumberFormat="1" applyFill="1" applyBorder="1"/>
    <xf numFmtId="165" fontId="2" fillId="5" borderId="19" xfId="1" applyNumberFormat="1" applyFont="1" applyFill="1" applyBorder="1"/>
    <xf numFmtId="6" fontId="0" fillId="5" borderId="19" xfId="0" applyNumberFormat="1" applyFill="1" applyBorder="1"/>
    <xf numFmtId="8" fontId="0" fillId="5" borderId="19" xfId="0" applyNumberFormat="1" applyFill="1" applyBorder="1"/>
    <xf numFmtId="2" fontId="0" fillId="5" borderId="19" xfId="0" applyNumberFormat="1" applyFill="1" applyBorder="1" applyAlignment="1">
      <alignment wrapText="1"/>
    </xf>
    <xf numFmtId="6" fontId="0" fillId="5" borderId="20" xfId="0" applyNumberFormat="1" applyFill="1" applyBorder="1"/>
    <xf numFmtId="0" fontId="0" fillId="3" borderId="18" xfId="0" applyFill="1" applyBorder="1"/>
    <xf numFmtId="0" fontId="0" fillId="3" borderId="19" xfId="0" applyFill="1" applyBorder="1"/>
    <xf numFmtId="165" fontId="0" fillId="3" borderId="19" xfId="0" applyNumberFormat="1" applyFill="1" applyBorder="1"/>
    <xf numFmtId="9" fontId="0" fillId="3" borderId="19" xfId="0" applyNumberFormat="1" applyFill="1" applyBorder="1"/>
    <xf numFmtId="6" fontId="0" fillId="3" borderId="19" xfId="0" applyNumberFormat="1" applyFill="1" applyBorder="1"/>
    <xf numFmtId="9" fontId="2" fillId="3" borderId="19" xfId="2" applyFont="1" applyFill="1" applyBorder="1"/>
    <xf numFmtId="0" fontId="0" fillId="3" borderId="20" xfId="0" applyFill="1" applyBorder="1"/>
    <xf numFmtId="6" fontId="0" fillId="0" borderId="15" xfId="0" applyNumberFormat="1" applyBorder="1" applyAlignment="1">
      <alignment horizontal="center"/>
    </xf>
    <xf numFmtId="6" fontId="0" fillId="0" borderId="14" xfId="0" applyNumberFormat="1" applyBorder="1" applyAlignment="1">
      <alignment horizontal="center"/>
    </xf>
    <xf numFmtId="6" fontId="0" fillId="0" borderId="9" xfId="0" applyNumberFormat="1" applyBorder="1" applyAlignment="1">
      <alignment horizontal="center"/>
    </xf>
    <xf numFmtId="6" fontId="0" fillId="0" borderId="5" xfId="0" applyNumberFormat="1" applyBorder="1" applyAlignment="1">
      <alignment horizontal="center"/>
    </xf>
    <xf numFmtId="6" fontId="0" fillId="0" borderId="6" xfId="0" applyNumberFormat="1" applyBorder="1" applyAlignment="1">
      <alignment horizontal="center"/>
    </xf>
    <xf numFmtId="6" fontId="0" fillId="0" borderId="7" xfId="0" applyNumberFormat="1" applyBorder="1" applyAlignment="1">
      <alignment horizontal="center"/>
    </xf>
    <xf numFmtId="6" fontId="0" fillId="0" borderId="1" xfId="0" applyNumberFormat="1" applyBorder="1" applyAlignment="1">
      <alignment horizontal="center"/>
    </xf>
    <xf numFmtId="6" fontId="0" fillId="0" borderId="8" xfId="0" applyNumberFormat="1" applyBorder="1" applyAlignment="1">
      <alignment horizontal="center"/>
    </xf>
    <xf numFmtId="8" fontId="0" fillId="0" borderId="0" xfId="0" applyNumberFormat="1" applyAlignment="1">
      <alignment horizontal="center"/>
    </xf>
    <xf numFmtId="8" fontId="0" fillId="0" borderId="6" xfId="0" applyNumberFormat="1" applyBorder="1" applyAlignment="1">
      <alignment horizontal="center"/>
    </xf>
    <xf numFmtId="8" fontId="0" fillId="0" borderId="15" xfId="0" applyNumberFormat="1" applyBorder="1" applyAlignment="1">
      <alignment horizontal="center"/>
    </xf>
    <xf numFmtId="8" fontId="0" fillId="0" borderId="14" xfId="0" applyNumberFormat="1" applyBorder="1" applyAlignment="1">
      <alignment horizontal="center"/>
    </xf>
    <xf numFmtId="8" fontId="0" fillId="0" borderId="9" xfId="0" applyNumberFormat="1" applyBorder="1" applyAlignment="1">
      <alignment horizontal="center"/>
    </xf>
    <xf numFmtId="8" fontId="0" fillId="0" borderId="5" xfId="0" applyNumberFormat="1" applyBorder="1" applyAlignment="1">
      <alignment horizontal="center"/>
    </xf>
    <xf numFmtId="0" fontId="1" fillId="0" borderId="7" xfId="0" applyFont="1" applyBorder="1" applyAlignment="1">
      <alignment horizontal="center"/>
    </xf>
    <xf numFmtId="0" fontId="1" fillId="0" borderId="1" xfId="0" applyFont="1" applyBorder="1" applyAlignment="1">
      <alignment horizontal="center"/>
    </xf>
    <xf numFmtId="165" fontId="1" fillId="5" borderId="14" xfId="0" applyNumberFormat="1" applyFont="1" applyFill="1" applyBorder="1"/>
    <xf numFmtId="165" fontId="1" fillId="5" borderId="9" xfId="0" applyNumberFormat="1" applyFont="1" applyFill="1" applyBorder="1"/>
    <xf numFmtId="6" fontId="1" fillId="5" borderId="3" xfId="0" applyNumberFormat="1" applyFont="1" applyFill="1" applyBorder="1"/>
    <xf numFmtId="6" fontId="1" fillId="5" borderId="4" xfId="0" applyNumberFormat="1" applyFont="1" applyFill="1" applyBorder="1"/>
    <xf numFmtId="164" fontId="1" fillId="0" borderId="1" xfId="0" applyNumberFormat="1" applyFont="1" applyBorder="1" applyAlignment="1">
      <alignment horizontal="center"/>
    </xf>
    <xf numFmtId="164" fontId="1" fillId="0" borderId="8" xfId="0" applyNumberFormat="1" applyFont="1" applyBorder="1" applyAlignment="1">
      <alignment horizontal="center"/>
    </xf>
    <xf numFmtId="0" fontId="1" fillId="0" borderId="18" xfId="0" applyFont="1"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1" fillId="0" borderId="19" xfId="0" applyFont="1" applyBorder="1" applyAlignment="1">
      <alignment horizontal="center" vertical="center"/>
    </xf>
    <xf numFmtId="0" fontId="0" fillId="0" borderId="20" xfId="0" applyBorder="1"/>
    <xf numFmtId="0" fontId="14" fillId="9" borderId="15" xfId="0" applyFont="1" applyFill="1" applyBorder="1"/>
    <xf numFmtId="0" fontId="14" fillId="9" borderId="5" xfId="0" applyFont="1" applyFill="1" applyBorder="1"/>
    <xf numFmtId="0" fontId="14" fillId="9" borderId="7" xfId="0" applyFont="1" applyFill="1" applyBorder="1"/>
    <xf numFmtId="0" fontId="14" fillId="3" borderId="5" xfId="0" applyFont="1" applyFill="1" applyBorder="1"/>
  </cellXfs>
  <cellStyles count="3">
    <cellStyle name="Currency" xfId="1"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PVAV, Gas Heat, Bare Labor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'Airside Component Costs'!$C$5</c:f>
              <c:strCache>
                <c:ptCount val="1"/>
                <c:pt idx="0">
                  <c:v>Bare Labor</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30248118985126859"/>
                  <c:y val="-3.9048191892680079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'Airside Component Costs'!$B$6:$B$14</c:f>
              <c:numCache>
                <c:formatCode>General</c:formatCode>
                <c:ptCount val="9"/>
                <c:pt idx="0">
                  <c:v>7.5</c:v>
                </c:pt>
                <c:pt idx="1">
                  <c:v>10</c:v>
                </c:pt>
                <c:pt idx="2">
                  <c:v>12.5</c:v>
                </c:pt>
                <c:pt idx="3">
                  <c:v>15</c:v>
                </c:pt>
                <c:pt idx="4">
                  <c:v>20</c:v>
                </c:pt>
                <c:pt idx="5">
                  <c:v>25</c:v>
                </c:pt>
                <c:pt idx="6">
                  <c:v>30</c:v>
                </c:pt>
                <c:pt idx="7">
                  <c:v>40</c:v>
                </c:pt>
                <c:pt idx="8">
                  <c:v>50</c:v>
                </c:pt>
              </c:numCache>
            </c:numRef>
          </c:xVal>
          <c:yVal>
            <c:numRef>
              <c:f>'Airside Component Costs'!$C$6:$C$14</c:f>
              <c:numCache>
                <c:formatCode>General</c:formatCode>
                <c:ptCount val="9"/>
                <c:pt idx="0">
                  <c:v>2100</c:v>
                </c:pt>
                <c:pt idx="1">
                  <c:v>2425</c:v>
                </c:pt>
                <c:pt idx="2">
                  <c:v>2575</c:v>
                </c:pt>
                <c:pt idx="3">
                  <c:v>2850</c:v>
                </c:pt>
                <c:pt idx="4">
                  <c:v>3325</c:v>
                </c:pt>
                <c:pt idx="5">
                  <c:v>3975</c:v>
                </c:pt>
                <c:pt idx="6">
                  <c:v>4725</c:v>
                </c:pt>
                <c:pt idx="7">
                  <c:v>6300</c:v>
                </c:pt>
                <c:pt idx="8">
                  <c:v>7875</c:v>
                </c:pt>
              </c:numCache>
            </c:numRef>
          </c:yVal>
          <c:smooth val="0"/>
          <c:extLst>
            <c:ext xmlns:c16="http://schemas.microsoft.com/office/drawing/2014/chart" uri="{C3380CC4-5D6E-409C-BE32-E72D297353CC}">
              <c16:uniqueId val="{00000000-7CC1-40FB-B762-FD84BD1BCA1B}"/>
            </c:ext>
          </c:extLst>
        </c:ser>
        <c:dLbls>
          <c:showLegendKey val="0"/>
          <c:showVal val="0"/>
          <c:showCatName val="0"/>
          <c:showSerName val="0"/>
          <c:showPercent val="0"/>
          <c:showBubbleSize val="0"/>
        </c:dLbls>
        <c:axId val="1129193880"/>
        <c:axId val="1129194208"/>
      </c:scatterChart>
      <c:valAx>
        <c:axId val="112919388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29194208"/>
        <c:crosses val="autoZero"/>
        <c:crossBetween val="midCat"/>
      </c:valAx>
      <c:valAx>
        <c:axId val="11291942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29193880"/>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Commerical NG Boiler Cost,</a:t>
            </a:r>
            <a:r>
              <a:rPr lang="en-US" baseline="0"/>
              <a:t> AF Supply</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32331430446194226"/>
                  <c:y val="4.2129629629629626E-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'Plant Equipment Costs'!$E$8:$E$21</c:f>
              <c:numCache>
                <c:formatCode>General</c:formatCode>
                <c:ptCount val="14"/>
                <c:pt idx="0">
                  <c:v>400</c:v>
                </c:pt>
                <c:pt idx="1">
                  <c:v>650</c:v>
                </c:pt>
                <c:pt idx="2">
                  <c:v>910</c:v>
                </c:pt>
                <c:pt idx="3">
                  <c:v>1040</c:v>
                </c:pt>
                <c:pt idx="4">
                  <c:v>1170</c:v>
                </c:pt>
                <c:pt idx="5">
                  <c:v>1300</c:v>
                </c:pt>
                <c:pt idx="6">
                  <c:v>495</c:v>
                </c:pt>
                <c:pt idx="7">
                  <c:v>315</c:v>
                </c:pt>
                <c:pt idx="8">
                  <c:v>360</c:v>
                </c:pt>
                <c:pt idx="9">
                  <c:v>399</c:v>
                </c:pt>
                <c:pt idx="10">
                  <c:v>500</c:v>
                </c:pt>
                <c:pt idx="11">
                  <c:v>500</c:v>
                </c:pt>
                <c:pt idx="12">
                  <c:v>750</c:v>
                </c:pt>
                <c:pt idx="13">
                  <c:v>1250</c:v>
                </c:pt>
              </c:numCache>
            </c:numRef>
          </c:xVal>
          <c:yVal>
            <c:numRef>
              <c:f>'Plant Equipment Costs'!$F$8:$F$21</c:f>
              <c:numCache>
                <c:formatCode>"$"#,##0</c:formatCode>
                <c:ptCount val="14"/>
                <c:pt idx="0">
                  <c:v>7413</c:v>
                </c:pt>
                <c:pt idx="1">
                  <c:v>10679</c:v>
                </c:pt>
                <c:pt idx="2">
                  <c:v>13720</c:v>
                </c:pt>
                <c:pt idx="3">
                  <c:v>15005</c:v>
                </c:pt>
                <c:pt idx="4">
                  <c:v>16622</c:v>
                </c:pt>
                <c:pt idx="5">
                  <c:v>17967</c:v>
                </c:pt>
                <c:pt idx="6" formatCode="&quot;$&quot;#,##0_);[Red]\(&quot;$&quot;#,##0\)">
                  <c:v>6661</c:v>
                </c:pt>
                <c:pt idx="7">
                  <c:v>4266</c:v>
                </c:pt>
                <c:pt idx="8">
                  <c:v>4455</c:v>
                </c:pt>
                <c:pt idx="9">
                  <c:v>4893</c:v>
                </c:pt>
                <c:pt idx="10" formatCode="&quot;$&quot;#,##0_);[Red]\(&quot;$&quot;#,##0\)">
                  <c:v>6427</c:v>
                </c:pt>
                <c:pt idx="11">
                  <c:v>13121</c:v>
                </c:pt>
                <c:pt idx="12">
                  <c:v>14700</c:v>
                </c:pt>
                <c:pt idx="13">
                  <c:v>15456</c:v>
                </c:pt>
              </c:numCache>
            </c:numRef>
          </c:yVal>
          <c:smooth val="0"/>
          <c:extLst>
            <c:ext xmlns:c16="http://schemas.microsoft.com/office/drawing/2014/chart" uri="{C3380CC4-5D6E-409C-BE32-E72D297353CC}">
              <c16:uniqueId val="{00000000-B250-49FA-A3A9-8C2EF8768521}"/>
            </c:ext>
          </c:extLst>
        </c:ser>
        <c:dLbls>
          <c:showLegendKey val="0"/>
          <c:showVal val="0"/>
          <c:showCatName val="0"/>
          <c:showSerName val="0"/>
          <c:showPercent val="0"/>
          <c:showBubbleSize val="0"/>
        </c:dLbls>
        <c:axId val="1043805504"/>
        <c:axId val="1043811080"/>
      </c:scatterChart>
      <c:valAx>
        <c:axId val="10438055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43811080"/>
        <c:crosses val="autoZero"/>
        <c:crossBetween val="midCat"/>
      </c:valAx>
      <c:valAx>
        <c:axId val="1043811080"/>
        <c:scaling>
          <c:orientation val="minMax"/>
        </c:scaling>
        <c:delete val="0"/>
        <c:axPos val="l"/>
        <c:majorGridlines>
          <c:spPr>
            <a:ln w="9525" cap="flat" cmpd="sng" algn="ctr">
              <a:solidFill>
                <a:schemeClr val="tx1">
                  <a:lumMod val="15000"/>
                  <a:lumOff val="85000"/>
                </a:schemeClr>
              </a:solidFill>
              <a:round/>
            </a:ln>
            <a:effectLst/>
          </c:spPr>
        </c:majorGridlines>
        <c:numFmt formatCode="&quot;$&quot;#,##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4380550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Gas Boiler  Labor Costs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15981014873140859"/>
                  <c:y val="-1.871026538349373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'Plant Equipment Costs'!$H$9:$H$21</c:f>
              <c:numCache>
                <c:formatCode>General</c:formatCode>
                <c:ptCount val="13"/>
                <c:pt idx="0">
                  <c:v>102</c:v>
                </c:pt>
                <c:pt idx="1">
                  <c:v>122</c:v>
                </c:pt>
                <c:pt idx="2">
                  <c:v>163</c:v>
                </c:pt>
                <c:pt idx="3">
                  <c:v>203</c:v>
                </c:pt>
                <c:pt idx="4">
                  <c:v>240</c:v>
                </c:pt>
                <c:pt idx="5">
                  <c:v>280</c:v>
                </c:pt>
                <c:pt idx="6">
                  <c:v>320</c:v>
                </c:pt>
                <c:pt idx="7">
                  <c:v>360</c:v>
                </c:pt>
                <c:pt idx="8">
                  <c:v>400</c:v>
                </c:pt>
                <c:pt idx="9">
                  <c:v>440</c:v>
                </c:pt>
                <c:pt idx="10">
                  <c:v>544</c:v>
                </c:pt>
                <c:pt idx="11">
                  <c:v>765</c:v>
                </c:pt>
                <c:pt idx="12">
                  <c:v>892</c:v>
                </c:pt>
              </c:numCache>
            </c:numRef>
          </c:xVal>
          <c:yVal>
            <c:numRef>
              <c:f>'Plant Equipment Costs'!$I$9:$I$21</c:f>
              <c:numCache>
                <c:formatCode>General</c:formatCode>
                <c:ptCount val="13"/>
                <c:pt idx="0">
                  <c:v>1650</c:v>
                </c:pt>
                <c:pt idx="1">
                  <c:v>2150</c:v>
                </c:pt>
                <c:pt idx="2">
                  <c:v>2375</c:v>
                </c:pt>
                <c:pt idx="3">
                  <c:v>2375</c:v>
                </c:pt>
                <c:pt idx="4">
                  <c:v>2525</c:v>
                </c:pt>
                <c:pt idx="5">
                  <c:v>2675</c:v>
                </c:pt>
                <c:pt idx="6">
                  <c:v>3050</c:v>
                </c:pt>
                <c:pt idx="7">
                  <c:v>3425</c:v>
                </c:pt>
                <c:pt idx="8">
                  <c:v>3800</c:v>
                </c:pt>
                <c:pt idx="9">
                  <c:v>4175</c:v>
                </c:pt>
                <c:pt idx="10">
                  <c:v>4800</c:v>
                </c:pt>
                <c:pt idx="11">
                  <c:v>4975</c:v>
                </c:pt>
                <c:pt idx="12">
                  <c:v>5650</c:v>
                </c:pt>
              </c:numCache>
            </c:numRef>
          </c:yVal>
          <c:smooth val="0"/>
          <c:extLst>
            <c:ext xmlns:c16="http://schemas.microsoft.com/office/drawing/2014/chart" uri="{C3380CC4-5D6E-409C-BE32-E72D297353CC}">
              <c16:uniqueId val="{00000000-1799-4B04-8608-34E20AD9B0DC}"/>
            </c:ext>
          </c:extLst>
        </c:ser>
        <c:dLbls>
          <c:showLegendKey val="0"/>
          <c:showVal val="0"/>
          <c:showCatName val="0"/>
          <c:showSerName val="0"/>
          <c:showPercent val="0"/>
          <c:showBubbleSize val="0"/>
        </c:dLbls>
        <c:axId val="1036126544"/>
        <c:axId val="1036123920"/>
      </c:scatterChart>
      <c:valAx>
        <c:axId val="103612654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6123920"/>
        <c:crosses val="autoZero"/>
        <c:crossBetween val="midCat"/>
      </c:valAx>
      <c:valAx>
        <c:axId val="103612392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612654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HHW Pump Cost = f (MHP)</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3.6210848643919512E-2"/>
                  <c:y val="-2.9715296004666082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'Plant Equipment Costs'!$G$42:$G$47</c:f>
              <c:numCache>
                <c:formatCode>General</c:formatCode>
                <c:ptCount val="6"/>
                <c:pt idx="0">
                  <c:v>2</c:v>
                </c:pt>
                <c:pt idx="1">
                  <c:v>3</c:v>
                </c:pt>
                <c:pt idx="2">
                  <c:v>5</c:v>
                </c:pt>
                <c:pt idx="3">
                  <c:v>7.5</c:v>
                </c:pt>
                <c:pt idx="4">
                  <c:v>10</c:v>
                </c:pt>
                <c:pt idx="5">
                  <c:v>15</c:v>
                </c:pt>
              </c:numCache>
            </c:numRef>
          </c:xVal>
          <c:yVal>
            <c:numRef>
              <c:f>'Plant Equipment Costs'!$H$42:$H$47</c:f>
              <c:numCache>
                <c:formatCode>"$"#,##0</c:formatCode>
                <c:ptCount val="6"/>
                <c:pt idx="0">
                  <c:v>10125</c:v>
                </c:pt>
                <c:pt idx="1">
                  <c:v>10125</c:v>
                </c:pt>
                <c:pt idx="2">
                  <c:v>14635</c:v>
                </c:pt>
                <c:pt idx="3">
                  <c:v>14200</c:v>
                </c:pt>
                <c:pt idx="4">
                  <c:v>18150</c:v>
                </c:pt>
                <c:pt idx="5">
                  <c:v>19350</c:v>
                </c:pt>
              </c:numCache>
            </c:numRef>
          </c:yVal>
          <c:smooth val="0"/>
          <c:extLst>
            <c:ext xmlns:c16="http://schemas.microsoft.com/office/drawing/2014/chart" uri="{C3380CC4-5D6E-409C-BE32-E72D297353CC}">
              <c16:uniqueId val="{00000001-D2FA-445E-A87C-D2E347233E80}"/>
            </c:ext>
          </c:extLst>
        </c:ser>
        <c:dLbls>
          <c:showLegendKey val="0"/>
          <c:showVal val="0"/>
          <c:showCatName val="0"/>
          <c:showSerName val="0"/>
          <c:showPercent val="0"/>
          <c:showBubbleSize val="0"/>
        </c:dLbls>
        <c:axId val="962199424"/>
        <c:axId val="962195160"/>
      </c:scatterChart>
      <c:valAx>
        <c:axId val="96219942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62195160"/>
        <c:crosses val="autoZero"/>
        <c:crossBetween val="midCat"/>
      </c:valAx>
      <c:valAx>
        <c:axId val="962195160"/>
        <c:scaling>
          <c:orientation val="minMax"/>
        </c:scaling>
        <c:delete val="0"/>
        <c:axPos val="l"/>
        <c:majorGridlines>
          <c:spPr>
            <a:ln w="9525" cap="flat" cmpd="sng" algn="ctr">
              <a:solidFill>
                <a:schemeClr val="tx1">
                  <a:lumMod val="15000"/>
                  <a:lumOff val="85000"/>
                </a:schemeClr>
              </a:solidFill>
              <a:round/>
            </a:ln>
            <a:effectLst/>
          </c:spPr>
        </c:majorGridlines>
        <c:numFmt formatCode="&quot;$&quot;#,##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6219942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xdr:col>
      <xdr:colOff>32384</xdr:colOff>
      <xdr:row>9</xdr:row>
      <xdr:rowOff>139064</xdr:rowOff>
    </xdr:from>
    <xdr:to>
      <xdr:col>4</xdr:col>
      <xdr:colOff>451484</xdr:colOff>
      <xdr:row>28</xdr:row>
      <xdr:rowOff>57149</xdr:rowOff>
    </xdr:to>
    <xdr:sp macro="" textlink="">
      <xdr:nvSpPr>
        <xdr:cNvPr id="528" name="TextBox 2">
          <a:extLst>
            <a:ext uri="{FF2B5EF4-FFF2-40B4-BE49-F238E27FC236}">
              <a16:creationId xmlns:a16="http://schemas.microsoft.com/office/drawing/2014/main" id="{9A38ED06-5A39-B41F-0CF5-FD48564ADD0E}"/>
            </a:ext>
          </a:extLst>
        </xdr:cNvPr>
        <xdr:cNvSpPr txBox="1"/>
      </xdr:nvSpPr>
      <xdr:spPr>
        <a:xfrm>
          <a:off x="641984" y="2044064"/>
          <a:ext cx="5524500" cy="353758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VRF Costing Approach</a:t>
          </a:r>
          <a:endParaRPr lang="en-US">
            <a:effectLst/>
          </a:endParaRPr>
        </a:p>
        <a:p>
          <a:r>
            <a:rPr lang="en-US" sz="1100">
              <a:solidFill>
                <a:schemeClr val="dk1"/>
              </a:solidFill>
              <a:effectLst/>
              <a:latin typeface="+mn-lt"/>
              <a:ea typeface="+mn-ea"/>
              <a:cs typeface="+mn-cs"/>
            </a:rPr>
            <a:t>Costs are developed for individual system</a:t>
          </a:r>
          <a:r>
            <a:rPr lang="en-US" sz="1100" baseline="0">
              <a:solidFill>
                <a:schemeClr val="dk1"/>
              </a:solidFill>
              <a:effectLst/>
              <a:latin typeface="+mn-lt"/>
              <a:ea typeface="+mn-ea"/>
              <a:cs typeface="+mn-cs"/>
            </a:rPr>
            <a:t> components using RS Means, manufacturer direct quotes, and other data sources. Cost versus capacity regressions are developed for components where possible. This allows costs to be calculated as models are revised. </a:t>
          </a:r>
          <a:endParaRPr lang="en-US">
            <a:effectLst/>
          </a:endParaRP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Model sizing output for a given prototype and case is combined with component costs to develop prototype costs. These costs are applicable to a specific prototype and system configuration. These costs represent the first cost for the system in the context of the proposed measure, i.e., only those components of a system that are changing between the baseline and proposed case are costed. </a:t>
          </a:r>
          <a:endParaRPr lang="en-US">
            <a:effectLst/>
          </a:endParaRP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Finally, present value of maintenance and replacement costs is added to the incremental cost to calculate the total incremental cost of the measure. </a:t>
          </a:r>
        </a:p>
        <a:p>
          <a:endParaRPr lang="en-US" sz="1100" baseline="0">
            <a:solidFill>
              <a:schemeClr val="dk1"/>
            </a:solidFill>
            <a:effectLst/>
            <a:latin typeface="+mn-lt"/>
            <a:ea typeface="+mn-ea"/>
            <a:cs typeface="+mn-cs"/>
          </a:endParaRPr>
        </a:p>
        <a:p>
          <a:r>
            <a:rPr lang="en-US">
              <a:effectLst/>
            </a:rPr>
            <a:t>AGIC:  Avoided</a:t>
          </a:r>
          <a:r>
            <a:rPr lang="en-US" baseline="0">
              <a:effectLst/>
            </a:rPr>
            <a:t> gas infrastructure costs were estimated from CPUC technical documentation and from general contractor estaimtes. The avoided costs consist of the elimination of required gas lines to rooftop units, avoided gas main service to buiding and avoided costs for submetering. The costs are developed for each climate zone based on costs provided by utility service providers in the 2022 report.</a:t>
          </a:r>
          <a:endParaRPr lang="en-US">
            <a:effectLst/>
          </a:endParaRP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512741</xdr:colOff>
      <xdr:row>3</xdr:row>
      <xdr:rowOff>40360</xdr:rowOff>
    </xdr:from>
    <xdr:to>
      <xdr:col>13</xdr:col>
      <xdr:colOff>295304</xdr:colOff>
      <xdr:row>39</xdr:row>
      <xdr:rowOff>143175</xdr:rowOff>
    </xdr:to>
    <xdr:graphicFrame macro="">
      <xdr:nvGraphicFramePr>
        <xdr:cNvPr id="2" name="Chart 1" descr="PVAV, Gas Heat versus Bare labor">
          <a:extLst>
            <a:ext uri="{FF2B5EF4-FFF2-40B4-BE49-F238E27FC236}">
              <a16:creationId xmlns:a16="http://schemas.microsoft.com/office/drawing/2014/main" id="{7987376D-9923-4A56-AAE5-8D68ADD4ABF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46</xdr:row>
      <xdr:rowOff>0</xdr:rowOff>
    </xdr:from>
    <xdr:to>
      <xdr:col>7</xdr:col>
      <xdr:colOff>208136</xdr:colOff>
      <xdr:row>66</xdr:row>
      <xdr:rowOff>159025</xdr:rowOff>
    </xdr:to>
    <xdr:pic>
      <xdr:nvPicPr>
        <xdr:cNvPr id="8" name="Picture 1" descr="Charts that represent costs and labor for duct mains">
          <a:extLst>
            <a:ext uri="{FF2B5EF4-FFF2-40B4-BE49-F238E27FC236}">
              <a16:creationId xmlns:a16="http://schemas.microsoft.com/office/drawing/2014/main" id="{88D967FB-6B14-436A-B446-D8B2B917429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36105" y="38503022"/>
          <a:ext cx="6644015" cy="39008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391035</xdr:colOff>
      <xdr:row>6</xdr:row>
      <xdr:rowOff>133593</xdr:rowOff>
    </xdr:from>
    <xdr:to>
      <xdr:col>16</xdr:col>
      <xdr:colOff>443070</xdr:colOff>
      <xdr:row>21</xdr:row>
      <xdr:rowOff>70451</xdr:rowOff>
    </xdr:to>
    <xdr:graphicFrame macro="">
      <xdr:nvGraphicFramePr>
        <xdr:cNvPr id="4" name="Chart 3" descr="Commercial Natural Gas Boiler cost and supply">
          <a:extLst>
            <a:ext uri="{FF2B5EF4-FFF2-40B4-BE49-F238E27FC236}">
              <a16:creationId xmlns:a16="http://schemas.microsoft.com/office/drawing/2014/main" id="{629620DD-A774-4914-B436-7482F4B85FF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109233</xdr:colOff>
      <xdr:row>6</xdr:row>
      <xdr:rowOff>154056</xdr:rowOff>
    </xdr:from>
    <xdr:to>
      <xdr:col>24</xdr:col>
      <xdr:colOff>228501</xdr:colOff>
      <xdr:row>21</xdr:row>
      <xdr:rowOff>90913</xdr:rowOff>
    </xdr:to>
    <xdr:graphicFrame macro="">
      <xdr:nvGraphicFramePr>
        <xdr:cNvPr id="5" name="Chart 4" descr="Gas Boiler Labor Costs capacity versus labor">
          <a:extLst>
            <a:ext uri="{FF2B5EF4-FFF2-40B4-BE49-F238E27FC236}">
              <a16:creationId xmlns:a16="http://schemas.microsoft.com/office/drawing/2014/main" id="{943F43EF-50F9-4C69-ABEF-9D3A1BC223E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518100</xdr:colOff>
      <xdr:row>38</xdr:row>
      <xdr:rowOff>56896</xdr:rowOff>
    </xdr:from>
    <xdr:to>
      <xdr:col>14</xdr:col>
      <xdr:colOff>299782</xdr:colOff>
      <xdr:row>52</xdr:row>
      <xdr:rowOff>176856</xdr:rowOff>
    </xdr:to>
    <xdr:graphicFrame macro="">
      <xdr:nvGraphicFramePr>
        <xdr:cNvPr id="2" name="Chart 1">
          <a:extLst>
            <a:ext uri="{FF2B5EF4-FFF2-40B4-BE49-F238E27FC236}">
              <a16:creationId xmlns:a16="http://schemas.microsoft.com/office/drawing/2014/main" id="{54075180-1563-4153-A42F-D4F4B3431190}"/>
            </a:ext>
            <a:ext uri="{C183D7F6-B498-43B3-948B-1728B52AA6E4}">
              <adec:decorative xmlns:adec="http://schemas.microsoft.com/office/drawing/2017/decorative" val="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Arent, John" id="{695696C6-EC04-4039-B2E5-A179665BED62}" userId="S::jarent@Noresco.com::5809fac3-61e0-4c5d-b602-f998048692c8"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10" dT="2024-07-24T19:03:42.89" personId="{695696C6-EC04-4039-B2E5-A179665BED62}" id="{A8ACC727-E5AA-4E35-BD64-456B0BEAAF49}">
    <text>Annual Maintenance Cost estimates from O&amp;M equipment task lists and an assumed burdened labor rate of $100-$120/hr.</text>
  </threadedComment>
  <threadedComment ref="F10" dT="2024-07-24T19:04:09.64" personId="{695696C6-EC04-4039-B2E5-A179665BED62}" id="{4DCC3416-A53D-49D5-8F40-54A9DB9B934F}">
    <text>Expected Useful Life of Equipment, from ASHRAE Life Expectancy Chart</text>
  </threadedComment>
  <threadedComment ref="G10" dT="2024-07-24T19:05:05.88" personId="{695696C6-EC04-4039-B2E5-A179665BED62}" id="{6CC2AE8C-C396-48CB-BCFB-D5466A75225F}">
    <text>Discount factor for equipment replacement after EUL period.</text>
  </threadedComment>
  <threadedComment ref="H10" dT="2024-07-24T19:05:49.33" personId="{695696C6-EC04-4039-B2E5-A179665BED62}" id="{01DE1E54-83B1-47A1-9C03-209EFF27CBCA}">
    <text>Total maintenance cost over expected life, per unit, accounting for the discount rate.</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22E93A-147C-4EC6-8084-6B9E6EE0FC31}">
  <dimension ref="B2:C7"/>
  <sheetViews>
    <sheetView topLeftCell="B1" workbookViewId="0">
      <selection activeCell="B1" sqref="B1"/>
    </sheetView>
  </sheetViews>
  <sheetFormatPr defaultRowHeight="14.4" x14ac:dyDescent="0.3"/>
  <cols>
    <col min="2" max="2" width="23.6640625" bestFit="1" customWidth="1"/>
    <col min="3" max="3" width="43.6640625" bestFit="1" customWidth="1"/>
  </cols>
  <sheetData>
    <row r="2" spans="2:3" x14ac:dyDescent="0.3">
      <c r="B2" s="76" t="s">
        <v>0</v>
      </c>
      <c r="C2" s="76" t="s">
        <v>1</v>
      </c>
    </row>
    <row r="3" spans="2:3" ht="28.8" x14ac:dyDescent="0.3">
      <c r="B3" s="61" t="s">
        <v>2</v>
      </c>
      <c r="C3" s="62" t="s">
        <v>3</v>
      </c>
    </row>
    <row r="4" spans="2:3" x14ac:dyDescent="0.3">
      <c r="B4" s="61" t="s">
        <v>4</v>
      </c>
      <c r="C4" s="61" t="s">
        <v>5</v>
      </c>
    </row>
    <row r="5" spans="2:3" x14ac:dyDescent="0.3">
      <c r="B5" s="61" t="s">
        <v>6</v>
      </c>
      <c r="C5" s="61" t="s">
        <v>7</v>
      </c>
    </row>
    <row r="6" spans="2:3" x14ac:dyDescent="0.3">
      <c r="B6" s="61" t="s">
        <v>8</v>
      </c>
      <c r="C6" s="61" t="s">
        <v>9</v>
      </c>
    </row>
    <row r="7" spans="2:3" x14ac:dyDescent="0.3">
      <c r="B7" s="61" t="s">
        <v>10</v>
      </c>
      <c r="C7" s="61" t="s">
        <v>11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781797-B867-44B2-BEB3-46349DB32DB7}">
  <dimension ref="B2:W50"/>
  <sheetViews>
    <sheetView zoomScale="85" zoomScaleNormal="85" workbookViewId="0">
      <selection activeCell="D26" sqref="D26:D31"/>
    </sheetView>
  </sheetViews>
  <sheetFormatPr defaultRowHeight="14.4" x14ac:dyDescent="0.3"/>
  <cols>
    <col min="3" max="3" width="16.6640625" bestFit="1" customWidth="1"/>
    <col min="4" max="4" width="26" customWidth="1"/>
    <col min="5" max="5" width="16.44140625" customWidth="1"/>
    <col min="6" max="7" width="10.6640625" customWidth="1"/>
    <col min="8" max="8" width="13.44140625" customWidth="1"/>
    <col min="9" max="11" width="10.6640625" customWidth="1"/>
    <col min="12" max="12" width="14.33203125" customWidth="1"/>
    <col min="13" max="13" width="12.33203125" customWidth="1"/>
    <col min="14" max="23" width="10.6640625" customWidth="1"/>
    <col min="49" max="49" width="29.33203125" bestFit="1" customWidth="1"/>
  </cols>
  <sheetData>
    <row r="2" spans="2:9" ht="25.8" x14ac:dyDescent="0.5">
      <c r="B2" s="88" t="s">
        <v>12</v>
      </c>
    </row>
    <row r="4" spans="2:9" ht="18" x14ac:dyDescent="0.35">
      <c r="D4" s="35" t="s">
        <v>13</v>
      </c>
    </row>
    <row r="5" spans="2:9" x14ac:dyDescent="0.3">
      <c r="D5" s="2" t="s">
        <v>14</v>
      </c>
      <c r="E5" s="2" t="s">
        <v>15</v>
      </c>
      <c r="F5" s="2"/>
      <c r="G5" t="s">
        <v>16</v>
      </c>
    </row>
    <row r="6" spans="2:9" x14ac:dyDescent="0.3">
      <c r="D6" t="s">
        <v>17</v>
      </c>
      <c r="E6" s="89">
        <v>0.03</v>
      </c>
      <c r="G6" s="37" t="s">
        <v>18</v>
      </c>
      <c r="H6" s="37"/>
      <c r="I6" s="37"/>
    </row>
    <row r="7" spans="2:9" x14ac:dyDescent="0.3">
      <c r="D7" s="2" t="s">
        <v>19</v>
      </c>
      <c r="E7" s="2">
        <v>60</v>
      </c>
      <c r="F7" s="2"/>
      <c r="G7" t="s">
        <v>20</v>
      </c>
    </row>
    <row r="8" spans="2:9" x14ac:dyDescent="0.3">
      <c r="D8" s="2" t="s">
        <v>21</v>
      </c>
      <c r="E8" s="90">
        <f>'Proto Costing'!C4</f>
        <v>53628</v>
      </c>
      <c r="F8" s="2"/>
      <c r="G8" s="94" t="s">
        <v>22</v>
      </c>
      <c r="H8" s="94"/>
      <c r="I8" s="94"/>
    </row>
    <row r="9" spans="2:9" x14ac:dyDescent="0.3">
      <c r="E9" s="63"/>
    </row>
    <row r="10" spans="2:9" ht="28.8" x14ac:dyDescent="0.3">
      <c r="E10" s="32" t="s">
        <v>23</v>
      </c>
      <c r="F10" s="31" t="s">
        <v>24</v>
      </c>
      <c r="G10" s="33" t="s">
        <v>25</v>
      </c>
      <c r="H10" t="s">
        <v>26</v>
      </c>
    </row>
    <row r="11" spans="2:9" x14ac:dyDescent="0.3">
      <c r="D11" t="s">
        <v>27</v>
      </c>
      <c r="E11" s="58">
        <v>500</v>
      </c>
      <c r="F11" s="31">
        <v>20</v>
      </c>
      <c r="G11" s="34">
        <f t="shared" ref="G11:G12" si="0">1/(1*(1+$E$6)^F11)</f>
        <v>0.55367575418633497</v>
      </c>
      <c r="H11" s="11">
        <f t="shared" ref="H11:H12" si="1">PV(3%,30,E11,,1)</f>
        <v>-10094.22729497693</v>
      </c>
    </row>
    <row r="12" spans="2:9" x14ac:dyDescent="0.3">
      <c r="D12" t="s">
        <v>28</v>
      </c>
      <c r="E12" s="58">
        <v>400</v>
      </c>
      <c r="F12" s="31">
        <v>20</v>
      </c>
      <c r="G12" s="34">
        <f t="shared" si="0"/>
        <v>0.55367575418633497</v>
      </c>
      <c r="H12" s="11">
        <f t="shared" si="1"/>
        <v>-8075.3818359815441</v>
      </c>
    </row>
    <row r="13" spans="2:9" x14ac:dyDescent="0.3">
      <c r="D13" t="s">
        <v>29</v>
      </c>
      <c r="E13" s="60">
        <v>500</v>
      </c>
      <c r="F13" s="31">
        <v>25</v>
      </c>
      <c r="G13" s="34">
        <f t="shared" ref="G13:G18" si="2">1/(1*(1+$E$6)^F13)</f>
        <v>0.47760556926165965</v>
      </c>
      <c r="H13" s="11">
        <f t="shared" ref="H13:H17" si="3">PV(3%,30,E13,,1)</f>
        <v>-10094.22729497693</v>
      </c>
    </row>
    <row r="14" spans="2:9" x14ac:dyDescent="0.3">
      <c r="D14" t="s">
        <v>30</v>
      </c>
      <c r="E14" s="60">
        <v>50</v>
      </c>
      <c r="F14" s="31">
        <v>20</v>
      </c>
      <c r="G14" s="34">
        <f t="shared" si="2"/>
        <v>0.55367575418633497</v>
      </c>
      <c r="H14" s="11">
        <f t="shared" si="3"/>
        <v>-1009.422729497693</v>
      </c>
      <c r="I14" s="43"/>
    </row>
    <row r="15" spans="2:9" x14ac:dyDescent="0.3">
      <c r="D15" t="s">
        <v>31</v>
      </c>
      <c r="E15" s="60">
        <f>2*90</f>
        <v>180</v>
      </c>
      <c r="F15" s="31">
        <v>20</v>
      </c>
      <c r="G15" s="34">
        <f t="shared" si="2"/>
        <v>0.55367575418633497</v>
      </c>
      <c r="H15" s="11">
        <f t="shared" si="3"/>
        <v>-3633.9218261916949</v>
      </c>
      <c r="I15" s="43"/>
    </row>
    <row r="16" spans="2:9" x14ac:dyDescent="0.3">
      <c r="D16" t="s">
        <v>32</v>
      </c>
      <c r="E16" s="60">
        <v>45</v>
      </c>
      <c r="F16" s="31">
        <v>20</v>
      </c>
      <c r="G16" s="34">
        <f t="shared" si="2"/>
        <v>0.55367575418633497</v>
      </c>
      <c r="H16" s="11">
        <f t="shared" si="3"/>
        <v>-908.48045654792372</v>
      </c>
      <c r="I16" s="43"/>
    </row>
    <row r="17" spans="4:18" x14ac:dyDescent="0.3">
      <c r="D17" t="s">
        <v>33</v>
      </c>
      <c r="E17" s="60">
        <v>500</v>
      </c>
      <c r="F17" s="31">
        <v>20</v>
      </c>
      <c r="G17" s="34">
        <f t="shared" si="2"/>
        <v>0.55367575418633497</v>
      </c>
      <c r="H17" s="11">
        <f t="shared" si="3"/>
        <v>-10094.22729497693</v>
      </c>
      <c r="I17" s="43"/>
    </row>
    <row r="18" spans="4:18" x14ac:dyDescent="0.3">
      <c r="D18" t="s">
        <v>34</v>
      </c>
      <c r="E18" s="60">
        <f>1.5*'Proto Costing'!C87</f>
        <v>12064.905000000001</v>
      </c>
      <c r="F18">
        <v>15</v>
      </c>
      <c r="G18" s="34">
        <f t="shared" si="2"/>
        <v>0.64186194739671765</v>
      </c>
    </row>
    <row r="19" spans="4:18" x14ac:dyDescent="0.3">
      <c r="D19" s="37" t="s">
        <v>35</v>
      </c>
      <c r="E19" s="80"/>
      <c r="F19" s="37"/>
      <c r="G19" s="91"/>
      <c r="H19" s="37"/>
      <c r="I19" s="37"/>
      <c r="J19" s="37"/>
      <c r="K19" s="37"/>
      <c r="L19" s="37"/>
    </row>
    <row r="20" spans="4:18" x14ac:dyDescent="0.3">
      <c r="D20" t="s">
        <v>36</v>
      </c>
      <c r="E20" s="7"/>
      <c r="G20" s="34"/>
    </row>
    <row r="21" spans="4:18" x14ac:dyDescent="0.3">
      <c r="D21" t="s">
        <v>37</v>
      </c>
      <c r="E21" s="7"/>
      <c r="G21" s="34"/>
    </row>
    <row r="22" spans="4:18" x14ac:dyDescent="0.3">
      <c r="D22" t="s">
        <v>38</v>
      </c>
      <c r="E22" s="7"/>
      <c r="G22" s="34"/>
    </row>
    <row r="23" spans="4:18" x14ac:dyDescent="0.3">
      <c r="D23" t="s">
        <v>39</v>
      </c>
      <c r="E23" s="7"/>
      <c r="G23" s="34"/>
    </row>
    <row r="24" spans="4:18" x14ac:dyDescent="0.3">
      <c r="D24" t="s">
        <v>40</v>
      </c>
      <c r="E24" s="7"/>
      <c r="G24" s="34"/>
    </row>
    <row r="25" spans="4:18" x14ac:dyDescent="0.3">
      <c r="D25" s="43"/>
      <c r="E25" s="7"/>
      <c r="G25" s="34"/>
    </row>
    <row r="26" spans="4:18" x14ac:dyDescent="0.3">
      <c r="D26" s="165" t="s">
        <v>41</v>
      </c>
      <c r="E26" s="64"/>
      <c r="F26" s="65"/>
      <c r="G26" s="66"/>
      <c r="H26" s="65"/>
      <c r="I26" s="65"/>
      <c r="J26" s="65"/>
      <c r="K26" s="65"/>
      <c r="L26" s="65"/>
      <c r="M26" s="65"/>
      <c r="N26" s="65"/>
      <c r="O26" s="65"/>
      <c r="P26" s="65"/>
      <c r="Q26" s="65"/>
      <c r="R26" s="67"/>
    </row>
    <row r="27" spans="4:18" x14ac:dyDescent="0.3">
      <c r="D27" s="166" t="s">
        <v>42</v>
      </c>
      <c r="E27" s="68"/>
      <c r="F27" s="69"/>
      <c r="G27" s="70"/>
      <c r="H27" s="69"/>
      <c r="I27" s="69"/>
      <c r="J27" s="69"/>
      <c r="K27" s="69"/>
      <c r="L27" s="69"/>
      <c r="M27" s="69"/>
      <c r="N27" s="69"/>
      <c r="O27" s="69"/>
      <c r="P27" s="69"/>
      <c r="Q27" s="69"/>
      <c r="R27" s="71"/>
    </row>
    <row r="28" spans="4:18" x14ac:dyDescent="0.3">
      <c r="D28" s="166" t="s">
        <v>43</v>
      </c>
      <c r="E28" s="68"/>
      <c r="F28" s="69"/>
      <c r="G28" s="70"/>
      <c r="H28" s="69"/>
      <c r="I28" s="69"/>
      <c r="J28" s="69"/>
      <c r="K28" s="69"/>
      <c r="L28" s="69"/>
      <c r="M28" s="69"/>
      <c r="N28" s="69"/>
      <c r="O28" s="69"/>
      <c r="P28" s="69"/>
      <c r="Q28" s="69"/>
      <c r="R28" s="71"/>
    </row>
    <row r="29" spans="4:18" x14ac:dyDescent="0.3">
      <c r="D29" s="166" t="s">
        <v>44</v>
      </c>
      <c r="E29" s="68"/>
      <c r="F29" s="69"/>
      <c r="G29" s="70"/>
      <c r="H29" s="69"/>
      <c r="I29" s="69"/>
      <c r="J29" s="69"/>
      <c r="K29" s="69"/>
      <c r="L29" s="69"/>
      <c r="M29" s="69"/>
      <c r="N29" s="69"/>
      <c r="O29" s="69"/>
      <c r="P29" s="69"/>
      <c r="Q29" s="69"/>
      <c r="R29" s="71"/>
    </row>
    <row r="30" spans="4:18" x14ac:dyDescent="0.3">
      <c r="D30" s="166" t="s">
        <v>45</v>
      </c>
      <c r="E30" s="68"/>
      <c r="F30" s="69"/>
      <c r="G30" s="70"/>
      <c r="H30" s="69"/>
      <c r="I30" s="69"/>
      <c r="J30" s="69"/>
      <c r="K30" s="69"/>
      <c r="L30" s="69"/>
      <c r="M30" s="69"/>
      <c r="N30" s="69"/>
      <c r="O30" s="69"/>
      <c r="P30" s="69"/>
      <c r="Q30" s="69"/>
      <c r="R30" s="71"/>
    </row>
    <row r="31" spans="4:18" x14ac:dyDescent="0.3">
      <c r="D31" s="167" t="s">
        <v>46</v>
      </c>
      <c r="E31" s="72"/>
      <c r="F31" s="73"/>
      <c r="G31" s="74"/>
      <c r="H31" s="73"/>
      <c r="I31" s="73"/>
      <c r="J31" s="73"/>
      <c r="K31" s="73"/>
      <c r="L31" s="73"/>
      <c r="M31" s="73"/>
      <c r="N31" s="73"/>
      <c r="O31" s="73"/>
      <c r="P31" s="73"/>
      <c r="Q31" s="73"/>
      <c r="R31" s="75"/>
    </row>
    <row r="32" spans="4:18" x14ac:dyDescent="0.3">
      <c r="D32" s="92"/>
      <c r="E32" s="7"/>
      <c r="G32" s="34"/>
    </row>
    <row r="33" spans="2:23" x14ac:dyDescent="0.3">
      <c r="D33" s="92"/>
      <c r="E33" s="7"/>
      <c r="G33" s="34"/>
    </row>
    <row r="34" spans="2:23" ht="18" x14ac:dyDescent="0.35">
      <c r="D34" s="96" t="s">
        <v>47</v>
      </c>
    </row>
    <row r="35" spans="2:23" x14ac:dyDescent="0.3">
      <c r="D35" s="95" t="s">
        <v>48</v>
      </c>
      <c r="E35" s="82">
        <v>1</v>
      </c>
      <c r="F35" s="83">
        <v>2</v>
      </c>
      <c r="G35" s="83">
        <v>3</v>
      </c>
      <c r="H35" s="83">
        <v>4</v>
      </c>
      <c r="I35" s="83">
        <v>5</v>
      </c>
      <c r="J35" s="83">
        <v>6</v>
      </c>
      <c r="K35" s="83">
        <v>7</v>
      </c>
      <c r="L35" s="83">
        <v>8</v>
      </c>
      <c r="M35" s="83">
        <v>9</v>
      </c>
      <c r="N35" s="83">
        <v>10</v>
      </c>
      <c r="O35" s="83">
        <v>11</v>
      </c>
      <c r="P35" s="83">
        <v>12</v>
      </c>
      <c r="Q35" s="83">
        <v>13</v>
      </c>
      <c r="R35" s="83">
        <v>14</v>
      </c>
      <c r="S35" s="83">
        <v>15</v>
      </c>
      <c r="T35" s="84">
        <v>16</v>
      </c>
      <c r="U35" s="31"/>
      <c r="V35" s="31"/>
      <c r="W35" s="31"/>
    </row>
    <row r="36" spans="2:23" x14ac:dyDescent="0.3">
      <c r="C36" s="160" t="s">
        <v>49</v>
      </c>
      <c r="D36" s="79" t="s">
        <v>50</v>
      </c>
      <c r="E36" s="138">
        <f>'Proto Costing'!C56</f>
        <v>1549693.9498999997</v>
      </c>
      <c r="F36" s="139">
        <f>'Proto Costing'!D56</f>
        <v>1596677.7601799998</v>
      </c>
      <c r="G36" s="139">
        <f>'Proto Costing'!E56</f>
        <v>1594542.1324399998</v>
      </c>
      <c r="H36" s="139">
        <f>'Proto Costing'!F56</f>
        <v>1605220.2711399999</v>
      </c>
      <c r="I36" s="139">
        <f>'Proto Costing'!G56</f>
        <v>1581728.3659999999</v>
      </c>
      <c r="J36" s="139">
        <f>'Proto Costing'!H56</f>
        <v>1600949.0156599998</v>
      </c>
      <c r="K36" s="139">
        <f>'Proto Costing'!I56</f>
        <v>1605220.2711399999</v>
      </c>
      <c r="L36" s="139">
        <f>'Proto Costing'!J56</f>
        <v>1614513.4820999999</v>
      </c>
      <c r="M36" s="139">
        <f>'Proto Costing'!K56</f>
        <v>1612377.85436</v>
      </c>
      <c r="N36" s="139">
        <f>'Proto Costing'!L56</f>
        <v>1623055.99306</v>
      </c>
      <c r="O36" s="139">
        <f>'Proto Costing'!M56</f>
        <v>1620920.3653199999</v>
      </c>
      <c r="P36" s="139">
        <f>'Proto Costing'!N56</f>
        <v>1596677.7601799998</v>
      </c>
      <c r="Q36" s="139">
        <f>'Proto Costing'!O56</f>
        <v>1609491.5266199997</v>
      </c>
      <c r="R36" s="139">
        <f>'Proto Costing'!P56</f>
        <v>1635869.7595000002</v>
      </c>
      <c r="S36" s="139">
        <f>'Proto Costing'!Q56</f>
        <v>1640141.01498</v>
      </c>
      <c r="T36" s="140">
        <f>'Proto Costing'!R56</f>
        <v>1665768.54786</v>
      </c>
      <c r="U36" s="7"/>
      <c r="V36" s="7"/>
      <c r="W36" s="7"/>
    </row>
    <row r="37" spans="2:23" x14ac:dyDescent="0.3">
      <c r="C37" s="161"/>
      <c r="D37" s="77" t="s">
        <v>51</v>
      </c>
      <c r="E37" s="141">
        <f>'Proto Costing'!C$37*'Final Results'!$G$13+'Proto Costing'!C$48*'Final Results'!$G$14+'Proto Costing'!C$13*'Final Results'!$G$11</f>
        <v>160675.01385185163</v>
      </c>
      <c r="F37" s="60">
        <f>'Proto Costing'!D37*'Final Results'!$G$13+'Proto Costing'!D48*'Final Results'!$G$14+'Proto Costing'!D13*'Final Results'!$G$11</f>
        <v>185550.52235768217</v>
      </c>
      <c r="G37" s="60">
        <f>'Proto Costing'!E37*'Final Results'!$G$13+'Proto Costing'!E48*'Final Results'!$G$14+'Proto Costing'!E13*'Final Results'!$G$11</f>
        <v>184419.817425599</v>
      </c>
      <c r="H37" s="60">
        <f>'Proto Costing'!F37*'Final Results'!$G$13+'Proto Costing'!F48*'Final Results'!$G$14+'Proto Costing'!F13*'Final Results'!$G$11</f>
        <v>190073.34208601501</v>
      </c>
      <c r="I37" s="60">
        <f>'Proto Costing'!G37*'Final Results'!$G$13+'Proto Costing'!G48*'Final Results'!$G$14+'Proto Costing'!G13*'Final Results'!$G$11</f>
        <v>177635.58783309974</v>
      </c>
      <c r="J37" s="60">
        <f>'Proto Costing'!H37*'Final Results'!$G$13+'Proto Costing'!H48*'Final Results'!$G$14+'Proto Costing'!H13*'Final Results'!$G$11</f>
        <v>187811.93222184858</v>
      </c>
      <c r="K37" s="60">
        <f>'Proto Costing'!I37*'Final Results'!$G$13+'Proto Costing'!I48*'Final Results'!$G$14+'Proto Costing'!I13*'Final Results'!$G$11</f>
        <v>190073.34208601501</v>
      </c>
      <c r="L37" s="60">
        <f>'Proto Costing'!J37*'Final Results'!$G$13+'Proto Costing'!J48*'Final Results'!$G$14+'Proto Costing'!J13*'Final Results'!$G$11</f>
        <v>195011.80620301553</v>
      </c>
      <c r="M37" s="60">
        <f>'Proto Costing'!K37*'Final Results'!$G$13+'Proto Costing'!K48*'Final Results'!$G$14+'Proto Costing'!K13*'Final Results'!$G$11</f>
        <v>193881.1012709323</v>
      </c>
      <c r="N37" s="60">
        <f>'Proto Costing'!L37*'Final Results'!$G$13+'Proto Costing'!L48*'Final Results'!$G$14+'Proto Costing'!L13*'Final Results'!$G$11</f>
        <v>199534.62593134836</v>
      </c>
      <c r="O37" s="60">
        <f>'Proto Costing'!M37*'Final Results'!$G$13+'Proto Costing'!M48*'Final Results'!$G$14+'Proto Costing'!M13*'Final Results'!$G$11</f>
        <v>198403.9209992651</v>
      </c>
      <c r="P37" s="60">
        <f>'Proto Costing'!N37*'Final Results'!$G$13+'Proto Costing'!N48*'Final Results'!$G$14+'Proto Costing'!N13*'Final Results'!$G$11</f>
        <v>185550.52235768217</v>
      </c>
      <c r="Q37" s="60">
        <f>'Proto Costing'!O37*'Final Results'!$G$13+'Proto Costing'!O48*'Final Results'!$G$14+'Proto Costing'!O13*'Final Results'!$G$11</f>
        <v>192334.75195018138</v>
      </c>
      <c r="R37" s="60">
        <f>'Proto Costing'!P37*'Final Results'!$G$13+'Proto Costing'!P48*'Final Results'!$G$14+'Proto Costing'!P13*'Final Results'!$G$11</f>
        <v>206318.85552384757</v>
      </c>
      <c r="S37" s="60">
        <f>'Proto Costing'!Q37*'Final Results'!$G$13+'Proto Costing'!Q48*'Final Results'!$G$14+'Proto Costing'!Q13*'Final Results'!$G$11</f>
        <v>208580.26538801403</v>
      </c>
      <c r="T37" s="142">
        <f>'Proto Costing'!R37*'Final Results'!$G$13+'Proto Costing'!R48*'Final Results'!$G$14+'Proto Costing'!R13*'Final Results'!$G$11</f>
        <v>222148.72457301247</v>
      </c>
      <c r="U37" s="7"/>
      <c r="V37" s="7"/>
      <c r="W37" s="7"/>
    </row>
    <row r="38" spans="2:23" x14ac:dyDescent="0.3">
      <c r="C38" s="161"/>
      <c r="D38" s="77" t="s">
        <v>52</v>
      </c>
      <c r="E38" s="141">
        <f t="shared" ref="E38:T38" si="4">($H$11+$H$13)*-1+$H$16*30*-1</f>
        <v>47442.868286391575</v>
      </c>
      <c r="F38" s="60">
        <f t="shared" si="4"/>
        <v>47442.868286391575</v>
      </c>
      <c r="G38" s="60">
        <f t="shared" si="4"/>
        <v>47442.868286391575</v>
      </c>
      <c r="H38" s="60">
        <f t="shared" si="4"/>
        <v>47442.868286391575</v>
      </c>
      <c r="I38" s="60">
        <f t="shared" si="4"/>
        <v>47442.868286391575</v>
      </c>
      <c r="J38" s="60">
        <f t="shared" si="4"/>
        <v>47442.868286391575</v>
      </c>
      <c r="K38" s="60">
        <f t="shared" si="4"/>
        <v>47442.868286391575</v>
      </c>
      <c r="L38" s="60">
        <f t="shared" si="4"/>
        <v>47442.868286391575</v>
      </c>
      <c r="M38" s="60">
        <f t="shared" si="4"/>
        <v>47442.868286391575</v>
      </c>
      <c r="N38" s="60">
        <f t="shared" si="4"/>
        <v>47442.868286391575</v>
      </c>
      <c r="O38" s="60">
        <f t="shared" si="4"/>
        <v>47442.868286391575</v>
      </c>
      <c r="P38" s="60">
        <f t="shared" si="4"/>
        <v>47442.868286391575</v>
      </c>
      <c r="Q38" s="60">
        <f t="shared" si="4"/>
        <v>47442.868286391575</v>
      </c>
      <c r="R38" s="60">
        <f t="shared" si="4"/>
        <v>47442.868286391575</v>
      </c>
      <c r="S38" s="60">
        <f t="shared" si="4"/>
        <v>47442.868286391575</v>
      </c>
      <c r="T38" s="142">
        <f t="shared" si="4"/>
        <v>47442.868286391575</v>
      </c>
      <c r="U38" s="7"/>
      <c r="V38" s="7"/>
      <c r="W38" s="7"/>
    </row>
    <row r="39" spans="2:23" x14ac:dyDescent="0.3">
      <c r="C39" s="162"/>
      <c r="D39" s="78" t="s">
        <v>53</v>
      </c>
      <c r="E39" s="143">
        <f>SUM(E36:E38)</f>
        <v>1757811.8320382428</v>
      </c>
      <c r="F39" s="144">
        <f t="shared" ref="F39:T39" si="5">SUM(F36:F38)</f>
        <v>1829671.1508240735</v>
      </c>
      <c r="G39" s="144">
        <f t="shared" si="5"/>
        <v>1826404.8181519904</v>
      </c>
      <c r="H39" s="144">
        <f t="shared" si="5"/>
        <v>1842736.4815124064</v>
      </c>
      <c r="I39" s="144">
        <f t="shared" si="5"/>
        <v>1806806.8221194912</v>
      </c>
      <c r="J39" s="144">
        <f t="shared" si="5"/>
        <v>1836203.8161682398</v>
      </c>
      <c r="K39" s="144">
        <f t="shared" si="5"/>
        <v>1842736.4815124064</v>
      </c>
      <c r="L39" s="144">
        <f t="shared" si="5"/>
        <v>1856968.156589407</v>
      </c>
      <c r="M39" s="144">
        <f t="shared" si="5"/>
        <v>1853701.8239173237</v>
      </c>
      <c r="N39" s="144">
        <f t="shared" si="5"/>
        <v>1870033.4872777399</v>
      </c>
      <c r="O39" s="144">
        <f t="shared" si="5"/>
        <v>1866767.1546056564</v>
      </c>
      <c r="P39" s="144">
        <f t="shared" si="5"/>
        <v>1829671.1508240735</v>
      </c>
      <c r="Q39" s="144">
        <f t="shared" si="5"/>
        <v>1849269.1468565725</v>
      </c>
      <c r="R39" s="144">
        <f t="shared" si="5"/>
        <v>1889631.4833102392</v>
      </c>
      <c r="S39" s="144">
        <f t="shared" si="5"/>
        <v>1896164.1486544055</v>
      </c>
      <c r="T39" s="145">
        <f t="shared" si="5"/>
        <v>1935360.140719404</v>
      </c>
      <c r="U39" s="7"/>
      <c r="V39" s="7"/>
      <c r="W39" s="7"/>
    </row>
    <row r="40" spans="2:23" x14ac:dyDescent="0.3">
      <c r="B40" s="1"/>
      <c r="C40" s="163" t="s">
        <v>54</v>
      </c>
      <c r="D40" s="79" t="s">
        <v>55</v>
      </c>
      <c r="E40" s="60">
        <f>'Proto Costing'!C107</f>
        <v>1407564.5177</v>
      </c>
      <c r="F40" s="60">
        <f>'Proto Costing'!D107</f>
        <v>1520131.1276999998</v>
      </c>
      <c r="G40" s="60">
        <f>'Proto Costing'!E107</f>
        <v>1515623.8726999999</v>
      </c>
      <c r="H40" s="60">
        <f>'Proto Costing'!F107</f>
        <v>1538160.1476999999</v>
      </c>
      <c r="I40" s="60">
        <f>'Proto Costing'!G107</f>
        <v>1488580.3426999999</v>
      </c>
      <c r="J40" s="60">
        <f>'Proto Costing'!H107</f>
        <v>1529145.6376999998</v>
      </c>
      <c r="K40" s="60">
        <f>'Proto Costing'!I107</f>
        <v>1538160.1476999999</v>
      </c>
      <c r="L40" s="60">
        <f>'Proto Costing'!J107</f>
        <v>1556189.1676999999</v>
      </c>
      <c r="M40" s="60">
        <f>'Proto Costing'!K107</f>
        <v>1551681.9127</v>
      </c>
      <c r="N40" s="60">
        <f>'Proto Costing'!L107</f>
        <v>1574218.1876999999</v>
      </c>
      <c r="O40" s="60">
        <f>'Proto Costing'!M107</f>
        <v>1569710.9327</v>
      </c>
      <c r="P40" s="60">
        <f>'Proto Costing'!N107</f>
        <v>1520131.1276999998</v>
      </c>
      <c r="Q40" s="60">
        <f>'Proto Costing'!O107</f>
        <v>1547174.6576999999</v>
      </c>
      <c r="R40" s="60">
        <f>'Proto Costing'!P107</f>
        <v>1601261.7176999999</v>
      </c>
      <c r="S40" s="60">
        <f>'Proto Costing'!Q107</f>
        <v>1610276.2276999999</v>
      </c>
      <c r="T40" s="140">
        <f>'Proto Costing'!R107</f>
        <v>1664363.2877</v>
      </c>
      <c r="U40" s="7"/>
      <c r="V40" s="7"/>
      <c r="W40" s="7"/>
    </row>
    <row r="41" spans="2:23" x14ac:dyDescent="0.3">
      <c r="C41" s="163"/>
      <c r="D41" s="77" t="s">
        <v>51</v>
      </c>
      <c r="E41" s="60">
        <f>'Proto Costing'!C66*'Final Results'!$G$12+E18*G18</f>
        <v>209006.44120321146</v>
      </c>
      <c r="F41" s="60">
        <f>'Proto Costing'!D66*'Final Results'!$G$12+F18*H18</f>
        <v>234060.76097930776</v>
      </c>
      <c r="G41" s="60">
        <f>'Proto Costing'!E66*'Final Results'!$G$12+G18*I18</f>
        <v>232569.9281068281</v>
      </c>
      <c r="H41" s="60">
        <f>'Proto Costing'!F66*'Final Results'!$G$12+H18*J18</f>
        <v>240024.09246922645</v>
      </c>
      <c r="I41" s="60">
        <f>'Proto Costing'!G66*'Final Results'!$G$12+I18*K18</f>
        <v>223624.93087195008</v>
      </c>
      <c r="J41" s="60">
        <f>'Proto Costing'!H66*'Final Results'!$G$12+J18*L18</f>
        <v>237042.4267242671</v>
      </c>
      <c r="K41" s="60">
        <f>'Proto Costing'!I66*'Final Results'!$G$12+K18*M18</f>
        <v>240024.09246922645</v>
      </c>
      <c r="L41" s="60">
        <f>'Proto Costing'!J66*'Final Results'!$G$12+L18*N18</f>
        <v>245987.42395914509</v>
      </c>
      <c r="M41" s="60">
        <f>'Proto Costing'!K66*'Final Results'!$G$12+M18*O18</f>
        <v>244496.59108666543</v>
      </c>
      <c r="N41" s="60">
        <f>'Proto Costing'!L66*'Final Results'!$G$12+N18*P18</f>
        <v>251950.75544906381</v>
      </c>
      <c r="O41" s="60">
        <f>'Proto Costing'!M66*'Final Results'!$G$12+O18*Q18</f>
        <v>250459.92257658413</v>
      </c>
      <c r="P41" s="60">
        <f>'Proto Costing'!N66*'Final Results'!$G$12+P18*R18</f>
        <v>234060.76097930776</v>
      </c>
      <c r="Q41" s="60">
        <f>'Proto Costing'!O66*'Final Results'!$G$12+Q18*S18</f>
        <v>243005.75821418577</v>
      </c>
      <c r="R41" s="60">
        <f>'Proto Costing'!P66*'Final Results'!$G$12+R18*T18</f>
        <v>260895.75268394177</v>
      </c>
      <c r="S41" s="60">
        <f>'Proto Costing'!Q66*'Final Results'!$G$12+S18*X18</f>
        <v>263877.41842890112</v>
      </c>
      <c r="T41" s="142">
        <f>'Proto Costing'!R66*'Final Results'!$G$12+T18*Y18</f>
        <v>281767.41289865714</v>
      </c>
      <c r="U41" s="7"/>
      <c r="V41" s="7"/>
      <c r="W41" s="7"/>
    </row>
    <row r="42" spans="2:23" x14ac:dyDescent="0.3">
      <c r="C42" s="163"/>
      <c r="D42" s="77" t="s">
        <v>52</v>
      </c>
      <c r="E42" s="146">
        <f t="shared" ref="E42:T42" si="6">-1*$H$12+(-1)*$H$17</f>
        <v>18169.609130958474</v>
      </c>
      <c r="F42" s="146">
        <f t="shared" si="6"/>
        <v>18169.609130958474</v>
      </c>
      <c r="G42" s="146">
        <f t="shared" si="6"/>
        <v>18169.609130958474</v>
      </c>
      <c r="H42" s="146">
        <f t="shared" si="6"/>
        <v>18169.609130958474</v>
      </c>
      <c r="I42" s="146">
        <f t="shared" si="6"/>
        <v>18169.609130958474</v>
      </c>
      <c r="J42" s="146">
        <f t="shared" si="6"/>
        <v>18169.609130958474</v>
      </c>
      <c r="K42" s="146">
        <f t="shared" si="6"/>
        <v>18169.609130958474</v>
      </c>
      <c r="L42" s="146">
        <f t="shared" si="6"/>
        <v>18169.609130958474</v>
      </c>
      <c r="M42" s="146">
        <f t="shared" si="6"/>
        <v>18169.609130958474</v>
      </c>
      <c r="N42" s="146">
        <f t="shared" si="6"/>
        <v>18169.609130958474</v>
      </c>
      <c r="O42" s="146">
        <f t="shared" si="6"/>
        <v>18169.609130958474</v>
      </c>
      <c r="P42" s="146">
        <f t="shared" si="6"/>
        <v>18169.609130958474</v>
      </c>
      <c r="Q42" s="146">
        <f t="shared" si="6"/>
        <v>18169.609130958474</v>
      </c>
      <c r="R42" s="146">
        <f t="shared" si="6"/>
        <v>18169.609130958474</v>
      </c>
      <c r="S42" s="146">
        <f t="shared" si="6"/>
        <v>18169.609130958474</v>
      </c>
      <c r="T42" s="147">
        <f t="shared" si="6"/>
        <v>18169.609130958474</v>
      </c>
      <c r="U42" s="11"/>
      <c r="V42" s="11"/>
      <c r="W42" s="11"/>
    </row>
    <row r="43" spans="2:23" x14ac:dyDescent="0.3">
      <c r="C43" s="163"/>
      <c r="D43" s="78" t="s">
        <v>53</v>
      </c>
      <c r="E43" s="60">
        <f>SUM(E40:E42)</f>
        <v>1634740.56803417</v>
      </c>
      <c r="F43" s="60">
        <f t="shared" ref="F43:T43" si="7">SUM(F40:F42)</f>
        <v>1772361.4978102662</v>
      </c>
      <c r="G43" s="60">
        <f t="shared" si="7"/>
        <v>1766363.4099377866</v>
      </c>
      <c r="H43" s="60">
        <f t="shared" si="7"/>
        <v>1796353.8493001848</v>
      </c>
      <c r="I43" s="60">
        <f t="shared" si="7"/>
        <v>1730374.8827029085</v>
      </c>
      <c r="J43" s="60">
        <f t="shared" si="7"/>
        <v>1784357.6735552256</v>
      </c>
      <c r="K43" s="60">
        <f t="shared" si="7"/>
        <v>1796353.8493001848</v>
      </c>
      <c r="L43" s="60">
        <f t="shared" si="7"/>
        <v>1820346.2007901035</v>
      </c>
      <c r="M43" s="60">
        <f t="shared" si="7"/>
        <v>1814348.1129176239</v>
      </c>
      <c r="N43" s="60">
        <f t="shared" si="7"/>
        <v>1844338.5522800223</v>
      </c>
      <c r="O43" s="60">
        <f t="shared" si="7"/>
        <v>1838340.4644075427</v>
      </c>
      <c r="P43" s="60">
        <f t="shared" si="7"/>
        <v>1772361.4978102662</v>
      </c>
      <c r="Q43" s="60">
        <f t="shared" si="7"/>
        <v>1808350.0250451441</v>
      </c>
      <c r="R43" s="60">
        <f t="shared" si="7"/>
        <v>1880327.0795149002</v>
      </c>
      <c r="S43" s="60">
        <f t="shared" si="7"/>
        <v>1892323.2552598596</v>
      </c>
      <c r="T43" s="145">
        <f t="shared" si="7"/>
        <v>1964300.3097296157</v>
      </c>
      <c r="U43" s="7"/>
      <c r="V43" s="7"/>
      <c r="W43" s="7"/>
    </row>
    <row r="44" spans="2:23" x14ac:dyDescent="0.3">
      <c r="C44" s="163" t="s">
        <v>56</v>
      </c>
      <c r="D44" s="93" t="s">
        <v>57</v>
      </c>
      <c r="E44" s="148">
        <f>(E43-E39)/'Proto Costing'!$C$4</f>
        <v>-2.2949068397865457</v>
      </c>
      <c r="F44" s="149">
        <f>(F43-F39)/'Proto Costing'!$C$4</f>
        <v>-1.0686516934028354</v>
      </c>
      <c r="G44" s="149">
        <f>(G43-G39)/'Proto Costing'!$C$4</f>
        <v>-1.119590665588942</v>
      </c>
      <c r="H44" s="149">
        <f>(H43-H39)/'Proto Costing'!$C$4</f>
        <v>-0.86489580465841764</v>
      </c>
      <c r="I44" s="149">
        <f>(I43-I39)/'Proto Costing'!$C$4</f>
        <v>-1.4252244987055773</v>
      </c>
      <c r="J44" s="149">
        <f>(J43-J39)/'Proto Costing'!$C$4</f>
        <v>-0.96677374903062219</v>
      </c>
      <c r="K44" s="149">
        <f>(K43-K39)/'Proto Costing'!$C$4</f>
        <v>-0.86489580465841764</v>
      </c>
      <c r="L44" s="149">
        <f>(L43-L39)/'Proto Costing'!$C$4</f>
        <v>-0.68288871110806826</v>
      </c>
      <c r="M44" s="149">
        <f>(M43-M39)/'Proto Costing'!$C$4</f>
        <v>-0.73382768329417047</v>
      </c>
      <c r="N44" s="149">
        <f>(N43-N39)/'Proto Costing'!$C$4</f>
        <v>-0.47913282236364618</v>
      </c>
      <c r="O44" s="149">
        <f>(O43-O39)/'Proto Costing'!$C$4</f>
        <v>-0.53007179454974407</v>
      </c>
      <c r="P44" s="149">
        <f>(P43-P39)/'Proto Costing'!$C$4</f>
        <v>-1.0686516934028354</v>
      </c>
      <c r="Q44" s="149">
        <f>(Q43-Q39)/'Proto Costing'!$C$4</f>
        <v>-0.76301786028620011</v>
      </c>
      <c r="R44" s="149">
        <f>(R43-R39)/'Proto Costing'!$C$4</f>
        <v>-0.17349898924701526</v>
      </c>
      <c r="S44" s="149">
        <f>(S43-S39)/'Proto Costing'!$C$4</f>
        <v>-7.1621044874802059E-2</v>
      </c>
      <c r="T44" s="150">
        <f>(T43-T39)/'Proto Costing'!$C$4</f>
        <v>0.53964662135846408</v>
      </c>
    </row>
    <row r="45" spans="2:23" x14ac:dyDescent="0.3">
      <c r="C45" s="163"/>
      <c r="D45" s="3" t="s">
        <v>58</v>
      </c>
      <c r="E45" s="151">
        <f>AGIC!C25</f>
        <v>0.43160289401059149</v>
      </c>
      <c r="F45" s="146">
        <f>AGIC!D25</f>
        <v>0.43160289401059149</v>
      </c>
      <c r="G45" s="146">
        <f>AGIC!E25</f>
        <v>0.43160289401059149</v>
      </c>
      <c r="H45" s="146">
        <f>AGIC!F25</f>
        <v>0.43160289401059149</v>
      </c>
      <c r="I45" s="146">
        <f>AGIC!G25</f>
        <v>0.43160289401059149</v>
      </c>
      <c r="J45" s="146">
        <f>AGIC!H25</f>
        <v>0.17114194077720593</v>
      </c>
      <c r="K45" s="146">
        <f>AGIC!I25</f>
        <v>0.17666144551353771</v>
      </c>
      <c r="L45" s="146">
        <f>AGIC!J25</f>
        <v>0.17666144551353771</v>
      </c>
      <c r="M45" s="146">
        <f>AGIC!K25</f>
        <v>0.17114194077720593</v>
      </c>
      <c r="N45" s="146">
        <f>AGIC!L25</f>
        <v>0.17114194077720593</v>
      </c>
      <c r="O45" s="146">
        <f>AGIC!M25</f>
        <v>0.43160289401059149</v>
      </c>
      <c r="P45" s="146">
        <f>AGIC!N25</f>
        <v>0.17666144551353771</v>
      </c>
      <c r="Q45" s="146">
        <f>AGIC!O25</f>
        <v>0.43160289401059149</v>
      </c>
      <c r="R45" s="146">
        <f>AGIC!P25</f>
        <v>0.17114194077720593</v>
      </c>
      <c r="S45" s="146">
        <f>AGIC!Q25</f>
        <v>0.43160289401059149</v>
      </c>
      <c r="T45" s="147">
        <f>AGIC!R25</f>
        <v>0.43160289401059149</v>
      </c>
    </row>
    <row r="46" spans="2:23" x14ac:dyDescent="0.3">
      <c r="B46" s="43"/>
      <c r="C46" s="163"/>
      <c r="D46" s="3" t="s">
        <v>59</v>
      </c>
      <c r="E46" s="151">
        <f>E44-E45</f>
        <v>-2.7265097337971373</v>
      </c>
      <c r="F46" s="146">
        <f t="shared" ref="F46:T46" si="8">F44-F45</f>
        <v>-1.5002545874134268</v>
      </c>
      <c r="G46" s="146">
        <f t="shared" si="8"/>
        <v>-1.5511935595995334</v>
      </c>
      <c r="H46" s="146">
        <f t="shared" si="8"/>
        <v>-1.296498698669009</v>
      </c>
      <c r="I46" s="146">
        <f t="shared" si="8"/>
        <v>-1.8568273927161689</v>
      </c>
      <c r="J46" s="146">
        <f t="shared" si="8"/>
        <v>-1.1379156898078282</v>
      </c>
      <c r="K46" s="146">
        <f t="shared" si="8"/>
        <v>-1.0415572501719554</v>
      </c>
      <c r="L46" s="146">
        <f t="shared" si="8"/>
        <v>-0.85955015662160594</v>
      </c>
      <c r="M46" s="146">
        <f t="shared" si="8"/>
        <v>-0.90496962407137638</v>
      </c>
      <c r="N46" s="146">
        <f t="shared" si="8"/>
        <v>-0.65027476314085209</v>
      </c>
      <c r="O46" s="146">
        <f t="shared" si="8"/>
        <v>-0.96167468856033556</v>
      </c>
      <c r="P46" s="146">
        <f t="shared" si="8"/>
        <v>-1.2453131389163732</v>
      </c>
      <c r="Q46" s="146">
        <f t="shared" si="8"/>
        <v>-1.1946207542967917</v>
      </c>
      <c r="R46" s="146">
        <f t="shared" si="8"/>
        <v>-0.34464093002422119</v>
      </c>
      <c r="S46" s="146">
        <f t="shared" si="8"/>
        <v>-0.50322393888539352</v>
      </c>
      <c r="T46" s="147">
        <f t="shared" si="8"/>
        <v>0.1080437273478726</v>
      </c>
    </row>
    <row r="47" spans="2:23" x14ac:dyDescent="0.3">
      <c r="B47" s="43"/>
      <c r="C47" s="163"/>
      <c r="D47" s="3" t="s">
        <v>60</v>
      </c>
      <c r="E47" s="151">
        <v>2.44</v>
      </c>
      <c r="F47" s="146">
        <v>4.1500000000000004</v>
      </c>
      <c r="G47" s="146">
        <v>0.22</v>
      </c>
      <c r="H47" s="146">
        <v>7.23</v>
      </c>
      <c r="I47" s="146">
        <v>0.56000000000000005</v>
      </c>
      <c r="J47" s="146">
        <v>0.82</v>
      </c>
      <c r="K47" s="146">
        <v>4.25</v>
      </c>
      <c r="L47" s="146">
        <v>5.17</v>
      </c>
      <c r="M47" s="146">
        <v>5.84</v>
      </c>
      <c r="N47" s="146">
        <v>5.59</v>
      </c>
      <c r="O47" s="146">
        <v>10.28</v>
      </c>
      <c r="P47" s="146">
        <v>6.07</v>
      </c>
      <c r="Q47" s="146">
        <v>9.0399999999999991</v>
      </c>
      <c r="R47" s="146">
        <v>9.64</v>
      </c>
      <c r="S47" s="146">
        <v>12.97</v>
      </c>
      <c r="T47" s="147">
        <v>5.91</v>
      </c>
    </row>
    <row r="48" spans="2:23" x14ac:dyDescent="0.3">
      <c r="C48" s="164"/>
      <c r="D48" s="78" t="s">
        <v>61</v>
      </c>
      <c r="E48" s="152" t="str">
        <f>IF(E46&lt;0,"Infinite",E47/E46)</f>
        <v>Infinite</v>
      </c>
      <c r="F48" s="153" t="str">
        <f t="shared" ref="F48:T48" si="9">IF(F46&lt;0,"Infinite",F47/F46)</f>
        <v>Infinite</v>
      </c>
      <c r="G48" s="153" t="str">
        <f t="shared" si="9"/>
        <v>Infinite</v>
      </c>
      <c r="H48" s="153" t="str">
        <f t="shared" si="9"/>
        <v>Infinite</v>
      </c>
      <c r="I48" s="153" t="str">
        <f t="shared" si="9"/>
        <v>Infinite</v>
      </c>
      <c r="J48" s="158" t="str">
        <f t="shared" si="9"/>
        <v>Infinite</v>
      </c>
      <c r="K48" s="158" t="str">
        <f t="shared" si="9"/>
        <v>Infinite</v>
      </c>
      <c r="L48" s="158" t="str">
        <f t="shared" si="9"/>
        <v>Infinite</v>
      </c>
      <c r="M48" s="158" t="str">
        <f t="shared" si="9"/>
        <v>Infinite</v>
      </c>
      <c r="N48" s="158" t="str">
        <f t="shared" si="9"/>
        <v>Infinite</v>
      </c>
      <c r="O48" s="158" t="str">
        <f t="shared" si="9"/>
        <v>Infinite</v>
      </c>
      <c r="P48" s="153" t="str">
        <f t="shared" si="9"/>
        <v>Infinite</v>
      </c>
      <c r="Q48" s="158" t="str">
        <f t="shared" si="9"/>
        <v>Infinite</v>
      </c>
      <c r="R48" s="158" t="str">
        <f t="shared" si="9"/>
        <v>Infinite</v>
      </c>
      <c r="S48" s="158" t="str">
        <f t="shared" si="9"/>
        <v>Infinite</v>
      </c>
      <c r="T48" s="159">
        <f t="shared" si="9"/>
        <v>54.700075099883797</v>
      </c>
    </row>
    <row r="50" spans="2:2" ht="18" x14ac:dyDescent="0.35">
      <c r="B50" s="35"/>
    </row>
  </sheetData>
  <mergeCells count="3">
    <mergeCell ref="C36:C39"/>
    <mergeCell ref="C40:C43"/>
    <mergeCell ref="C44:C48"/>
  </mergeCells>
  <phoneticPr fontId="9" type="noConversion"/>
  <pageMargins left="0.7" right="0.7" top="0.75" bottom="0.75" header="0.3" footer="0.3"/>
  <pageSetup orientation="portrait" horizontalDpi="90" verticalDpi="9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52B6B9-AE28-479A-932F-3ACCEF16F26B}">
  <dimension ref="A2:T108"/>
  <sheetViews>
    <sheetView tabSelected="1" topLeftCell="A62" zoomScale="85" zoomScaleNormal="85" workbookViewId="0">
      <selection activeCell="A87" sqref="A87"/>
    </sheetView>
  </sheetViews>
  <sheetFormatPr defaultRowHeight="14.4" x14ac:dyDescent="0.3"/>
  <cols>
    <col min="1" max="1" width="16.33203125" customWidth="1"/>
    <col min="2" max="2" width="31.5546875" customWidth="1"/>
    <col min="3" max="18" width="13.6640625" customWidth="1"/>
    <col min="19" max="19" width="101.6640625" customWidth="1"/>
    <col min="20" max="36" width="56.44140625" customWidth="1"/>
  </cols>
  <sheetData>
    <row r="2" spans="1:19" ht="18" x14ac:dyDescent="0.35">
      <c r="B2" s="35" t="s">
        <v>62</v>
      </c>
    </row>
    <row r="3" spans="1:19" ht="18" x14ac:dyDescent="0.35">
      <c r="C3" s="36"/>
      <c r="I3" s="35"/>
      <c r="K3" s="1"/>
    </row>
    <row r="4" spans="1:19" x14ac:dyDescent="0.3">
      <c r="B4" t="s">
        <v>63</v>
      </c>
      <c r="C4">
        <v>53628</v>
      </c>
      <c r="D4" t="s">
        <v>64</v>
      </c>
    </row>
    <row r="6" spans="1:19" ht="21" x14ac:dyDescent="0.4">
      <c r="A6" s="109"/>
      <c r="B6" s="24" t="s">
        <v>65</v>
      </c>
      <c r="C6" s="110"/>
      <c r="D6" s="110"/>
      <c r="E6" s="110"/>
      <c r="F6" s="110"/>
      <c r="G6" s="110"/>
      <c r="H6" s="110"/>
      <c r="I6" s="110"/>
      <c r="J6" s="110"/>
      <c r="K6" s="110"/>
      <c r="L6" s="110"/>
      <c r="M6" s="110"/>
      <c r="N6" s="110"/>
      <c r="O6" s="110"/>
      <c r="P6" s="110"/>
      <c r="Q6" s="110"/>
      <c r="R6" s="111"/>
      <c r="S6" s="122" t="s">
        <v>66</v>
      </c>
    </row>
    <row r="7" spans="1:19" x14ac:dyDescent="0.3">
      <c r="A7" s="26"/>
      <c r="B7" s="25"/>
      <c r="C7" s="25" t="s">
        <v>67</v>
      </c>
      <c r="D7" s="25" t="s">
        <v>68</v>
      </c>
      <c r="E7" s="25" t="s">
        <v>69</v>
      </c>
      <c r="F7" s="25" t="s">
        <v>70</v>
      </c>
      <c r="G7" s="25" t="s">
        <v>71</v>
      </c>
      <c r="H7" s="25" t="s">
        <v>72</v>
      </c>
      <c r="I7" s="25" t="s">
        <v>73</v>
      </c>
      <c r="J7" s="25" t="s">
        <v>74</v>
      </c>
      <c r="K7" s="25" t="s">
        <v>75</v>
      </c>
      <c r="L7" s="25" t="s">
        <v>76</v>
      </c>
      <c r="M7" s="25" t="s">
        <v>77</v>
      </c>
      <c r="N7" s="25" t="s">
        <v>78</v>
      </c>
      <c r="O7" s="25" t="s">
        <v>79</v>
      </c>
      <c r="P7" s="25" t="s">
        <v>80</v>
      </c>
      <c r="Q7" s="25" t="s">
        <v>81</v>
      </c>
      <c r="R7" s="112" t="s">
        <v>82</v>
      </c>
      <c r="S7" s="123"/>
    </row>
    <row r="8" spans="1:19" x14ac:dyDescent="0.3">
      <c r="A8" s="120" t="s">
        <v>27</v>
      </c>
      <c r="B8" s="25" t="s">
        <v>83</v>
      </c>
      <c r="C8" s="44">
        <v>135</v>
      </c>
      <c r="D8" s="44">
        <v>157</v>
      </c>
      <c r="E8" s="44">
        <v>156</v>
      </c>
      <c r="F8" s="44">
        <v>161</v>
      </c>
      <c r="G8" s="44">
        <v>150</v>
      </c>
      <c r="H8" s="44">
        <v>159</v>
      </c>
      <c r="I8" s="44">
        <v>161</v>
      </c>
      <c r="J8" s="44">
        <v>165</v>
      </c>
      <c r="K8" s="44">
        <v>164</v>
      </c>
      <c r="L8" s="44">
        <v>169</v>
      </c>
      <c r="M8" s="44">
        <v>168</v>
      </c>
      <c r="N8" s="44">
        <v>157</v>
      </c>
      <c r="O8" s="44">
        <v>163</v>
      </c>
      <c r="P8" s="44">
        <v>175</v>
      </c>
      <c r="Q8" s="44">
        <v>177</v>
      </c>
      <c r="R8" s="113">
        <v>189</v>
      </c>
      <c r="S8" s="123" t="s">
        <v>84</v>
      </c>
    </row>
    <row r="9" spans="1:19" x14ac:dyDescent="0.3">
      <c r="A9" s="26"/>
      <c r="B9" s="25" t="s">
        <v>85</v>
      </c>
      <c r="C9" s="25"/>
      <c r="D9" s="25"/>
      <c r="E9" s="25"/>
      <c r="F9" s="25"/>
      <c r="G9" s="25"/>
      <c r="H9" s="25"/>
      <c r="I9" s="25"/>
      <c r="J9" s="25"/>
      <c r="K9" s="25"/>
      <c r="L9" s="25"/>
      <c r="M9" s="25"/>
      <c r="N9" s="25"/>
      <c r="O9" s="25"/>
      <c r="P9" s="25"/>
      <c r="Q9" s="25"/>
      <c r="R9" s="112"/>
      <c r="S9" s="123"/>
    </row>
    <row r="10" spans="1:19" x14ac:dyDescent="0.3">
      <c r="A10" s="26"/>
      <c r="B10" s="25" t="s">
        <v>86</v>
      </c>
      <c r="C10" s="30">
        <f>1420*C8</f>
        <v>191700</v>
      </c>
      <c r="D10" s="30">
        <f t="shared" ref="D10:R10" si="0">1420*D8</f>
        <v>222940</v>
      </c>
      <c r="E10" s="30">
        <f t="shared" si="0"/>
        <v>221520</v>
      </c>
      <c r="F10" s="30">
        <f t="shared" si="0"/>
        <v>228620</v>
      </c>
      <c r="G10" s="30">
        <f t="shared" si="0"/>
        <v>213000</v>
      </c>
      <c r="H10" s="30">
        <f t="shared" si="0"/>
        <v>225780</v>
      </c>
      <c r="I10" s="30">
        <f t="shared" si="0"/>
        <v>228620</v>
      </c>
      <c r="J10" s="30">
        <f t="shared" si="0"/>
        <v>234300</v>
      </c>
      <c r="K10" s="30">
        <f t="shared" si="0"/>
        <v>232880</v>
      </c>
      <c r="L10" s="30">
        <f t="shared" si="0"/>
        <v>239980</v>
      </c>
      <c r="M10" s="30">
        <f t="shared" si="0"/>
        <v>238560</v>
      </c>
      <c r="N10" s="30">
        <f t="shared" si="0"/>
        <v>222940</v>
      </c>
      <c r="O10" s="30">
        <f t="shared" si="0"/>
        <v>231460</v>
      </c>
      <c r="P10" s="30">
        <f t="shared" si="0"/>
        <v>248500</v>
      </c>
      <c r="Q10" s="30">
        <f t="shared" si="0"/>
        <v>251340</v>
      </c>
      <c r="R10" s="115">
        <f t="shared" si="0"/>
        <v>268380</v>
      </c>
      <c r="S10" s="123" t="s">
        <v>87</v>
      </c>
    </row>
    <row r="11" spans="1:19" x14ac:dyDescent="0.3">
      <c r="A11" s="26"/>
      <c r="B11" s="25" t="s">
        <v>88</v>
      </c>
      <c r="C11" s="30">
        <f>172.1*'Proto Costing'!C8</f>
        <v>23233.5</v>
      </c>
      <c r="D11" s="30">
        <f>172.1*'Proto Costing'!D8</f>
        <v>27019.7</v>
      </c>
      <c r="E11" s="30">
        <f>172.1*'Proto Costing'!E8</f>
        <v>26847.599999999999</v>
      </c>
      <c r="F11" s="30">
        <f>172.1*'Proto Costing'!F8</f>
        <v>27708.1</v>
      </c>
      <c r="G11" s="30">
        <f>172.1*'Proto Costing'!G8</f>
        <v>25815</v>
      </c>
      <c r="H11" s="30">
        <f>172.1*'Proto Costing'!H8</f>
        <v>27363.899999999998</v>
      </c>
      <c r="I11" s="30">
        <f>172.1*'Proto Costing'!I8</f>
        <v>27708.1</v>
      </c>
      <c r="J11" s="30">
        <f>172.1*'Proto Costing'!J8</f>
        <v>28396.5</v>
      </c>
      <c r="K11" s="30">
        <f>172.1*'Proto Costing'!K8</f>
        <v>28224.399999999998</v>
      </c>
      <c r="L11" s="30">
        <f>172.1*'Proto Costing'!L8</f>
        <v>29084.899999999998</v>
      </c>
      <c r="M11" s="30">
        <f>172.1*'Proto Costing'!M8</f>
        <v>28912.799999999999</v>
      </c>
      <c r="N11" s="30">
        <f>172.1*'Proto Costing'!N8</f>
        <v>27019.7</v>
      </c>
      <c r="O11" s="30">
        <f>172.1*'Proto Costing'!O8</f>
        <v>28052.3</v>
      </c>
      <c r="P11" s="30">
        <f>172.1*'Proto Costing'!P8</f>
        <v>30117.5</v>
      </c>
      <c r="Q11" s="30">
        <f>172.1*'Proto Costing'!Q8</f>
        <v>30461.7</v>
      </c>
      <c r="R11" s="115">
        <f>172.1*'Proto Costing'!R8</f>
        <v>32526.899999999998</v>
      </c>
      <c r="S11" s="123" t="s">
        <v>89</v>
      </c>
    </row>
    <row r="12" spans="1:19" x14ac:dyDescent="0.3">
      <c r="A12" s="26"/>
      <c r="B12" s="25" t="s">
        <v>90</v>
      </c>
      <c r="C12" s="29">
        <v>0.15</v>
      </c>
      <c r="D12" s="29">
        <v>0.15</v>
      </c>
      <c r="E12" s="29">
        <v>0.15</v>
      </c>
      <c r="F12" s="29">
        <v>0.15</v>
      </c>
      <c r="G12" s="29">
        <v>0.15</v>
      </c>
      <c r="H12" s="29">
        <v>0.15</v>
      </c>
      <c r="I12" s="29">
        <v>0.15</v>
      </c>
      <c r="J12" s="29">
        <v>0.15</v>
      </c>
      <c r="K12" s="29">
        <v>0.15</v>
      </c>
      <c r="L12" s="29">
        <v>0.15</v>
      </c>
      <c r="M12" s="29">
        <v>0.15</v>
      </c>
      <c r="N12" s="29">
        <v>0.15</v>
      </c>
      <c r="O12" s="29">
        <v>0.15</v>
      </c>
      <c r="P12" s="29">
        <v>0.15</v>
      </c>
      <c r="Q12" s="29">
        <v>0.15</v>
      </c>
      <c r="R12" s="114">
        <v>0.15</v>
      </c>
      <c r="S12" s="124"/>
    </row>
    <row r="13" spans="1:19" x14ac:dyDescent="0.3">
      <c r="A13" s="26"/>
      <c r="B13" s="25" t="s">
        <v>91</v>
      </c>
      <c r="C13" s="30">
        <f>(C10+C11)*(1+C12)</f>
        <v>247173.52499999999</v>
      </c>
      <c r="D13" s="30">
        <f t="shared" ref="D13:R13" si="1">(D10+D11)*(1+D12)</f>
        <v>287453.65499999997</v>
      </c>
      <c r="E13" s="30">
        <f t="shared" si="1"/>
        <v>285622.74</v>
      </c>
      <c r="F13" s="30">
        <f t="shared" si="1"/>
        <v>294777.315</v>
      </c>
      <c r="G13" s="30">
        <f t="shared" si="1"/>
        <v>274637.25</v>
      </c>
      <c r="H13" s="30">
        <f t="shared" si="1"/>
        <v>291115.48499999999</v>
      </c>
      <c r="I13" s="30">
        <f t="shared" si="1"/>
        <v>294777.315</v>
      </c>
      <c r="J13" s="30">
        <f t="shared" si="1"/>
        <v>302100.97499999998</v>
      </c>
      <c r="K13" s="30">
        <f t="shared" si="1"/>
        <v>300270.06</v>
      </c>
      <c r="L13" s="30">
        <f t="shared" si="1"/>
        <v>309424.63500000001</v>
      </c>
      <c r="M13" s="30">
        <f t="shared" si="1"/>
        <v>307593.71999999997</v>
      </c>
      <c r="N13" s="30">
        <f t="shared" si="1"/>
        <v>287453.65499999997</v>
      </c>
      <c r="O13" s="30">
        <f t="shared" si="1"/>
        <v>298439.14499999996</v>
      </c>
      <c r="P13" s="30">
        <f t="shared" si="1"/>
        <v>320410.125</v>
      </c>
      <c r="Q13" s="30">
        <f t="shared" si="1"/>
        <v>324071.95500000002</v>
      </c>
      <c r="R13" s="115">
        <f t="shared" si="1"/>
        <v>346042.935</v>
      </c>
      <c r="S13" s="125"/>
    </row>
    <row r="14" spans="1:19" x14ac:dyDescent="0.3">
      <c r="A14" s="26"/>
      <c r="B14" s="25"/>
      <c r="C14" s="25"/>
      <c r="D14" s="25"/>
      <c r="E14" s="25"/>
      <c r="F14" s="25"/>
      <c r="G14" s="25"/>
      <c r="H14" s="25"/>
      <c r="I14" s="25"/>
      <c r="J14" s="25"/>
      <c r="K14" s="25"/>
      <c r="L14" s="25"/>
      <c r="M14" s="25"/>
      <c r="N14" s="25"/>
      <c r="O14" s="25"/>
      <c r="P14" s="25"/>
      <c r="Q14" s="25"/>
      <c r="R14" s="112"/>
      <c r="S14" s="123"/>
    </row>
    <row r="15" spans="1:19" x14ac:dyDescent="0.3">
      <c r="A15" s="120" t="s">
        <v>92</v>
      </c>
      <c r="B15" s="25" t="s">
        <v>85</v>
      </c>
      <c r="C15" s="25">
        <f>C8</f>
        <v>135</v>
      </c>
      <c r="D15" s="25">
        <f t="shared" ref="D15:R15" si="2">D8</f>
        <v>157</v>
      </c>
      <c r="E15" s="25">
        <f t="shared" si="2"/>
        <v>156</v>
      </c>
      <c r="F15" s="25">
        <f t="shared" si="2"/>
        <v>161</v>
      </c>
      <c r="G15" s="25">
        <f t="shared" si="2"/>
        <v>150</v>
      </c>
      <c r="H15" s="25">
        <f t="shared" si="2"/>
        <v>159</v>
      </c>
      <c r="I15" s="25">
        <f t="shared" si="2"/>
        <v>161</v>
      </c>
      <c r="J15" s="25">
        <f t="shared" si="2"/>
        <v>165</v>
      </c>
      <c r="K15" s="25">
        <f t="shared" si="2"/>
        <v>164</v>
      </c>
      <c r="L15" s="25">
        <f t="shared" si="2"/>
        <v>169</v>
      </c>
      <c r="M15" s="25">
        <f t="shared" si="2"/>
        <v>168</v>
      </c>
      <c r="N15" s="25">
        <f t="shared" si="2"/>
        <v>157</v>
      </c>
      <c r="O15" s="25">
        <f t="shared" si="2"/>
        <v>163</v>
      </c>
      <c r="P15" s="25">
        <f t="shared" si="2"/>
        <v>175</v>
      </c>
      <c r="Q15" s="25">
        <f t="shared" si="2"/>
        <v>177</v>
      </c>
      <c r="R15" s="112">
        <f t="shared" si="2"/>
        <v>189</v>
      </c>
      <c r="S15" s="123"/>
    </row>
    <row r="16" spans="1:19" x14ac:dyDescent="0.3">
      <c r="A16" s="26"/>
      <c r="B16" s="25" t="s">
        <v>91</v>
      </c>
      <c r="C16" s="30">
        <f>C15*59.8</f>
        <v>8073</v>
      </c>
      <c r="D16" s="30">
        <f t="shared" ref="D16:R16" si="3">D15*59.8</f>
        <v>9388.6</v>
      </c>
      <c r="E16" s="30">
        <f t="shared" si="3"/>
        <v>9328.7999999999993</v>
      </c>
      <c r="F16" s="30">
        <f t="shared" si="3"/>
        <v>9627.7999999999993</v>
      </c>
      <c r="G16" s="30">
        <f t="shared" si="3"/>
        <v>8970</v>
      </c>
      <c r="H16" s="30">
        <f t="shared" si="3"/>
        <v>9508.1999999999989</v>
      </c>
      <c r="I16" s="30">
        <f t="shared" si="3"/>
        <v>9627.7999999999993</v>
      </c>
      <c r="J16" s="30">
        <f t="shared" si="3"/>
        <v>9867</v>
      </c>
      <c r="K16" s="30">
        <f t="shared" si="3"/>
        <v>9807.1999999999989</v>
      </c>
      <c r="L16" s="30">
        <f t="shared" si="3"/>
        <v>10106.199999999999</v>
      </c>
      <c r="M16" s="30">
        <f t="shared" si="3"/>
        <v>10046.4</v>
      </c>
      <c r="N16" s="30">
        <f t="shared" si="3"/>
        <v>9388.6</v>
      </c>
      <c r="O16" s="30">
        <f t="shared" si="3"/>
        <v>9747.4</v>
      </c>
      <c r="P16" s="30">
        <f t="shared" si="3"/>
        <v>10465</v>
      </c>
      <c r="Q16" s="30">
        <f t="shared" si="3"/>
        <v>10584.6</v>
      </c>
      <c r="R16" s="115">
        <f t="shared" si="3"/>
        <v>11302.199999999999</v>
      </c>
      <c r="S16" s="125" t="s">
        <v>93</v>
      </c>
    </row>
    <row r="17" spans="1:20" x14ac:dyDescent="0.3">
      <c r="A17" s="26"/>
      <c r="B17" s="25"/>
      <c r="C17" s="25"/>
      <c r="D17" s="25"/>
      <c r="E17" s="25"/>
      <c r="F17" s="25"/>
      <c r="G17" s="25"/>
      <c r="H17" s="25"/>
      <c r="I17" s="25"/>
      <c r="J17" s="25"/>
      <c r="K17" s="25"/>
      <c r="L17" s="25"/>
      <c r="M17" s="25"/>
      <c r="N17" s="25"/>
      <c r="O17" s="25"/>
      <c r="P17" s="25"/>
      <c r="Q17" s="25"/>
      <c r="R17" s="112"/>
      <c r="S17" s="123"/>
    </row>
    <row r="18" spans="1:20" x14ac:dyDescent="0.3">
      <c r="A18" s="120" t="s">
        <v>94</v>
      </c>
      <c r="B18" s="25" t="s">
        <v>83</v>
      </c>
      <c r="C18" s="25">
        <v>2100</v>
      </c>
      <c r="D18" s="25">
        <v>2100</v>
      </c>
      <c r="E18" s="25">
        <v>2100</v>
      </c>
      <c r="F18" s="25">
        <v>2100</v>
      </c>
      <c r="G18" s="25">
        <v>2100</v>
      </c>
      <c r="H18" s="25">
        <v>2100</v>
      </c>
      <c r="I18" s="25">
        <v>2100</v>
      </c>
      <c r="J18" s="25">
        <v>2100</v>
      </c>
      <c r="K18" s="25">
        <v>2100</v>
      </c>
      <c r="L18" s="25">
        <v>2100</v>
      </c>
      <c r="M18" s="25">
        <v>2100</v>
      </c>
      <c r="N18" s="25">
        <v>2100</v>
      </c>
      <c r="O18" s="25">
        <v>2100</v>
      </c>
      <c r="P18" s="25">
        <v>2100</v>
      </c>
      <c r="Q18" s="25">
        <v>2100</v>
      </c>
      <c r="R18" s="112">
        <v>2100</v>
      </c>
      <c r="S18" s="123" t="s">
        <v>95</v>
      </c>
    </row>
    <row r="19" spans="1:20" x14ac:dyDescent="0.3">
      <c r="A19" s="26"/>
      <c r="B19" s="25" t="s">
        <v>85</v>
      </c>
      <c r="C19" s="25"/>
      <c r="D19" s="25"/>
      <c r="E19" s="25"/>
      <c r="F19" s="25"/>
      <c r="G19" s="25"/>
      <c r="H19" s="25"/>
      <c r="I19" s="25"/>
      <c r="J19" s="25"/>
      <c r="K19" s="25"/>
      <c r="L19" s="25"/>
      <c r="M19" s="25"/>
      <c r="N19" s="25"/>
      <c r="O19" s="25"/>
      <c r="P19" s="25"/>
      <c r="Q19" s="25"/>
      <c r="R19" s="112"/>
      <c r="S19" s="123"/>
    </row>
    <row r="20" spans="1:20" x14ac:dyDescent="0.3">
      <c r="A20" s="26"/>
      <c r="B20" s="25" t="s">
        <v>96</v>
      </c>
      <c r="C20" s="30">
        <v>24.6</v>
      </c>
      <c r="D20" s="30">
        <v>24.6</v>
      </c>
      <c r="E20" s="30">
        <v>24.6</v>
      </c>
      <c r="F20" s="30">
        <v>24.6</v>
      </c>
      <c r="G20" s="30">
        <v>24.6</v>
      </c>
      <c r="H20" s="30">
        <v>24.6</v>
      </c>
      <c r="I20" s="30">
        <v>24.6</v>
      </c>
      <c r="J20" s="30">
        <v>24.6</v>
      </c>
      <c r="K20" s="30">
        <v>24.6</v>
      </c>
      <c r="L20" s="30">
        <v>24.6</v>
      </c>
      <c r="M20" s="30">
        <v>24.6</v>
      </c>
      <c r="N20" s="30">
        <v>24.6</v>
      </c>
      <c r="O20" s="30">
        <v>24.6</v>
      </c>
      <c r="P20" s="30">
        <v>24.6</v>
      </c>
      <c r="Q20" s="30">
        <v>24.6</v>
      </c>
      <c r="R20" s="115">
        <v>24.6</v>
      </c>
      <c r="S20" s="123" t="s">
        <v>97</v>
      </c>
    </row>
    <row r="21" spans="1:20" x14ac:dyDescent="0.3">
      <c r="A21" s="26"/>
      <c r="B21" s="25" t="s">
        <v>98</v>
      </c>
      <c r="C21" s="30">
        <v>246.33</v>
      </c>
      <c r="D21" s="30">
        <v>246.33</v>
      </c>
      <c r="E21" s="30">
        <v>246.33</v>
      </c>
      <c r="F21" s="30">
        <v>246.33</v>
      </c>
      <c r="G21" s="30">
        <v>246.33</v>
      </c>
      <c r="H21" s="30">
        <v>246.33</v>
      </c>
      <c r="I21" s="30">
        <v>246.33</v>
      </c>
      <c r="J21" s="30">
        <v>246.33</v>
      </c>
      <c r="K21" s="30">
        <v>246.33</v>
      </c>
      <c r="L21" s="30">
        <v>246.33</v>
      </c>
      <c r="M21" s="30">
        <v>246.33</v>
      </c>
      <c r="N21" s="30">
        <v>246.33</v>
      </c>
      <c r="O21" s="30">
        <v>246.33</v>
      </c>
      <c r="P21" s="30">
        <v>246.33</v>
      </c>
      <c r="Q21" s="30">
        <v>246.33</v>
      </c>
      <c r="R21" s="115">
        <v>246.33</v>
      </c>
      <c r="S21" s="123" t="s">
        <v>97</v>
      </c>
    </row>
    <row r="22" spans="1:20" x14ac:dyDescent="0.3">
      <c r="A22" s="26"/>
      <c r="B22" s="25" t="s">
        <v>90</v>
      </c>
      <c r="C22" s="29">
        <v>0.15</v>
      </c>
      <c r="D22" s="29">
        <v>0.15</v>
      </c>
      <c r="E22" s="29">
        <v>0.15</v>
      </c>
      <c r="F22" s="29">
        <v>0.15</v>
      </c>
      <c r="G22" s="29">
        <v>0.15</v>
      </c>
      <c r="H22" s="29">
        <v>0.15</v>
      </c>
      <c r="I22" s="29">
        <v>0.15</v>
      </c>
      <c r="J22" s="29">
        <v>0.15</v>
      </c>
      <c r="K22" s="29">
        <v>0.15</v>
      </c>
      <c r="L22" s="29">
        <v>0.15</v>
      </c>
      <c r="M22" s="29">
        <v>0.15</v>
      </c>
      <c r="N22" s="29">
        <v>0.15</v>
      </c>
      <c r="O22" s="29">
        <v>0.15</v>
      </c>
      <c r="P22" s="29">
        <v>0.15</v>
      </c>
      <c r="Q22" s="29">
        <v>0.15</v>
      </c>
      <c r="R22" s="114">
        <v>0.15</v>
      </c>
      <c r="S22" s="124"/>
    </row>
    <row r="23" spans="1:20" x14ac:dyDescent="0.3">
      <c r="A23" s="26"/>
      <c r="B23" s="25" t="s">
        <v>91</v>
      </c>
      <c r="C23" s="30">
        <f>(C20+C21)*C18*(1+C22)</f>
        <v>654295.94999999995</v>
      </c>
      <c r="D23" s="30">
        <f t="shared" ref="D23:R23" si="4">(D20+D21)*D18*(1+D22)</f>
        <v>654295.94999999995</v>
      </c>
      <c r="E23" s="30">
        <f t="shared" si="4"/>
        <v>654295.94999999995</v>
      </c>
      <c r="F23" s="30">
        <f t="shared" si="4"/>
        <v>654295.94999999995</v>
      </c>
      <c r="G23" s="30">
        <f t="shared" si="4"/>
        <v>654295.94999999995</v>
      </c>
      <c r="H23" s="30">
        <f t="shared" si="4"/>
        <v>654295.94999999995</v>
      </c>
      <c r="I23" s="30">
        <f t="shared" si="4"/>
        <v>654295.94999999995</v>
      </c>
      <c r="J23" s="30">
        <f t="shared" si="4"/>
        <v>654295.94999999995</v>
      </c>
      <c r="K23" s="30">
        <f t="shared" si="4"/>
        <v>654295.94999999995</v>
      </c>
      <c r="L23" s="30">
        <f t="shared" si="4"/>
        <v>654295.94999999995</v>
      </c>
      <c r="M23" s="30">
        <f t="shared" si="4"/>
        <v>654295.94999999995</v>
      </c>
      <c r="N23" s="30">
        <f t="shared" si="4"/>
        <v>654295.94999999995</v>
      </c>
      <c r="O23" s="30">
        <f t="shared" si="4"/>
        <v>654295.94999999995</v>
      </c>
      <c r="P23" s="30">
        <f t="shared" si="4"/>
        <v>654295.94999999995</v>
      </c>
      <c r="Q23" s="30">
        <f t="shared" si="4"/>
        <v>654295.94999999995</v>
      </c>
      <c r="R23" s="115">
        <f t="shared" si="4"/>
        <v>654295.94999999995</v>
      </c>
      <c r="S23" s="125"/>
      <c r="T23" s="56"/>
    </row>
    <row r="24" spans="1:20" x14ac:dyDescent="0.3">
      <c r="A24" s="26"/>
      <c r="B24" s="25"/>
      <c r="C24" s="25"/>
      <c r="D24" s="25"/>
      <c r="E24" s="25"/>
      <c r="F24" s="25"/>
      <c r="G24" s="25"/>
      <c r="H24" s="25"/>
      <c r="I24" s="25"/>
      <c r="J24" s="25"/>
      <c r="K24" s="25"/>
      <c r="L24" s="25"/>
      <c r="M24" s="25"/>
      <c r="N24" s="25"/>
      <c r="O24" s="25"/>
      <c r="P24" s="25"/>
      <c r="Q24" s="25"/>
      <c r="R24" s="112"/>
      <c r="S24" s="123"/>
    </row>
    <row r="25" spans="1:20" x14ac:dyDescent="0.3">
      <c r="A25" s="120" t="s">
        <v>99</v>
      </c>
      <c r="B25" s="25" t="s">
        <v>83</v>
      </c>
      <c r="C25" s="44"/>
      <c r="D25" s="44"/>
      <c r="E25" s="44"/>
      <c r="F25" s="44"/>
      <c r="G25" s="44"/>
      <c r="H25" s="44"/>
      <c r="I25" s="44"/>
      <c r="J25" s="44"/>
      <c r="K25" s="44"/>
      <c r="L25" s="44"/>
      <c r="M25" s="44"/>
      <c r="N25" s="44"/>
      <c r="O25" s="44"/>
      <c r="P25" s="44"/>
      <c r="Q25" s="44"/>
      <c r="R25" s="113"/>
      <c r="S25" s="123"/>
    </row>
    <row r="26" spans="1:20" x14ac:dyDescent="0.3">
      <c r="A26" s="26"/>
      <c r="B26" s="25" t="s">
        <v>100</v>
      </c>
      <c r="C26" s="25">
        <f>'Final Results'!$E$7</f>
        <v>60</v>
      </c>
      <c r="D26" s="25">
        <f>'Final Results'!$E$7</f>
        <v>60</v>
      </c>
      <c r="E26" s="25">
        <f>'Final Results'!$E$7</f>
        <v>60</v>
      </c>
      <c r="F26" s="25">
        <f>'Final Results'!$E$7</f>
        <v>60</v>
      </c>
      <c r="G26" s="25">
        <f>'Final Results'!$E$7</f>
        <v>60</v>
      </c>
      <c r="H26" s="25">
        <f>'Final Results'!$E$7</f>
        <v>60</v>
      </c>
      <c r="I26" s="25">
        <f>'Final Results'!$E$7</f>
        <v>60</v>
      </c>
      <c r="J26" s="25">
        <f>'Final Results'!$E$7</f>
        <v>60</v>
      </c>
      <c r="K26" s="25">
        <f>'Final Results'!$E$7</f>
        <v>60</v>
      </c>
      <c r="L26" s="25">
        <f>'Final Results'!$E$7</f>
        <v>60</v>
      </c>
      <c r="M26" s="25">
        <f>'Final Results'!$E$7</f>
        <v>60</v>
      </c>
      <c r="N26" s="25">
        <f>'Final Results'!$E$7</f>
        <v>60</v>
      </c>
      <c r="O26" s="25">
        <f>'Final Results'!$E$7</f>
        <v>60</v>
      </c>
      <c r="P26" s="25">
        <f>'Final Results'!$E$7</f>
        <v>60</v>
      </c>
      <c r="Q26" s="25">
        <f>'Final Results'!$E$7</f>
        <v>60</v>
      </c>
      <c r="R26" s="25">
        <f>'Final Results'!$E$7</f>
        <v>60</v>
      </c>
      <c r="S26" s="123" t="s">
        <v>101</v>
      </c>
    </row>
    <row r="27" spans="1:20" x14ac:dyDescent="0.3">
      <c r="A27" s="26"/>
      <c r="B27" s="25" t="s">
        <v>86</v>
      </c>
      <c r="C27" s="30" t="s">
        <v>102</v>
      </c>
      <c r="D27" s="30" t="s">
        <v>102</v>
      </c>
      <c r="E27" s="30" t="s">
        <v>102</v>
      </c>
      <c r="F27" s="30" t="s">
        <v>102</v>
      </c>
      <c r="G27" s="30" t="s">
        <v>102</v>
      </c>
      <c r="H27" s="30" t="s">
        <v>102</v>
      </c>
      <c r="I27" s="30" t="s">
        <v>102</v>
      </c>
      <c r="J27" s="30" t="s">
        <v>102</v>
      </c>
      <c r="K27" s="30" t="s">
        <v>102</v>
      </c>
      <c r="L27" s="30" t="s">
        <v>102</v>
      </c>
      <c r="M27" s="30" t="s">
        <v>102</v>
      </c>
      <c r="N27" s="30" t="s">
        <v>102</v>
      </c>
      <c r="O27" s="30" t="s">
        <v>102</v>
      </c>
      <c r="P27" s="30" t="s">
        <v>102</v>
      </c>
      <c r="Q27" s="30" t="s">
        <v>102</v>
      </c>
      <c r="R27" s="30" t="s">
        <v>102</v>
      </c>
      <c r="S27" s="123" t="s">
        <v>103</v>
      </c>
    </row>
    <row r="28" spans="1:20" x14ac:dyDescent="0.3">
      <c r="A28" s="26"/>
      <c r="B28" s="25" t="s">
        <v>88</v>
      </c>
      <c r="C28" s="30"/>
      <c r="D28" s="30"/>
      <c r="E28" s="30"/>
      <c r="F28" s="30"/>
      <c r="G28" s="30"/>
      <c r="H28" s="30"/>
      <c r="I28" s="30"/>
      <c r="J28" s="30"/>
      <c r="K28" s="30"/>
      <c r="L28" s="30"/>
      <c r="M28" s="30"/>
      <c r="N28" s="30"/>
      <c r="O28" s="30"/>
      <c r="P28" s="30"/>
      <c r="Q28" s="30"/>
      <c r="R28" s="115"/>
      <c r="S28" s="123"/>
    </row>
    <row r="29" spans="1:20" x14ac:dyDescent="0.3">
      <c r="A29" s="26"/>
      <c r="B29" s="25" t="s">
        <v>90</v>
      </c>
      <c r="C29" s="29"/>
      <c r="D29" s="29"/>
      <c r="E29" s="29"/>
      <c r="F29" s="29"/>
      <c r="G29" s="29"/>
      <c r="H29" s="29"/>
      <c r="I29" s="29"/>
      <c r="J29" s="29"/>
      <c r="K29" s="29"/>
      <c r="L29" s="29"/>
      <c r="M29" s="29"/>
      <c r="N29" s="29"/>
      <c r="O29" s="29"/>
      <c r="P29" s="29"/>
      <c r="Q29" s="29"/>
      <c r="R29" s="114"/>
      <c r="S29" s="124"/>
    </row>
    <row r="30" spans="1:20" x14ac:dyDescent="0.3">
      <c r="A30" s="26"/>
      <c r="B30" s="25" t="s">
        <v>91</v>
      </c>
      <c r="C30" s="30">
        <f>C26*'Airside Component Costs'!$C$84</f>
        <v>194717.99999999997</v>
      </c>
      <c r="D30" s="30">
        <f>D26*'Airside Component Costs'!$C$84</f>
        <v>194717.99999999997</v>
      </c>
      <c r="E30" s="30">
        <f>E26*'Airside Component Costs'!$C$84</f>
        <v>194717.99999999997</v>
      </c>
      <c r="F30" s="30">
        <f>F26*'Airside Component Costs'!$C$84</f>
        <v>194717.99999999997</v>
      </c>
      <c r="G30" s="30">
        <f>G26*'Airside Component Costs'!$C$84</f>
        <v>194717.99999999997</v>
      </c>
      <c r="H30" s="30">
        <f>H26*'Airside Component Costs'!$C$84</f>
        <v>194717.99999999997</v>
      </c>
      <c r="I30" s="30">
        <f>I26*'Airside Component Costs'!$C$84</f>
        <v>194717.99999999997</v>
      </c>
      <c r="J30" s="30">
        <f>J26*'Airside Component Costs'!$C$84</f>
        <v>194717.99999999997</v>
      </c>
      <c r="K30" s="30">
        <f>K26*'Airside Component Costs'!$C$84</f>
        <v>194717.99999999997</v>
      </c>
      <c r="L30" s="30">
        <f>L26*'Airside Component Costs'!$C$84</f>
        <v>194717.99999999997</v>
      </c>
      <c r="M30" s="30">
        <f>M26*'Airside Component Costs'!$C$84</f>
        <v>194717.99999999997</v>
      </c>
      <c r="N30" s="30">
        <f>N26*'Airside Component Costs'!$C$84</f>
        <v>194717.99999999997</v>
      </c>
      <c r="O30" s="30">
        <f>O26*'Airside Component Costs'!$C$84</f>
        <v>194717.99999999997</v>
      </c>
      <c r="P30" s="30">
        <f>P26*'Airside Component Costs'!$C$84</f>
        <v>194717.99999999997</v>
      </c>
      <c r="Q30" s="30">
        <f>Q26*'Airside Component Costs'!$C$84</f>
        <v>194717.99999999997</v>
      </c>
      <c r="R30" s="115">
        <f>R26*'Airside Component Costs'!$C$84</f>
        <v>194717.99999999997</v>
      </c>
      <c r="S30" s="125"/>
    </row>
    <row r="31" spans="1:20" x14ac:dyDescent="0.3">
      <c r="A31" s="26"/>
      <c r="B31" s="25"/>
      <c r="C31" s="25"/>
      <c r="D31" s="25"/>
      <c r="E31" s="25"/>
      <c r="F31" s="25"/>
      <c r="G31" s="25"/>
      <c r="H31" s="25"/>
      <c r="I31" s="25"/>
      <c r="J31" s="25"/>
      <c r="K31" s="25"/>
      <c r="L31" s="25"/>
      <c r="M31" s="25"/>
      <c r="N31" s="25"/>
      <c r="O31" s="25"/>
      <c r="P31" s="25"/>
      <c r="Q31" s="25"/>
      <c r="R31" s="112"/>
      <c r="S31" s="123"/>
    </row>
    <row r="32" spans="1:20" x14ac:dyDescent="0.3">
      <c r="A32" s="120" t="s">
        <v>104</v>
      </c>
      <c r="B32" s="25" t="s">
        <v>83</v>
      </c>
      <c r="C32" s="25">
        <f>C8*12000/1000</f>
        <v>1620</v>
      </c>
      <c r="D32" s="25">
        <f t="shared" ref="D32:R32" si="5">D8*12000/1000</f>
        <v>1884</v>
      </c>
      <c r="E32" s="25">
        <f t="shared" si="5"/>
        <v>1872</v>
      </c>
      <c r="F32" s="25">
        <f t="shared" si="5"/>
        <v>1932</v>
      </c>
      <c r="G32" s="25">
        <f t="shared" si="5"/>
        <v>1800</v>
      </c>
      <c r="H32" s="25">
        <f t="shared" si="5"/>
        <v>1908</v>
      </c>
      <c r="I32" s="25">
        <f t="shared" si="5"/>
        <v>1932</v>
      </c>
      <c r="J32" s="25">
        <f t="shared" si="5"/>
        <v>1980</v>
      </c>
      <c r="K32" s="25">
        <f t="shared" si="5"/>
        <v>1968</v>
      </c>
      <c r="L32" s="25">
        <f t="shared" si="5"/>
        <v>2028</v>
      </c>
      <c r="M32" s="25">
        <f t="shared" si="5"/>
        <v>2016</v>
      </c>
      <c r="N32" s="25">
        <f t="shared" si="5"/>
        <v>1884</v>
      </c>
      <c r="O32" s="25">
        <f t="shared" si="5"/>
        <v>1956</v>
      </c>
      <c r="P32" s="25">
        <f t="shared" si="5"/>
        <v>2100</v>
      </c>
      <c r="Q32" s="25">
        <f t="shared" si="5"/>
        <v>2124</v>
      </c>
      <c r="R32" s="112">
        <f t="shared" si="5"/>
        <v>2268</v>
      </c>
      <c r="S32" s="123" t="s">
        <v>105</v>
      </c>
    </row>
    <row r="33" spans="1:19" x14ac:dyDescent="0.3">
      <c r="A33" s="26"/>
      <c r="B33" s="25" t="s">
        <v>85</v>
      </c>
      <c r="C33" s="25">
        <v>1</v>
      </c>
      <c r="D33" s="25">
        <v>1</v>
      </c>
      <c r="E33" s="25">
        <v>1</v>
      </c>
      <c r="F33" s="25">
        <v>1</v>
      </c>
      <c r="G33" s="25">
        <v>1</v>
      </c>
      <c r="H33" s="25">
        <v>1</v>
      </c>
      <c r="I33" s="25">
        <v>1</v>
      </c>
      <c r="J33" s="25">
        <v>1</v>
      </c>
      <c r="K33" s="25">
        <v>1</v>
      </c>
      <c r="L33" s="25">
        <v>1</v>
      </c>
      <c r="M33" s="25">
        <v>1</v>
      </c>
      <c r="N33" s="25">
        <v>1</v>
      </c>
      <c r="O33" s="25">
        <v>1</v>
      </c>
      <c r="P33" s="25">
        <v>1</v>
      </c>
      <c r="Q33" s="25">
        <v>1</v>
      </c>
      <c r="R33" s="112">
        <v>1</v>
      </c>
      <c r="S33" s="123"/>
    </row>
    <row r="34" spans="1:19" x14ac:dyDescent="0.3">
      <c r="A34" s="26"/>
      <c r="B34" s="25" t="s">
        <v>106</v>
      </c>
      <c r="C34" s="27">
        <f>1657+12.769*C32</f>
        <v>22342.78</v>
      </c>
      <c r="D34" s="27">
        <f t="shared" ref="D34:R34" si="6">1657+12.769*D32</f>
        <v>25713.795999999998</v>
      </c>
      <c r="E34" s="27">
        <f t="shared" si="6"/>
        <v>25560.567999999999</v>
      </c>
      <c r="F34" s="27">
        <f t="shared" si="6"/>
        <v>26326.707999999999</v>
      </c>
      <c r="G34" s="27">
        <f t="shared" si="6"/>
        <v>24641.200000000001</v>
      </c>
      <c r="H34" s="27">
        <f t="shared" si="6"/>
        <v>26020.252</v>
      </c>
      <c r="I34" s="27">
        <f t="shared" si="6"/>
        <v>26326.707999999999</v>
      </c>
      <c r="J34" s="27">
        <f t="shared" si="6"/>
        <v>26939.62</v>
      </c>
      <c r="K34" s="27">
        <f t="shared" si="6"/>
        <v>26786.392</v>
      </c>
      <c r="L34" s="27">
        <f t="shared" si="6"/>
        <v>27552.531999999999</v>
      </c>
      <c r="M34" s="27">
        <f t="shared" si="6"/>
        <v>27399.304</v>
      </c>
      <c r="N34" s="27">
        <f t="shared" si="6"/>
        <v>25713.795999999998</v>
      </c>
      <c r="O34" s="27">
        <f t="shared" si="6"/>
        <v>26633.164000000001</v>
      </c>
      <c r="P34" s="27">
        <f t="shared" si="6"/>
        <v>28471.9</v>
      </c>
      <c r="Q34" s="27">
        <f t="shared" si="6"/>
        <v>28778.356</v>
      </c>
      <c r="R34" s="116">
        <f t="shared" si="6"/>
        <v>30617.092000000001</v>
      </c>
      <c r="S34" s="126" t="s">
        <v>107</v>
      </c>
    </row>
    <row r="35" spans="1:19" x14ac:dyDescent="0.3">
      <c r="A35" s="26"/>
      <c r="B35" s="25" t="s">
        <v>108</v>
      </c>
      <c r="C35" s="28">
        <f>1505.7+4.9783*C32</f>
        <v>9570.5460000000003</v>
      </c>
      <c r="D35" s="28">
        <f t="shared" ref="D35:R35" si="7">1505.7+4.9783*D32</f>
        <v>10884.817200000001</v>
      </c>
      <c r="E35" s="28">
        <f t="shared" si="7"/>
        <v>10825.077600000001</v>
      </c>
      <c r="F35" s="28">
        <f t="shared" si="7"/>
        <v>11123.775600000001</v>
      </c>
      <c r="G35" s="28">
        <f t="shared" si="7"/>
        <v>10466.640000000001</v>
      </c>
      <c r="H35" s="28">
        <f t="shared" si="7"/>
        <v>11004.296400000001</v>
      </c>
      <c r="I35" s="28">
        <f t="shared" si="7"/>
        <v>11123.775600000001</v>
      </c>
      <c r="J35" s="28">
        <f t="shared" si="7"/>
        <v>11362.734</v>
      </c>
      <c r="K35" s="28">
        <f t="shared" si="7"/>
        <v>11302.994400000001</v>
      </c>
      <c r="L35" s="28">
        <f t="shared" si="7"/>
        <v>11601.6924</v>
      </c>
      <c r="M35" s="28">
        <f t="shared" si="7"/>
        <v>11541.952800000001</v>
      </c>
      <c r="N35" s="28">
        <f t="shared" si="7"/>
        <v>10884.817200000001</v>
      </c>
      <c r="O35" s="28">
        <f t="shared" si="7"/>
        <v>11243.254800000001</v>
      </c>
      <c r="P35" s="28">
        <f t="shared" si="7"/>
        <v>11960.130000000001</v>
      </c>
      <c r="Q35" s="28">
        <f t="shared" si="7"/>
        <v>12079.609200000001</v>
      </c>
      <c r="R35" s="117">
        <f t="shared" si="7"/>
        <v>12796.484400000001</v>
      </c>
      <c r="S35" s="126" t="s">
        <v>107</v>
      </c>
    </row>
    <row r="36" spans="1:19" x14ac:dyDescent="0.3">
      <c r="A36" s="26"/>
      <c r="B36" s="25" t="s">
        <v>90</v>
      </c>
      <c r="C36" s="29">
        <v>0.15</v>
      </c>
      <c r="D36" s="29">
        <v>0.15</v>
      </c>
      <c r="E36" s="29">
        <v>0.15</v>
      </c>
      <c r="F36" s="29">
        <v>0.15</v>
      </c>
      <c r="G36" s="29">
        <v>0.15</v>
      </c>
      <c r="H36" s="29">
        <v>0.15</v>
      </c>
      <c r="I36" s="29">
        <v>0.15</v>
      </c>
      <c r="J36" s="29">
        <v>0.15</v>
      </c>
      <c r="K36" s="29">
        <v>0.15</v>
      </c>
      <c r="L36" s="29">
        <v>0.15</v>
      </c>
      <c r="M36" s="29">
        <v>0.15</v>
      </c>
      <c r="N36" s="29">
        <v>0.15</v>
      </c>
      <c r="O36" s="29">
        <v>0.15</v>
      </c>
      <c r="P36" s="29">
        <v>0.15</v>
      </c>
      <c r="Q36" s="29">
        <v>0.15</v>
      </c>
      <c r="R36" s="114">
        <v>0.15</v>
      </c>
      <c r="S36" s="124"/>
    </row>
    <row r="37" spans="1:19" x14ac:dyDescent="0.3">
      <c r="A37" s="26"/>
      <c r="B37" s="25" t="s">
        <v>91</v>
      </c>
      <c r="C37" s="28">
        <f>(C34+C35)*(1+C36)</f>
        <v>36700.3249</v>
      </c>
      <c r="D37" s="28">
        <f t="shared" ref="D37" si="8">(D34+D35)*(1+D36)</f>
        <v>42088.405179999994</v>
      </c>
      <c r="E37" s="28">
        <f t="shared" ref="E37" si="9">(E34+E35)*(1+E36)</f>
        <v>41843.492440000002</v>
      </c>
      <c r="F37" s="28">
        <f t="shared" ref="F37" si="10">(F34+F35)*(1+F36)</f>
        <v>43068.056139999993</v>
      </c>
      <c r="G37" s="28">
        <f t="shared" ref="G37" si="11">(G34+G35)*(1+G36)</f>
        <v>40374.016000000003</v>
      </c>
      <c r="H37" s="28">
        <f t="shared" ref="H37" si="12">(H34+H35)*(1+H36)</f>
        <v>42578.230659999994</v>
      </c>
      <c r="I37" s="28">
        <f t="shared" ref="I37" si="13">(I34+I35)*(1+I36)</f>
        <v>43068.056139999993</v>
      </c>
      <c r="J37" s="28">
        <f t="shared" ref="J37" si="14">(J34+J35)*(1+J36)</f>
        <v>44047.707099999992</v>
      </c>
      <c r="K37" s="28">
        <f t="shared" ref="K37" si="15">(K34+K35)*(1+K36)</f>
        <v>43802.79436</v>
      </c>
      <c r="L37" s="28">
        <f t="shared" ref="L37" si="16">(L34+L35)*(1+L36)</f>
        <v>45027.358059999999</v>
      </c>
      <c r="M37" s="28">
        <f t="shared" ref="M37" si="17">(M34+M35)*(1+M36)</f>
        <v>44782.445319999999</v>
      </c>
      <c r="N37" s="28">
        <f t="shared" ref="N37" si="18">(N34+N35)*(1+N36)</f>
        <v>42088.405179999994</v>
      </c>
      <c r="O37" s="28">
        <f t="shared" ref="O37" si="19">(O34+O35)*(1+O36)</f>
        <v>43557.881619999993</v>
      </c>
      <c r="P37" s="28">
        <f t="shared" ref="P37" si="20">(P34+P35)*(1+P36)</f>
        <v>46496.834499999997</v>
      </c>
      <c r="Q37" s="28">
        <f t="shared" ref="Q37" si="21">(Q34+Q35)*(1+Q36)</f>
        <v>46986.659979999997</v>
      </c>
      <c r="R37" s="117">
        <f t="shared" ref="R37" si="22">(R34+R35)*(1+R36)</f>
        <v>49925.612860000001</v>
      </c>
      <c r="S37" s="127"/>
    </row>
    <row r="38" spans="1:19" x14ac:dyDescent="0.3">
      <c r="A38" s="26"/>
      <c r="B38" s="25"/>
      <c r="C38" s="25"/>
      <c r="D38" s="25"/>
      <c r="E38" s="25"/>
      <c r="F38" s="25"/>
      <c r="G38" s="25"/>
      <c r="H38" s="25"/>
      <c r="I38" s="25"/>
      <c r="J38" s="25"/>
      <c r="K38" s="25"/>
      <c r="L38" s="25"/>
      <c r="M38" s="25"/>
      <c r="N38" s="25"/>
      <c r="O38" s="25"/>
      <c r="P38" s="25"/>
      <c r="Q38" s="25"/>
      <c r="R38" s="112"/>
      <c r="S38" s="123"/>
    </row>
    <row r="39" spans="1:19" x14ac:dyDescent="0.3">
      <c r="A39" s="120" t="s">
        <v>109</v>
      </c>
      <c r="B39" s="25" t="s">
        <v>83</v>
      </c>
      <c r="C39" s="25"/>
      <c r="D39" s="25"/>
      <c r="E39" s="25"/>
      <c r="F39" s="25"/>
      <c r="G39" s="25"/>
      <c r="H39" s="25"/>
      <c r="I39" s="25"/>
      <c r="J39" s="25"/>
      <c r="K39" s="25"/>
      <c r="L39" s="25"/>
      <c r="M39" s="25"/>
      <c r="N39" s="25"/>
      <c r="O39" s="25"/>
      <c r="P39" s="25"/>
      <c r="Q39" s="25"/>
      <c r="R39" s="112"/>
      <c r="S39" s="123"/>
    </row>
    <row r="40" spans="1:19" x14ac:dyDescent="0.3">
      <c r="A40" s="26"/>
      <c r="B40" s="25" t="s">
        <v>85</v>
      </c>
      <c r="C40" s="25">
        <f t="shared" ref="C40:R40" si="23">C18*2-100</f>
        <v>4100</v>
      </c>
      <c r="D40" s="25">
        <f t="shared" si="23"/>
        <v>4100</v>
      </c>
      <c r="E40" s="25">
        <f t="shared" si="23"/>
        <v>4100</v>
      </c>
      <c r="F40" s="25">
        <f t="shared" si="23"/>
        <v>4100</v>
      </c>
      <c r="G40" s="25">
        <f t="shared" si="23"/>
        <v>4100</v>
      </c>
      <c r="H40" s="25">
        <f t="shared" si="23"/>
        <v>4100</v>
      </c>
      <c r="I40" s="25">
        <f t="shared" si="23"/>
        <v>4100</v>
      </c>
      <c r="J40" s="25">
        <f t="shared" si="23"/>
        <v>4100</v>
      </c>
      <c r="K40" s="25">
        <f t="shared" si="23"/>
        <v>4100</v>
      </c>
      <c r="L40" s="25">
        <f t="shared" si="23"/>
        <v>4100</v>
      </c>
      <c r="M40" s="25">
        <f t="shared" si="23"/>
        <v>4100</v>
      </c>
      <c r="N40" s="25">
        <f t="shared" si="23"/>
        <v>4100</v>
      </c>
      <c r="O40" s="25">
        <f t="shared" si="23"/>
        <v>4100</v>
      </c>
      <c r="P40" s="25">
        <f t="shared" si="23"/>
        <v>4100</v>
      </c>
      <c r="Q40" s="25">
        <f t="shared" si="23"/>
        <v>4100</v>
      </c>
      <c r="R40" s="112">
        <f t="shared" si="23"/>
        <v>4100</v>
      </c>
      <c r="S40" s="123" t="s">
        <v>110</v>
      </c>
    </row>
    <row r="41" spans="1:19" x14ac:dyDescent="0.3">
      <c r="A41" s="26"/>
      <c r="B41" s="25" t="s">
        <v>111</v>
      </c>
      <c r="C41" s="55"/>
      <c r="D41" s="55"/>
      <c r="E41" s="55"/>
      <c r="F41" s="55"/>
      <c r="G41" s="55"/>
      <c r="H41" s="55"/>
      <c r="I41" s="55"/>
      <c r="J41" s="55"/>
      <c r="K41" s="55"/>
      <c r="L41" s="55"/>
      <c r="M41" s="55"/>
      <c r="N41" s="55"/>
      <c r="O41" s="55"/>
      <c r="P41" s="55"/>
      <c r="Q41" s="55"/>
      <c r="R41" s="118"/>
      <c r="S41" s="128"/>
    </row>
    <row r="42" spans="1:19" x14ac:dyDescent="0.3">
      <c r="A42" s="26"/>
      <c r="B42" s="25" t="s">
        <v>106</v>
      </c>
      <c r="C42" s="55">
        <v>16.32</v>
      </c>
      <c r="D42" s="55">
        <v>16.32</v>
      </c>
      <c r="E42" s="55">
        <v>16.32</v>
      </c>
      <c r="F42" s="55">
        <v>16.32</v>
      </c>
      <c r="G42" s="55">
        <v>16.32</v>
      </c>
      <c r="H42" s="55">
        <v>16.32</v>
      </c>
      <c r="I42" s="55">
        <v>16.32</v>
      </c>
      <c r="J42" s="55">
        <v>16.32</v>
      </c>
      <c r="K42" s="55">
        <v>16.32</v>
      </c>
      <c r="L42" s="55">
        <v>16.32</v>
      </c>
      <c r="M42" s="86">
        <v>16.32</v>
      </c>
      <c r="N42" s="55">
        <v>16.32</v>
      </c>
      <c r="O42" s="55">
        <v>16.32</v>
      </c>
      <c r="P42" s="55">
        <v>16.32</v>
      </c>
      <c r="Q42" s="55">
        <v>16.32</v>
      </c>
      <c r="R42" s="118">
        <v>16.32</v>
      </c>
      <c r="S42" s="123" t="s">
        <v>97</v>
      </c>
    </row>
    <row r="43" spans="1:19" x14ac:dyDescent="0.3">
      <c r="A43" s="26"/>
      <c r="B43" s="25" t="s">
        <v>108</v>
      </c>
      <c r="C43" s="55">
        <v>40.33</v>
      </c>
      <c r="D43" s="55">
        <v>40.33</v>
      </c>
      <c r="E43" s="55">
        <v>40.33</v>
      </c>
      <c r="F43" s="55">
        <v>40.33</v>
      </c>
      <c r="G43" s="55">
        <v>40.33</v>
      </c>
      <c r="H43" s="55">
        <v>40.33</v>
      </c>
      <c r="I43" s="55">
        <v>40.33</v>
      </c>
      <c r="J43" s="55">
        <v>40.33</v>
      </c>
      <c r="K43" s="55">
        <v>40.33</v>
      </c>
      <c r="L43" s="55">
        <v>40.33</v>
      </c>
      <c r="M43" s="55">
        <v>40.33</v>
      </c>
      <c r="N43" s="55">
        <v>40.33</v>
      </c>
      <c r="O43" s="55">
        <v>40.33</v>
      </c>
      <c r="P43" s="55">
        <v>40.33</v>
      </c>
      <c r="Q43" s="55">
        <v>40.33</v>
      </c>
      <c r="R43" s="118">
        <v>40.33</v>
      </c>
      <c r="S43" s="123" t="s">
        <v>97</v>
      </c>
    </row>
    <row r="44" spans="1:19" x14ac:dyDescent="0.3">
      <c r="A44" s="26"/>
      <c r="B44" s="25" t="s">
        <v>90</v>
      </c>
      <c r="C44" s="29">
        <v>0.15</v>
      </c>
      <c r="D44" s="29">
        <v>0.15</v>
      </c>
      <c r="E44" s="29">
        <v>0.15</v>
      </c>
      <c r="F44" s="29">
        <v>0.15</v>
      </c>
      <c r="G44" s="29">
        <v>0.15</v>
      </c>
      <c r="H44" s="29">
        <v>0.15</v>
      </c>
      <c r="I44" s="29">
        <v>0.15</v>
      </c>
      <c r="J44" s="29">
        <v>0.15</v>
      </c>
      <c r="K44" s="29">
        <v>0.15</v>
      </c>
      <c r="L44" s="29">
        <v>0.15</v>
      </c>
      <c r="M44" s="29">
        <v>0.15</v>
      </c>
      <c r="N44" s="29">
        <v>0.15</v>
      </c>
      <c r="O44" s="29">
        <v>0.15</v>
      </c>
      <c r="P44" s="29">
        <v>0.15</v>
      </c>
      <c r="Q44" s="29">
        <v>0.15</v>
      </c>
      <c r="R44" s="114">
        <v>0.15</v>
      </c>
      <c r="S44" s="124"/>
    </row>
    <row r="45" spans="1:19" x14ac:dyDescent="0.3">
      <c r="A45" s="26"/>
      <c r="B45" s="25" t="s">
        <v>91</v>
      </c>
      <c r="C45" s="28">
        <f>(C42+C43)*C40*(1+C44)</f>
        <v>267104.75</v>
      </c>
      <c r="D45" s="28">
        <f t="shared" ref="D45:R45" si="24">(D42+D43)*D40*(1+D44)</f>
        <v>267104.75</v>
      </c>
      <c r="E45" s="28">
        <f t="shared" si="24"/>
        <v>267104.75</v>
      </c>
      <c r="F45" s="28">
        <f t="shared" si="24"/>
        <v>267104.75</v>
      </c>
      <c r="G45" s="28">
        <f t="shared" si="24"/>
        <v>267104.75</v>
      </c>
      <c r="H45" s="28">
        <f t="shared" si="24"/>
        <v>267104.75</v>
      </c>
      <c r="I45" s="28">
        <f t="shared" si="24"/>
        <v>267104.75</v>
      </c>
      <c r="J45" s="28">
        <f t="shared" si="24"/>
        <v>267104.75</v>
      </c>
      <c r="K45" s="28">
        <f t="shared" si="24"/>
        <v>267104.75</v>
      </c>
      <c r="L45" s="28">
        <f t="shared" si="24"/>
        <v>267104.75</v>
      </c>
      <c r="M45" s="28">
        <f t="shared" si="24"/>
        <v>267104.75</v>
      </c>
      <c r="N45" s="28">
        <f t="shared" si="24"/>
        <v>267104.75</v>
      </c>
      <c r="O45" s="28">
        <f t="shared" si="24"/>
        <v>267104.75</v>
      </c>
      <c r="P45" s="28">
        <f t="shared" si="24"/>
        <v>267104.75</v>
      </c>
      <c r="Q45" s="28">
        <f t="shared" si="24"/>
        <v>267104.75</v>
      </c>
      <c r="R45" s="117">
        <f t="shared" si="24"/>
        <v>267104.75</v>
      </c>
      <c r="S45" s="127"/>
    </row>
    <row r="46" spans="1:19" x14ac:dyDescent="0.3">
      <c r="A46" s="26"/>
      <c r="B46" s="25"/>
      <c r="C46" s="25"/>
      <c r="D46" s="25"/>
      <c r="E46" s="25"/>
      <c r="F46" s="25"/>
      <c r="G46" s="25"/>
      <c r="H46" s="25"/>
      <c r="I46" s="25"/>
      <c r="J46" s="25"/>
      <c r="K46" s="25"/>
      <c r="L46" s="25"/>
      <c r="M46" s="25"/>
      <c r="N46" s="25"/>
      <c r="O46" s="25"/>
      <c r="P46" s="25"/>
      <c r="Q46" s="25"/>
      <c r="R46" s="112"/>
      <c r="S46" s="123"/>
    </row>
    <row r="47" spans="1:19" ht="28.8" x14ac:dyDescent="0.3">
      <c r="A47" s="26"/>
      <c r="B47" s="25" t="s">
        <v>112</v>
      </c>
      <c r="C47" s="42">
        <f>ROUNDUP(C32*'Plant Equipment Costs'!$J$35,0)</f>
        <v>3</v>
      </c>
      <c r="D47" s="42">
        <f>ROUNDUP(D32*'Plant Equipment Costs'!$J$35,0)</f>
        <v>3</v>
      </c>
      <c r="E47" s="42">
        <f>ROUNDUP(E32*'Plant Equipment Costs'!$J$35,0)</f>
        <v>3</v>
      </c>
      <c r="F47" s="42">
        <f>ROUNDUP(F32*'Plant Equipment Costs'!$J$35,0)</f>
        <v>3</v>
      </c>
      <c r="G47" s="42">
        <f>ROUNDUP(G32*'Plant Equipment Costs'!$J$35,0)</f>
        <v>3</v>
      </c>
      <c r="H47" s="42">
        <f>ROUNDUP(H32*'Plant Equipment Costs'!$J$35,0)</f>
        <v>3</v>
      </c>
      <c r="I47" s="42">
        <f>ROUNDUP(I32*'Plant Equipment Costs'!$J$35,0)</f>
        <v>3</v>
      </c>
      <c r="J47" s="42">
        <f>ROUNDUP(J32*'Plant Equipment Costs'!$J$35,0)</f>
        <v>4</v>
      </c>
      <c r="K47" s="42">
        <f>ROUNDUP(K32*'Plant Equipment Costs'!$J$35,0)</f>
        <v>4</v>
      </c>
      <c r="L47" s="42">
        <f>ROUNDUP(L32*'Plant Equipment Costs'!$J$35,0)</f>
        <v>4</v>
      </c>
      <c r="M47" s="42">
        <f>ROUNDUP(M32*'Plant Equipment Costs'!$J$35,0)</f>
        <v>4</v>
      </c>
      <c r="N47" s="42">
        <f>ROUNDUP(N32*'Plant Equipment Costs'!$J$35,0)</f>
        <v>3</v>
      </c>
      <c r="O47" s="42">
        <f>ROUNDUP(O32*'Plant Equipment Costs'!$J$35,0)</f>
        <v>3</v>
      </c>
      <c r="P47" s="42">
        <f>ROUNDUP(P32*'Plant Equipment Costs'!$J$35,0)</f>
        <v>4</v>
      </c>
      <c r="Q47" s="42">
        <f>ROUNDUP(Q32*'Plant Equipment Costs'!$J$35,0)</f>
        <v>4</v>
      </c>
      <c r="R47" s="119">
        <f>ROUNDUP(R32*'Plant Equipment Costs'!$J$35,0)</f>
        <v>4</v>
      </c>
      <c r="S47" s="129" t="s">
        <v>113</v>
      </c>
    </row>
    <row r="48" spans="1:19" x14ac:dyDescent="0.3">
      <c r="A48" s="120" t="s">
        <v>114</v>
      </c>
      <c r="B48" s="25" t="s">
        <v>91</v>
      </c>
      <c r="C48" s="30">
        <f>9113.3+750.7*C47</f>
        <v>11365.4</v>
      </c>
      <c r="D48" s="30">
        <f t="shared" ref="D48:R48" si="25">9113.3+750.7*D47</f>
        <v>11365.4</v>
      </c>
      <c r="E48" s="30">
        <f t="shared" si="25"/>
        <v>11365.4</v>
      </c>
      <c r="F48" s="30">
        <f t="shared" si="25"/>
        <v>11365.4</v>
      </c>
      <c r="G48" s="30">
        <f t="shared" si="25"/>
        <v>11365.4</v>
      </c>
      <c r="H48" s="30">
        <f t="shared" si="25"/>
        <v>11365.4</v>
      </c>
      <c r="I48" s="30">
        <f t="shared" si="25"/>
        <v>11365.4</v>
      </c>
      <c r="J48" s="30">
        <f t="shared" si="25"/>
        <v>12116.099999999999</v>
      </c>
      <c r="K48" s="30">
        <f t="shared" si="25"/>
        <v>12116.099999999999</v>
      </c>
      <c r="L48" s="30">
        <f t="shared" si="25"/>
        <v>12116.099999999999</v>
      </c>
      <c r="M48" s="30">
        <f t="shared" si="25"/>
        <v>12116.099999999999</v>
      </c>
      <c r="N48" s="30">
        <f t="shared" si="25"/>
        <v>11365.4</v>
      </c>
      <c r="O48" s="30">
        <f t="shared" si="25"/>
        <v>11365.4</v>
      </c>
      <c r="P48" s="30">
        <f t="shared" si="25"/>
        <v>12116.099999999999</v>
      </c>
      <c r="Q48" s="30">
        <f t="shared" si="25"/>
        <v>12116.099999999999</v>
      </c>
      <c r="R48" s="115">
        <f t="shared" si="25"/>
        <v>12116.099999999999</v>
      </c>
      <c r="S48" s="125" t="s">
        <v>107</v>
      </c>
    </row>
    <row r="49" spans="1:19" x14ac:dyDescent="0.3">
      <c r="A49" s="26"/>
      <c r="B49" s="25"/>
      <c r="C49" s="25"/>
      <c r="D49" s="25"/>
      <c r="E49" s="25"/>
      <c r="F49" s="25"/>
      <c r="G49" s="25"/>
      <c r="H49" s="25"/>
      <c r="I49" s="25"/>
      <c r="J49" s="25"/>
      <c r="K49" s="25"/>
      <c r="L49" s="25"/>
      <c r="M49" s="25"/>
      <c r="N49" s="25"/>
      <c r="O49" s="25"/>
      <c r="P49" s="25"/>
      <c r="Q49" s="25"/>
      <c r="R49" s="112"/>
      <c r="S49" s="123"/>
    </row>
    <row r="50" spans="1:19" x14ac:dyDescent="0.3">
      <c r="A50" s="26"/>
      <c r="B50" s="25"/>
      <c r="C50" s="25"/>
      <c r="D50" s="25"/>
      <c r="E50" s="25"/>
      <c r="F50" s="25"/>
      <c r="G50" s="25"/>
      <c r="H50" s="25"/>
      <c r="I50" s="25"/>
      <c r="J50" s="25"/>
      <c r="K50" s="25"/>
      <c r="L50" s="25"/>
      <c r="M50" s="25"/>
      <c r="N50" s="25"/>
      <c r="O50" s="25"/>
      <c r="P50" s="25"/>
      <c r="Q50" s="25"/>
      <c r="R50" s="112"/>
      <c r="S50" s="123"/>
    </row>
    <row r="51" spans="1:19" x14ac:dyDescent="0.3">
      <c r="A51" s="120" t="s">
        <v>115</v>
      </c>
      <c r="B51" s="25" t="s">
        <v>116</v>
      </c>
      <c r="C51" s="154">
        <f>SUMIF($B8:$B50,$B$13,C8:C50)</f>
        <v>1419430.9498999997</v>
      </c>
      <c r="D51" s="154">
        <f t="shared" ref="D51:R51" si="26">SUMIF($B8:$B50,$B$13,D8:D50)</f>
        <v>1466414.7601799998</v>
      </c>
      <c r="E51" s="154">
        <f t="shared" si="26"/>
        <v>1464279.1324399998</v>
      </c>
      <c r="F51" s="154">
        <f t="shared" si="26"/>
        <v>1474957.2711399999</v>
      </c>
      <c r="G51" s="154">
        <f t="shared" si="26"/>
        <v>1451465.3659999999</v>
      </c>
      <c r="H51" s="154">
        <f t="shared" si="26"/>
        <v>1470686.0156599998</v>
      </c>
      <c r="I51" s="154">
        <f t="shared" si="26"/>
        <v>1474957.2711399999</v>
      </c>
      <c r="J51" s="154">
        <f t="shared" si="26"/>
        <v>1484250.4820999999</v>
      </c>
      <c r="K51" s="154">
        <f t="shared" si="26"/>
        <v>1482114.85436</v>
      </c>
      <c r="L51" s="154">
        <f t="shared" si="26"/>
        <v>1492792.99306</v>
      </c>
      <c r="M51" s="154">
        <f t="shared" si="26"/>
        <v>1490657.3653199999</v>
      </c>
      <c r="N51" s="154">
        <f t="shared" si="26"/>
        <v>1466414.7601799998</v>
      </c>
      <c r="O51" s="154">
        <f t="shared" si="26"/>
        <v>1479228.5266199997</v>
      </c>
      <c r="P51" s="154">
        <f t="shared" si="26"/>
        <v>1505606.7595000002</v>
      </c>
      <c r="Q51" s="154">
        <f t="shared" si="26"/>
        <v>1509878.01498</v>
      </c>
      <c r="R51" s="155">
        <f t="shared" si="26"/>
        <v>1535505.54786</v>
      </c>
      <c r="S51" s="125" t="s">
        <v>117</v>
      </c>
    </row>
    <row r="52" spans="1:19" x14ac:dyDescent="0.3">
      <c r="A52" s="26"/>
      <c r="B52" s="25"/>
      <c r="C52" s="25"/>
      <c r="D52" s="25"/>
      <c r="E52" s="25"/>
      <c r="F52" s="25"/>
      <c r="G52" s="25"/>
      <c r="H52" s="25"/>
      <c r="I52" s="25"/>
      <c r="J52" s="25"/>
      <c r="K52" s="25"/>
      <c r="L52" s="25"/>
      <c r="M52" s="25"/>
      <c r="N52" s="25"/>
      <c r="O52" s="25"/>
      <c r="P52" s="25"/>
      <c r="Q52" s="25"/>
      <c r="R52" s="112"/>
      <c r="S52" s="123"/>
    </row>
    <row r="53" spans="1:19" x14ac:dyDescent="0.3">
      <c r="A53" s="26"/>
      <c r="B53" s="25" t="s">
        <v>118</v>
      </c>
      <c r="C53" s="30">
        <f t="shared" ref="C53:R53" si="27">2.25*$C$4</f>
        <v>120663</v>
      </c>
      <c r="D53" s="30">
        <f t="shared" si="27"/>
        <v>120663</v>
      </c>
      <c r="E53" s="30">
        <f t="shared" si="27"/>
        <v>120663</v>
      </c>
      <c r="F53" s="30">
        <f t="shared" si="27"/>
        <v>120663</v>
      </c>
      <c r="G53" s="30">
        <f t="shared" si="27"/>
        <v>120663</v>
      </c>
      <c r="H53" s="30">
        <f t="shared" si="27"/>
        <v>120663</v>
      </c>
      <c r="I53" s="30">
        <f t="shared" si="27"/>
        <v>120663</v>
      </c>
      <c r="J53" s="30">
        <f t="shared" si="27"/>
        <v>120663</v>
      </c>
      <c r="K53" s="30">
        <f t="shared" si="27"/>
        <v>120663</v>
      </c>
      <c r="L53" s="30">
        <f t="shared" si="27"/>
        <v>120663</v>
      </c>
      <c r="M53" s="30">
        <f t="shared" si="27"/>
        <v>120663</v>
      </c>
      <c r="N53" s="30">
        <f t="shared" si="27"/>
        <v>120663</v>
      </c>
      <c r="O53" s="30">
        <f t="shared" si="27"/>
        <v>120663</v>
      </c>
      <c r="P53" s="30">
        <f t="shared" si="27"/>
        <v>120663</v>
      </c>
      <c r="Q53" s="30">
        <f t="shared" si="27"/>
        <v>120663</v>
      </c>
      <c r="R53" s="115">
        <f t="shared" si="27"/>
        <v>120663</v>
      </c>
      <c r="S53" s="125" t="s">
        <v>119</v>
      </c>
    </row>
    <row r="54" spans="1:19" x14ac:dyDescent="0.3">
      <c r="A54" s="26"/>
      <c r="B54" s="25" t="s">
        <v>120</v>
      </c>
      <c r="C54" s="30">
        <f>60*160</f>
        <v>9600</v>
      </c>
      <c r="D54" s="30">
        <f t="shared" ref="D54:R54" si="28">60*160</f>
        <v>9600</v>
      </c>
      <c r="E54" s="30">
        <f t="shared" si="28"/>
        <v>9600</v>
      </c>
      <c r="F54" s="30">
        <f t="shared" si="28"/>
        <v>9600</v>
      </c>
      <c r="G54" s="30">
        <f t="shared" si="28"/>
        <v>9600</v>
      </c>
      <c r="H54" s="30">
        <f t="shared" si="28"/>
        <v>9600</v>
      </c>
      <c r="I54" s="30">
        <f t="shared" si="28"/>
        <v>9600</v>
      </c>
      <c r="J54" s="30">
        <f t="shared" si="28"/>
        <v>9600</v>
      </c>
      <c r="K54" s="30">
        <f t="shared" si="28"/>
        <v>9600</v>
      </c>
      <c r="L54" s="30">
        <f t="shared" si="28"/>
        <v>9600</v>
      </c>
      <c r="M54" s="30">
        <f t="shared" si="28"/>
        <v>9600</v>
      </c>
      <c r="N54" s="30">
        <f t="shared" si="28"/>
        <v>9600</v>
      </c>
      <c r="O54" s="30">
        <f t="shared" si="28"/>
        <v>9600</v>
      </c>
      <c r="P54" s="30">
        <f t="shared" si="28"/>
        <v>9600</v>
      </c>
      <c r="Q54" s="30">
        <f t="shared" si="28"/>
        <v>9600</v>
      </c>
      <c r="R54" s="115">
        <f t="shared" si="28"/>
        <v>9600</v>
      </c>
      <c r="S54" s="125" t="s">
        <v>121</v>
      </c>
    </row>
    <row r="55" spans="1:19" x14ac:dyDescent="0.3">
      <c r="A55" s="26"/>
      <c r="B55" s="25"/>
      <c r="C55" s="25"/>
      <c r="D55" s="25"/>
      <c r="E55" s="25"/>
      <c r="F55" s="25"/>
      <c r="G55" s="25"/>
      <c r="H55" s="25"/>
      <c r="I55" s="25"/>
      <c r="J55" s="25"/>
      <c r="K55" s="25"/>
      <c r="L55" s="25"/>
      <c r="M55" s="25"/>
      <c r="N55" s="25"/>
      <c r="O55" s="25"/>
      <c r="P55" s="25"/>
      <c r="Q55" s="25"/>
      <c r="R55" s="112"/>
      <c r="S55" s="123"/>
    </row>
    <row r="56" spans="1:19" x14ac:dyDescent="0.3">
      <c r="A56" s="120" t="s">
        <v>122</v>
      </c>
      <c r="B56" s="121" t="s">
        <v>123</v>
      </c>
      <c r="C56" s="156">
        <f>SUM(C51,C53,C54)</f>
        <v>1549693.9498999997</v>
      </c>
      <c r="D56" s="156">
        <f t="shared" ref="D56:R56" si="29">SUM(D51,D53,D54)</f>
        <v>1596677.7601799998</v>
      </c>
      <c r="E56" s="156">
        <f t="shared" si="29"/>
        <v>1594542.1324399998</v>
      </c>
      <c r="F56" s="156">
        <f t="shared" si="29"/>
        <v>1605220.2711399999</v>
      </c>
      <c r="G56" s="156">
        <f t="shared" si="29"/>
        <v>1581728.3659999999</v>
      </c>
      <c r="H56" s="156">
        <f t="shared" si="29"/>
        <v>1600949.0156599998</v>
      </c>
      <c r="I56" s="156">
        <f t="shared" si="29"/>
        <v>1605220.2711399999</v>
      </c>
      <c r="J56" s="156">
        <f t="shared" si="29"/>
        <v>1614513.4820999999</v>
      </c>
      <c r="K56" s="156">
        <f t="shared" si="29"/>
        <v>1612377.85436</v>
      </c>
      <c r="L56" s="156">
        <f t="shared" si="29"/>
        <v>1623055.99306</v>
      </c>
      <c r="M56" s="156">
        <f t="shared" si="29"/>
        <v>1620920.3653199999</v>
      </c>
      <c r="N56" s="156">
        <f t="shared" si="29"/>
        <v>1596677.7601799998</v>
      </c>
      <c r="O56" s="156">
        <f t="shared" si="29"/>
        <v>1609491.5266199997</v>
      </c>
      <c r="P56" s="156">
        <f t="shared" si="29"/>
        <v>1635869.7595000002</v>
      </c>
      <c r="Q56" s="156">
        <f t="shared" si="29"/>
        <v>1640141.01498</v>
      </c>
      <c r="R56" s="157">
        <f t="shared" si="29"/>
        <v>1665768.54786</v>
      </c>
      <c r="S56" s="130" t="s">
        <v>124</v>
      </c>
    </row>
    <row r="59" spans="1:19" ht="21" x14ac:dyDescent="0.4">
      <c r="A59" s="13"/>
      <c r="B59" s="14" t="s">
        <v>125</v>
      </c>
      <c r="C59" s="15"/>
      <c r="D59" s="15"/>
      <c r="E59" s="15"/>
      <c r="F59" s="15"/>
      <c r="G59" s="15"/>
      <c r="H59" s="15"/>
      <c r="I59" s="15"/>
      <c r="J59" s="15"/>
      <c r="K59" s="15"/>
      <c r="L59" s="15"/>
      <c r="M59" s="15"/>
      <c r="N59" s="15"/>
      <c r="O59" s="15"/>
      <c r="P59" s="15"/>
      <c r="Q59" s="15"/>
      <c r="R59" s="97"/>
      <c r="S59" s="131"/>
    </row>
    <row r="60" spans="1:19" x14ac:dyDescent="0.3">
      <c r="A60" s="16"/>
      <c r="B60" s="17"/>
      <c r="C60" s="17" t="s">
        <v>67</v>
      </c>
      <c r="D60" s="17" t="s">
        <v>68</v>
      </c>
      <c r="E60" s="17" t="s">
        <v>69</v>
      </c>
      <c r="F60" s="17" t="s">
        <v>70</v>
      </c>
      <c r="G60" s="17" t="s">
        <v>71</v>
      </c>
      <c r="H60" s="17" t="s">
        <v>72</v>
      </c>
      <c r="I60" s="17" t="s">
        <v>73</v>
      </c>
      <c r="J60" s="17" t="s">
        <v>74</v>
      </c>
      <c r="K60" s="17" t="s">
        <v>75</v>
      </c>
      <c r="L60" s="17" t="s">
        <v>76</v>
      </c>
      <c r="M60" s="17" t="s">
        <v>77</v>
      </c>
      <c r="N60" s="17" t="s">
        <v>78</v>
      </c>
      <c r="O60" s="17" t="s">
        <v>79</v>
      </c>
      <c r="P60" s="17" t="s">
        <v>80</v>
      </c>
      <c r="Q60" s="17" t="s">
        <v>81</v>
      </c>
      <c r="R60" s="98" t="s">
        <v>82</v>
      </c>
      <c r="S60" s="132"/>
    </row>
    <row r="61" spans="1:19" x14ac:dyDescent="0.3">
      <c r="A61" s="120" t="s">
        <v>28</v>
      </c>
      <c r="B61" s="17" t="s">
        <v>83</v>
      </c>
      <c r="C61" s="17">
        <f>C8</f>
        <v>135</v>
      </c>
      <c r="D61" s="17">
        <f t="shared" ref="D61:R61" si="30">D8</f>
        <v>157</v>
      </c>
      <c r="E61" s="17">
        <f t="shared" si="30"/>
        <v>156</v>
      </c>
      <c r="F61" s="17">
        <f t="shared" si="30"/>
        <v>161</v>
      </c>
      <c r="G61" s="17">
        <f t="shared" si="30"/>
        <v>150</v>
      </c>
      <c r="H61" s="17">
        <f t="shared" si="30"/>
        <v>159</v>
      </c>
      <c r="I61" s="17">
        <f t="shared" si="30"/>
        <v>161</v>
      </c>
      <c r="J61" s="17">
        <f t="shared" si="30"/>
        <v>165</v>
      </c>
      <c r="K61" s="17">
        <f t="shared" si="30"/>
        <v>164</v>
      </c>
      <c r="L61" s="17">
        <f t="shared" si="30"/>
        <v>169</v>
      </c>
      <c r="M61" s="17">
        <f t="shared" si="30"/>
        <v>168</v>
      </c>
      <c r="N61" s="17">
        <f t="shared" si="30"/>
        <v>157</v>
      </c>
      <c r="O61" s="17">
        <f t="shared" si="30"/>
        <v>163</v>
      </c>
      <c r="P61" s="17">
        <f t="shared" si="30"/>
        <v>175</v>
      </c>
      <c r="Q61" s="17">
        <f t="shared" si="30"/>
        <v>177</v>
      </c>
      <c r="R61" s="98">
        <f t="shared" si="30"/>
        <v>189</v>
      </c>
      <c r="S61" s="132" t="s">
        <v>84</v>
      </c>
    </row>
    <row r="62" spans="1:19" x14ac:dyDescent="0.3">
      <c r="A62" s="16"/>
      <c r="B62" s="17" t="s">
        <v>85</v>
      </c>
      <c r="C62" s="17"/>
      <c r="D62" s="17"/>
      <c r="E62" s="17"/>
      <c r="F62" s="17"/>
      <c r="G62" s="17"/>
      <c r="H62" s="17"/>
      <c r="I62" s="17"/>
      <c r="J62" s="17"/>
      <c r="K62" s="17"/>
      <c r="L62" s="17"/>
      <c r="M62" s="17"/>
      <c r="N62" s="17"/>
      <c r="O62" s="17"/>
      <c r="P62" s="17"/>
      <c r="Q62" s="17"/>
      <c r="R62" s="98"/>
      <c r="S62" s="132"/>
    </row>
    <row r="63" spans="1:19" x14ac:dyDescent="0.3">
      <c r="A63" s="16"/>
      <c r="B63" s="17" t="s">
        <v>86</v>
      </c>
      <c r="C63" s="18">
        <v>1619.5</v>
      </c>
      <c r="D63" s="18">
        <v>1619.5</v>
      </c>
      <c r="E63" s="18">
        <v>1619.5</v>
      </c>
      <c r="F63" s="18">
        <v>1619.5</v>
      </c>
      <c r="G63" s="18">
        <v>1619.5</v>
      </c>
      <c r="H63" s="18">
        <v>1619.5</v>
      </c>
      <c r="I63" s="18">
        <v>1619.5</v>
      </c>
      <c r="J63" s="18">
        <v>1619.5</v>
      </c>
      <c r="K63" s="18">
        <v>1619.5</v>
      </c>
      <c r="L63" s="18">
        <v>1619.5</v>
      </c>
      <c r="M63" s="18">
        <v>1619.5</v>
      </c>
      <c r="N63" s="18">
        <v>1619.5</v>
      </c>
      <c r="O63" s="18">
        <v>1619.5</v>
      </c>
      <c r="P63" s="18">
        <v>1619.5</v>
      </c>
      <c r="Q63" s="18">
        <v>1619.5</v>
      </c>
      <c r="R63" s="99">
        <v>1619.5</v>
      </c>
      <c r="S63" s="133" t="s">
        <v>126</v>
      </c>
    </row>
    <row r="64" spans="1:19" x14ac:dyDescent="0.3">
      <c r="A64" s="16"/>
      <c r="B64" s="17" t="s">
        <v>88</v>
      </c>
      <c r="C64" s="87">
        <v>721.9</v>
      </c>
      <c r="D64" s="87">
        <v>721.9</v>
      </c>
      <c r="E64" s="87">
        <v>721.9</v>
      </c>
      <c r="F64" s="87">
        <v>721.9</v>
      </c>
      <c r="G64" s="87">
        <v>721.9</v>
      </c>
      <c r="H64" s="87">
        <v>721.9</v>
      </c>
      <c r="I64" s="87">
        <v>721.9</v>
      </c>
      <c r="J64" s="87">
        <v>721.9</v>
      </c>
      <c r="K64" s="87">
        <v>721.9</v>
      </c>
      <c r="L64" s="87">
        <v>721.9</v>
      </c>
      <c r="M64" s="87">
        <v>721.9</v>
      </c>
      <c r="N64" s="87">
        <v>721.9</v>
      </c>
      <c r="O64" s="87">
        <v>721.9</v>
      </c>
      <c r="P64" s="87">
        <v>721.9</v>
      </c>
      <c r="Q64" s="87">
        <v>721.9</v>
      </c>
      <c r="R64" s="100">
        <v>721.9</v>
      </c>
      <c r="S64" s="133" t="s">
        <v>126</v>
      </c>
    </row>
    <row r="65" spans="1:19" x14ac:dyDescent="0.3">
      <c r="A65" s="16"/>
      <c r="B65" s="17" t="s">
        <v>127</v>
      </c>
      <c r="C65" s="20">
        <v>0.15</v>
      </c>
      <c r="D65" s="20">
        <v>0.15</v>
      </c>
      <c r="E65" s="20">
        <v>0.15</v>
      </c>
      <c r="F65" s="20">
        <v>0.15</v>
      </c>
      <c r="G65" s="20">
        <v>0.15</v>
      </c>
      <c r="H65" s="20">
        <v>0.15</v>
      </c>
      <c r="I65" s="20">
        <v>0.15</v>
      </c>
      <c r="J65" s="20">
        <v>0.15</v>
      </c>
      <c r="K65" s="20">
        <v>0.15</v>
      </c>
      <c r="L65" s="20">
        <v>0.15</v>
      </c>
      <c r="M65" s="20">
        <v>0.15</v>
      </c>
      <c r="N65" s="20">
        <v>0.15</v>
      </c>
      <c r="O65" s="20">
        <v>0.15</v>
      </c>
      <c r="P65" s="20">
        <v>0.15</v>
      </c>
      <c r="Q65" s="20">
        <v>0.15</v>
      </c>
      <c r="R65" s="101">
        <v>0.15</v>
      </c>
      <c r="S65" s="134"/>
    </row>
    <row r="66" spans="1:19" x14ac:dyDescent="0.3">
      <c r="A66" s="16"/>
      <c r="B66" s="17" t="s">
        <v>91</v>
      </c>
      <c r="C66" s="18">
        <f>(C63+C64)*C61*(1+C65)</f>
        <v>363502.35</v>
      </c>
      <c r="D66" s="18">
        <f t="shared" ref="D66:R66" si="31">(D63+D64)*D61*(1+D65)</f>
        <v>422739.76999999996</v>
      </c>
      <c r="E66" s="18">
        <f t="shared" si="31"/>
        <v>420047.16</v>
      </c>
      <c r="F66" s="18">
        <f t="shared" si="31"/>
        <v>433510.21</v>
      </c>
      <c r="G66" s="18">
        <f t="shared" si="31"/>
        <v>403891.49999999994</v>
      </c>
      <c r="H66" s="18">
        <f t="shared" si="31"/>
        <v>428124.99</v>
      </c>
      <c r="I66" s="18">
        <f t="shared" si="31"/>
        <v>433510.21</v>
      </c>
      <c r="J66" s="18">
        <f t="shared" si="31"/>
        <v>444280.64999999997</v>
      </c>
      <c r="K66" s="18">
        <f t="shared" si="31"/>
        <v>441588.04</v>
      </c>
      <c r="L66" s="18">
        <f t="shared" si="31"/>
        <v>455051.09</v>
      </c>
      <c r="M66" s="18">
        <f t="shared" si="31"/>
        <v>452358.48</v>
      </c>
      <c r="N66" s="18">
        <f t="shared" si="31"/>
        <v>422739.76999999996</v>
      </c>
      <c r="O66" s="18">
        <f t="shared" si="31"/>
        <v>438895.43</v>
      </c>
      <c r="P66" s="18">
        <f t="shared" si="31"/>
        <v>471206.74999999994</v>
      </c>
      <c r="Q66" s="18">
        <f t="shared" si="31"/>
        <v>476591.97</v>
      </c>
      <c r="R66" s="99">
        <f t="shared" si="31"/>
        <v>508903.29</v>
      </c>
      <c r="S66" s="133"/>
    </row>
    <row r="67" spans="1:19" x14ac:dyDescent="0.3">
      <c r="A67" s="16"/>
      <c r="B67" s="17"/>
      <c r="C67" s="17"/>
      <c r="D67" s="17"/>
      <c r="E67" s="17"/>
      <c r="F67" s="17"/>
      <c r="G67" s="17"/>
      <c r="H67" s="17"/>
      <c r="I67" s="17"/>
      <c r="J67" s="17"/>
      <c r="K67" s="17"/>
      <c r="L67" s="17"/>
      <c r="M67" s="17"/>
      <c r="N67" s="17"/>
      <c r="O67" s="17"/>
      <c r="P67" s="17"/>
      <c r="Q67" s="17"/>
      <c r="R67" s="98"/>
      <c r="S67" s="132"/>
    </row>
    <row r="68" spans="1:19" x14ac:dyDescent="0.3">
      <c r="A68" s="120" t="s">
        <v>92</v>
      </c>
      <c r="B68" s="17" t="s">
        <v>85</v>
      </c>
      <c r="C68" s="17">
        <f>C61</f>
        <v>135</v>
      </c>
      <c r="D68" s="17">
        <f t="shared" ref="D68:R68" si="32">D61</f>
        <v>157</v>
      </c>
      <c r="E68" s="17">
        <f t="shared" si="32"/>
        <v>156</v>
      </c>
      <c r="F68" s="17">
        <f t="shared" si="32"/>
        <v>161</v>
      </c>
      <c r="G68" s="17">
        <f t="shared" si="32"/>
        <v>150</v>
      </c>
      <c r="H68" s="17">
        <f t="shared" si="32"/>
        <v>159</v>
      </c>
      <c r="I68" s="17">
        <f t="shared" si="32"/>
        <v>161</v>
      </c>
      <c r="J68" s="17">
        <f t="shared" si="32"/>
        <v>165</v>
      </c>
      <c r="K68" s="17">
        <f t="shared" si="32"/>
        <v>164</v>
      </c>
      <c r="L68" s="17">
        <f t="shared" si="32"/>
        <v>169</v>
      </c>
      <c r="M68" s="17">
        <f t="shared" si="32"/>
        <v>168</v>
      </c>
      <c r="N68" s="17">
        <f t="shared" si="32"/>
        <v>157</v>
      </c>
      <c r="O68" s="17">
        <f t="shared" si="32"/>
        <v>163</v>
      </c>
      <c r="P68" s="17">
        <f t="shared" si="32"/>
        <v>175</v>
      </c>
      <c r="Q68" s="17">
        <f t="shared" si="32"/>
        <v>177</v>
      </c>
      <c r="R68" s="98">
        <f t="shared" si="32"/>
        <v>189</v>
      </c>
      <c r="S68" s="132" t="s">
        <v>128</v>
      </c>
    </row>
    <row r="69" spans="1:19" x14ac:dyDescent="0.3">
      <c r="A69" s="16"/>
      <c r="B69" s="17" t="s">
        <v>91</v>
      </c>
      <c r="C69" s="18">
        <f>C68*317</f>
        <v>42795</v>
      </c>
      <c r="D69" s="18">
        <f t="shared" ref="D69:R69" si="33">D68*317</f>
        <v>49769</v>
      </c>
      <c r="E69" s="18">
        <f t="shared" si="33"/>
        <v>49452</v>
      </c>
      <c r="F69" s="18">
        <f t="shared" si="33"/>
        <v>51037</v>
      </c>
      <c r="G69" s="18">
        <f t="shared" si="33"/>
        <v>47550</v>
      </c>
      <c r="H69" s="18">
        <f t="shared" si="33"/>
        <v>50403</v>
      </c>
      <c r="I69" s="18">
        <f t="shared" si="33"/>
        <v>51037</v>
      </c>
      <c r="J69" s="18">
        <f t="shared" si="33"/>
        <v>52305</v>
      </c>
      <c r="K69" s="18">
        <f t="shared" si="33"/>
        <v>51988</v>
      </c>
      <c r="L69" s="18">
        <f t="shared" si="33"/>
        <v>53573</v>
      </c>
      <c r="M69" s="18">
        <f t="shared" si="33"/>
        <v>53256</v>
      </c>
      <c r="N69" s="18">
        <f t="shared" si="33"/>
        <v>49769</v>
      </c>
      <c r="O69" s="18">
        <f t="shared" si="33"/>
        <v>51671</v>
      </c>
      <c r="P69" s="18">
        <f t="shared" si="33"/>
        <v>55475</v>
      </c>
      <c r="Q69" s="18">
        <f t="shared" si="33"/>
        <v>56109</v>
      </c>
      <c r="R69" s="99">
        <f t="shared" si="33"/>
        <v>59913</v>
      </c>
      <c r="S69" s="133"/>
    </row>
    <row r="70" spans="1:19" x14ac:dyDescent="0.3">
      <c r="A70" s="16"/>
      <c r="B70" s="17"/>
      <c r="C70" s="17"/>
      <c r="D70" s="17"/>
      <c r="E70" s="17"/>
      <c r="F70" s="17"/>
      <c r="G70" s="17"/>
      <c r="H70" s="17"/>
      <c r="I70" s="17"/>
      <c r="J70" s="17"/>
      <c r="K70" s="17"/>
      <c r="L70" s="17"/>
      <c r="M70" s="17"/>
      <c r="N70" s="17"/>
      <c r="O70" s="17"/>
      <c r="P70" s="17"/>
      <c r="Q70" s="17"/>
      <c r="R70" s="98"/>
      <c r="S70" s="132"/>
    </row>
    <row r="71" spans="1:19" x14ac:dyDescent="0.3">
      <c r="A71" s="120" t="s">
        <v>129</v>
      </c>
      <c r="B71" s="17" t="s">
        <v>83</v>
      </c>
      <c r="C71" s="21">
        <f>C61</f>
        <v>135</v>
      </c>
      <c r="D71" s="21">
        <f t="shared" ref="D71:R71" si="34">D61</f>
        <v>157</v>
      </c>
      <c r="E71" s="21">
        <f t="shared" si="34"/>
        <v>156</v>
      </c>
      <c r="F71" s="21">
        <f t="shared" si="34"/>
        <v>161</v>
      </c>
      <c r="G71" s="21">
        <f t="shared" si="34"/>
        <v>150</v>
      </c>
      <c r="H71" s="21">
        <f t="shared" si="34"/>
        <v>159</v>
      </c>
      <c r="I71" s="21">
        <f t="shared" si="34"/>
        <v>161</v>
      </c>
      <c r="J71" s="21">
        <f t="shared" si="34"/>
        <v>165</v>
      </c>
      <c r="K71" s="21">
        <f t="shared" si="34"/>
        <v>164</v>
      </c>
      <c r="L71" s="21">
        <f t="shared" si="34"/>
        <v>169</v>
      </c>
      <c r="M71" s="21">
        <f t="shared" si="34"/>
        <v>168</v>
      </c>
      <c r="N71" s="21">
        <f t="shared" si="34"/>
        <v>157</v>
      </c>
      <c r="O71" s="21">
        <f t="shared" si="34"/>
        <v>163</v>
      </c>
      <c r="P71" s="21">
        <f t="shared" si="34"/>
        <v>175</v>
      </c>
      <c r="Q71" s="21">
        <f t="shared" si="34"/>
        <v>177</v>
      </c>
      <c r="R71" s="102">
        <f t="shared" si="34"/>
        <v>189</v>
      </c>
      <c r="S71" s="132"/>
    </row>
    <row r="72" spans="1:19" x14ac:dyDescent="0.3">
      <c r="A72" s="16"/>
      <c r="B72" s="17" t="s">
        <v>85</v>
      </c>
      <c r="C72" s="17"/>
      <c r="D72" s="17"/>
      <c r="E72" s="17"/>
      <c r="F72" s="17"/>
      <c r="G72" s="17"/>
      <c r="H72" s="17"/>
      <c r="I72" s="17"/>
      <c r="J72" s="17"/>
      <c r="K72" s="17"/>
      <c r="L72" s="17"/>
      <c r="M72" s="17"/>
      <c r="N72" s="17"/>
      <c r="O72" s="17"/>
      <c r="P72" s="17"/>
      <c r="Q72" s="17"/>
      <c r="R72" s="98"/>
      <c r="S72" s="132"/>
    </row>
    <row r="73" spans="1:19" x14ac:dyDescent="0.3">
      <c r="A73" s="16"/>
      <c r="B73" s="17" t="s">
        <v>111</v>
      </c>
      <c r="C73" s="17"/>
      <c r="D73" s="17"/>
      <c r="E73" s="17"/>
      <c r="F73" s="17"/>
      <c r="G73" s="17"/>
      <c r="H73" s="17"/>
      <c r="I73" s="17"/>
      <c r="J73" s="17"/>
      <c r="K73" s="17"/>
      <c r="L73" s="17"/>
      <c r="M73" s="17"/>
      <c r="N73" s="17"/>
      <c r="O73" s="17"/>
      <c r="P73" s="17"/>
      <c r="Q73" s="17"/>
      <c r="R73" s="98"/>
      <c r="S73" s="132"/>
    </row>
    <row r="74" spans="1:19" x14ac:dyDescent="0.3">
      <c r="A74" s="16"/>
      <c r="B74" s="17" t="s">
        <v>106</v>
      </c>
      <c r="C74" s="87">
        <f>388.4</f>
        <v>388.4</v>
      </c>
      <c r="D74" s="87">
        <f t="shared" ref="D74:R74" si="35">388.4</f>
        <v>388.4</v>
      </c>
      <c r="E74" s="87">
        <f t="shared" si="35"/>
        <v>388.4</v>
      </c>
      <c r="F74" s="87">
        <f t="shared" si="35"/>
        <v>388.4</v>
      </c>
      <c r="G74" s="87">
        <f t="shared" si="35"/>
        <v>388.4</v>
      </c>
      <c r="H74" s="87">
        <f t="shared" si="35"/>
        <v>388.4</v>
      </c>
      <c r="I74" s="87">
        <f t="shared" si="35"/>
        <v>388.4</v>
      </c>
      <c r="J74" s="87">
        <f t="shared" si="35"/>
        <v>388.4</v>
      </c>
      <c r="K74" s="87">
        <f t="shared" si="35"/>
        <v>388.4</v>
      </c>
      <c r="L74" s="87">
        <f t="shared" si="35"/>
        <v>388.4</v>
      </c>
      <c r="M74" s="87">
        <f t="shared" si="35"/>
        <v>388.4</v>
      </c>
      <c r="N74" s="87">
        <f t="shared" si="35"/>
        <v>388.4</v>
      </c>
      <c r="O74" s="87">
        <f t="shared" si="35"/>
        <v>388.4</v>
      </c>
      <c r="P74" s="87">
        <f t="shared" si="35"/>
        <v>388.4</v>
      </c>
      <c r="Q74" s="87">
        <f t="shared" si="35"/>
        <v>388.4</v>
      </c>
      <c r="R74" s="100">
        <f t="shared" si="35"/>
        <v>388.4</v>
      </c>
      <c r="S74" s="133" t="s">
        <v>126</v>
      </c>
    </row>
    <row r="75" spans="1:19" x14ac:dyDescent="0.3">
      <c r="A75" s="16"/>
      <c r="B75" s="17" t="s">
        <v>108</v>
      </c>
      <c r="C75" s="87">
        <v>913.9</v>
      </c>
      <c r="D75" s="87">
        <v>913.9</v>
      </c>
      <c r="E75" s="87">
        <v>913.9</v>
      </c>
      <c r="F75" s="87">
        <v>913.9</v>
      </c>
      <c r="G75" s="87">
        <v>913.9</v>
      </c>
      <c r="H75" s="87">
        <v>913.9</v>
      </c>
      <c r="I75" s="87">
        <v>913.9</v>
      </c>
      <c r="J75" s="87">
        <v>913.9</v>
      </c>
      <c r="K75" s="87">
        <v>913.9</v>
      </c>
      <c r="L75" s="87">
        <v>913.9</v>
      </c>
      <c r="M75" s="87">
        <v>913.9</v>
      </c>
      <c r="N75" s="87">
        <v>913.9</v>
      </c>
      <c r="O75" s="87">
        <v>913.9</v>
      </c>
      <c r="P75" s="87">
        <v>913.9</v>
      </c>
      <c r="Q75" s="87">
        <v>913.9</v>
      </c>
      <c r="R75" s="100">
        <v>913.9</v>
      </c>
      <c r="S75" s="133" t="s">
        <v>126</v>
      </c>
    </row>
    <row r="76" spans="1:19" x14ac:dyDescent="0.3">
      <c r="A76" s="16"/>
      <c r="B76" s="17" t="s">
        <v>90</v>
      </c>
      <c r="C76" s="20">
        <v>0.15</v>
      </c>
      <c r="D76" s="20">
        <v>0.15</v>
      </c>
      <c r="E76" s="20">
        <v>0.15</v>
      </c>
      <c r="F76" s="20">
        <v>0.15</v>
      </c>
      <c r="G76" s="20">
        <v>0.15</v>
      </c>
      <c r="H76" s="20">
        <v>0.15</v>
      </c>
      <c r="I76" s="20">
        <v>0.15</v>
      </c>
      <c r="J76" s="20">
        <v>0.15</v>
      </c>
      <c r="K76" s="20">
        <v>0.15</v>
      </c>
      <c r="L76" s="20">
        <v>0.15</v>
      </c>
      <c r="M76" s="20">
        <v>0.15</v>
      </c>
      <c r="N76" s="20">
        <v>0.15</v>
      </c>
      <c r="O76" s="20">
        <v>0.15</v>
      </c>
      <c r="P76" s="20">
        <v>0.15</v>
      </c>
      <c r="Q76" s="20">
        <v>0.15</v>
      </c>
      <c r="R76" s="101">
        <v>0.15</v>
      </c>
      <c r="S76" s="134"/>
    </row>
    <row r="77" spans="1:19" x14ac:dyDescent="0.3">
      <c r="A77" s="16"/>
      <c r="B77" s="17" t="s">
        <v>91</v>
      </c>
      <c r="C77" s="19">
        <f>(C74+C75)*C71*(1+C76)</f>
        <v>202182.07499999998</v>
      </c>
      <c r="D77" s="19">
        <f t="shared" ref="D77:R77" si="36">(D74+D75)*D71*(1+D76)</f>
        <v>235130.26499999998</v>
      </c>
      <c r="E77" s="19">
        <f t="shared" si="36"/>
        <v>233632.61999999997</v>
      </c>
      <c r="F77" s="19">
        <f t="shared" si="36"/>
        <v>241120.84499999997</v>
      </c>
      <c r="G77" s="19">
        <f t="shared" si="36"/>
        <v>224646.74999999997</v>
      </c>
      <c r="H77" s="19">
        <f t="shared" si="36"/>
        <v>238125.55499999996</v>
      </c>
      <c r="I77" s="19">
        <f t="shared" si="36"/>
        <v>241120.84499999997</v>
      </c>
      <c r="J77" s="19">
        <f t="shared" si="36"/>
        <v>247111.42499999999</v>
      </c>
      <c r="K77" s="19">
        <f t="shared" si="36"/>
        <v>245613.77999999997</v>
      </c>
      <c r="L77" s="19">
        <f t="shared" si="36"/>
        <v>253102.00499999995</v>
      </c>
      <c r="M77" s="19">
        <f t="shared" si="36"/>
        <v>251604.36</v>
      </c>
      <c r="N77" s="19">
        <f t="shared" si="36"/>
        <v>235130.26499999998</v>
      </c>
      <c r="O77" s="19">
        <f t="shared" si="36"/>
        <v>244116.13499999998</v>
      </c>
      <c r="P77" s="19">
        <f t="shared" si="36"/>
        <v>262087.87499999997</v>
      </c>
      <c r="Q77" s="19">
        <f t="shared" si="36"/>
        <v>265083.16499999998</v>
      </c>
      <c r="R77" s="103">
        <f t="shared" si="36"/>
        <v>283054.90499999997</v>
      </c>
      <c r="S77" s="135"/>
    </row>
    <row r="78" spans="1:19" x14ac:dyDescent="0.3">
      <c r="A78" s="16"/>
      <c r="B78" s="17"/>
      <c r="C78" s="17"/>
      <c r="D78" s="17"/>
      <c r="E78" s="17"/>
      <c r="F78" s="17"/>
      <c r="G78" s="17"/>
      <c r="H78" s="17"/>
      <c r="I78" s="17"/>
      <c r="J78" s="17"/>
      <c r="K78" s="17"/>
      <c r="L78" s="17"/>
      <c r="M78" s="17"/>
      <c r="N78" s="17"/>
      <c r="O78" s="17"/>
      <c r="P78" s="17"/>
      <c r="Q78" s="17"/>
      <c r="R78" s="98"/>
      <c r="S78" s="132"/>
    </row>
    <row r="79" spans="1:19" x14ac:dyDescent="0.3">
      <c r="A79" s="120" t="s">
        <v>130</v>
      </c>
      <c r="B79" s="17" t="s">
        <v>83</v>
      </c>
      <c r="C79" s="21"/>
      <c r="D79" s="21"/>
      <c r="E79" s="21"/>
      <c r="F79" s="21"/>
      <c r="G79" s="21"/>
      <c r="H79" s="21"/>
      <c r="I79" s="21"/>
      <c r="J79" s="21"/>
      <c r="K79" s="21"/>
      <c r="L79" s="21"/>
      <c r="M79" s="21"/>
      <c r="N79" s="21"/>
      <c r="O79" s="21"/>
      <c r="P79" s="21"/>
      <c r="Q79" s="21"/>
      <c r="R79" s="102"/>
      <c r="S79" s="132"/>
    </row>
    <row r="80" spans="1:19" x14ac:dyDescent="0.3">
      <c r="A80" s="16"/>
      <c r="B80" s="17" t="s">
        <v>85</v>
      </c>
      <c r="C80" s="17"/>
      <c r="D80" s="17"/>
      <c r="E80" s="17"/>
      <c r="F80" s="17"/>
      <c r="G80" s="17"/>
      <c r="H80" s="17"/>
      <c r="I80" s="17"/>
      <c r="J80" s="17"/>
      <c r="K80" s="17"/>
      <c r="L80" s="17"/>
      <c r="M80" s="17"/>
      <c r="N80" s="17"/>
      <c r="O80" s="17"/>
      <c r="P80" s="17"/>
      <c r="Q80" s="17"/>
      <c r="R80" s="98"/>
      <c r="S80" s="132"/>
    </row>
    <row r="81" spans="1:19" x14ac:dyDescent="0.3">
      <c r="A81" s="16"/>
      <c r="B81" s="17" t="s">
        <v>131</v>
      </c>
      <c r="C81" s="87">
        <f>0.5*'Final Results'!$E$7/30</f>
        <v>1</v>
      </c>
      <c r="D81" s="87">
        <f>0.5*'Final Results'!$E$7/30</f>
        <v>1</v>
      </c>
      <c r="E81" s="87">
        <f>0.5*'Final Results'!$E$7/30</f>
        <v>1</v>
      </c>
      <c r="F81" s="87">
        <f>0.5*'Final Results'!$E$7/30</f>
        <v>1</v>
      </c>
      <c r="G81" s="87">
        <f>0.5*'Final Results'!$E$7/30</f>
        <v>1</v>
      </c>
      <c r="H81" s="87">
        <f>0.5*'Final Results'!$E$7/30</f>
        <v>1</v>
      </c>
      <c r="I81" s="87">
        <f>0.5*'Final Results'!$E$7/30</f>
        <v>1</v>
      </c>
      <c r="J81" s="87">
        <f>0.5*'Final Results'!$E$7/30</f>
        <v>1</v>
      </c>
      <c r="K81" s="87">
        <f>0.5*'Final Results'!$E$7/30</f>
        <v>1</v>
      </c>
      <c r="L81" s="87">
        <f>0.5*'Final Results'!$E$7/30</f>
        <v>1</v>
      </c>
      <c r="M81" s="87">
        <f>0.5*'Final Results'!$E$7/30</f>
        <v>1</v>
      </c>
      <c r="N81" s="87">
        <f>0.5*'Final Results'!$E$7/30</f>
        <v>1</v>
      </c>
      <c r="O81" s="87">
        <f>0.5*'Final Results'!$E$7/30</f>
        <v>1</v>
      </c>
      <c r="P81" s="87">
        <f>0.5*'Final Results'!$E$7/30</f>
        <v>1</v>
      </c>
      <c r="Q81" s="87">
        <f>0.5*'Final Results'!$E$7/30</f>
        <v>1</v>
      </c>
      <c r="R81" s="87">
        <f>0.5*'Final Results'!$E$7/30</f>
        <v>1</v>
      </c>
      <c r="S81" s="132" t="s">
        <v>132</v>
      </c>
    </row>
    <row r="82" spans="1:19" x14ac:dyDescent="0.3">
      <c r="A82" s="16"/>
      <c r="B82" s="17" t="s">
        <v>88</v>
      </c>
      <c r="C82" s="17">
        <v>0</v>
      </c>
      <c r="D82" s="17">
        <v>0</v>
      </c>
      <c r="E82" s="17">
        <v>0</v>
      </c>
      <c r="F82" s="17">
        <v>0</v>
      </c>
      <c r="G82" s="17">
        <v>0</v>
      </c>
      <c r="H82" s="17">
        <v>0</v>
      </c>
      <c r="I82" s="17">
        <v>0</v>
      </c>
      <c r="J82" s="17">
        <v>0</v>
      </c>
      <c r="K82" s="17">
        <v>0</v>
      </c>
      <c r="L82" s="17">
        <v>0</v>
      </c>
      <c r="M82" s="17">
        <v>0</v>
      </c>
      <c r="N82" s="17">
        <v>0</v>
      </c>
      <c r="O82" s="17">
        <v>0</v>
      </c>
      <c r="P82" s="17">
        <v>0</v>
      </c>
      <c r="Q82" s="17">
        <v>0</v>
      </c>
      <c r="R82" s="98">
        <v>0</v>
      </c>
      <c r="S82" s="132"/>
    </row>
    <row r="83" spans="1:19" x14ac:dyDescent="0.3">
      <c r="A83" s="16"/>
      <c r="B83" s="17" t="s">
        <v>90</v>
      </c>
      <c r="C83" s="20">
        <v>0.15</v>
      </c>
      <c r="D83" s="20">
        <v>0.15</v>
      </c>
      <c r="E83" s="20">
        <v>0.15</v>
      </c>
      <c r="F83" s="20">
        <v>0.15</v>
      </c>
      <c r="G83" s="20">
        <v>0.15</v>
      </c>
      <c r="H83" s="20">
        <v>0.15</v>
      </c>
      <c r="I83" s="20">
        <v>0.15</v>
      </c>
      <c r="J83" s="20">
        <v>0.15</v>
      </c>
      <c r="K83" s="20">
        <v>0.15</v>
      </c>
      <c r="L83" s="20">
        <v>0.15</v>
      </c>
      <c r="M83" s="20">
        <v>0.15</v>
      </c>
      <c r="N83" s="20">
        <v>0.15</v>
      </c>
      <c r="O83" s="20">
        <v>0.15</v>
      </c>
      <c r="P83" s="20">
        <v>0.15</v>
      </c>
      <c r="Q83" s="20">
        <v>0.15</v>
      </c>
      <c r="R83" s="101">
        <v>0.15</v>
      </c>
      <c r="S83" s="134"/>
    </row>
    <row r="84" spans="1:19" x14ac:dyDescent="0.3">
      <c r="A84" s="16"/>
      <c r="B84" s="17" t="s">
        <v>91</v>
      </c>
      <c r="C84" s="18">
        <f t="shared" ref="C84:R84" si="37">(C81+C82)*$C$4*(1+C83)</f>
        <v>61672.2</v>
      </c>
      <c r="D84" s="18">
        <f t="shared" si="37"/>
        <v>61672.2</v>
      </c>
      <c r="E84" s="18">
        <f t="shared" si="37"/>
        <v>61672.2</v>
      </c>
      <c r="F84" s="18">
        <f t="shared" si="37"/>
        <v>61672.2</v>
      </c>
      <c r="G84" s="18">
        <f t="shared" si="37"/>
        <v>61672.2</v>
      </c>
      <c r="H84" s="18">
        <f t="shared" si="37"/>
        <v>61672.2</v>
      </c>
      <c r="I84" s="18">
        <f t="shared" si="37"/>
        <v>61672.2</v>
      </c>
      <c r="J84" s="18">
        <f t="shared" si="37"/>
        <v>61672.2</v>
      </c>
      <c r="K84" s="18">
        <f t="shared" si="37"/>
        <v>61672.2</v>
      </c>
      <c r="L84" s="18">
        <f t="shared" si="37"/>
        <v>61672.2</v>
      </c>
      <c r="M84" s="18">
        <f t="shared" si="37"/>
        <v>61672.2</v>
      </c>
      <c r="N84" s="18">
        <f t="shared" si="37"/>
        <v>61672.2</v>
      </c>
      <c r="O84" s="18">
        <f t="shared" si="37"/>
        <v>61672.2</v>
      </c>
      <c r="P84" s="18">
        <f t="shared" si="37"/>
        <v>61672.2</v>
      </c>
      <c r="Q84" s="18">
        <f t="shared" si="37"/>
        <v>61672.2</v>
      </c>
      <c r="R84" s="99">
        <f t="shared" si="37"/>
        <v>61672.2</v>
      </c>
      <c r="S84" s="133"/>
    </row>
    <row r="85" spans="1:19" x14ac:dyDescent="0.3">
      <c r="A85" s="16"/>
      <c r="B85" s="17"/>
      <c r="C85" s="17"/>
      <c r="D85" s="17"/>
      <c r="E85" s="17"/>
      <c r="F85" s="17"/>
      <c r="G85" s="17"/>
      <c r="H85" s="17"/>
      <c r="I85" s="17"/>
      <c r="J85" s="17"/>
      <c r="K85" s="17"/>
      <c r="L85" s="17"/>
      <c r="M85" s="17"/>
      <c r="N85" s="17"/>
      <c r="O85" s="17"/>
      <c r="P85" s="17"/>
      <c r="Q85" s="17"/>
      <c r="R85" s="98"/>
      <c r="S85" s="132"/>
    </row>
    <row r="86" spans="1:19" x14ac:dyDescent="0.3">
      <c r="A86" s="23" t="s">
        <v>133</v>
      </c>
      <c r="B86" s="17" t="s">
        <v>83</v>
      </c>
      <c r="C86" s="17"/>
      <c r="D86" s="17"/>
      <c r="E86" s="17"/>
      <c r="F86" s="17"/>
      <c r="G86" s="17"/>
      <c r="H86" s="17"/>
      <c r="I86" s="17"/>
      <c r="J86" s="17"/>
      <c r="K86" s="17"/>
      <c r="L86" s="17"/>
      <c r="M86" s="17"/>
      <c r="N86" s="17"/>
      <c r="O86" s="17"/>
      <c r="P86" s="17"/>
      <c r="Q86" s="17"/>
      <c r="R86" s="98"/>
      <c r="S86" s="132"/>
    </row>
    <row r="87" spans="1:19" x14ac:dyDescent="0.3">
      <c r="A87" s="168" t="s">
        <v>134</v>
      </c>
      <c r="B87" s="17" t="s">
        <v>135</v>
      </c>
      <c r="C87" s="17">
        <v>8043.27</v>
      </c>
      <c r="D87" s="17">
        <v>8043.27</v>
      </c>
      <c r="E87" s="17">
        <v>8043.27</v>
      </c>
      <c r="F87" s="17">
        <v>8043.27</v>
      </c>
      <c r="G87" s="17">
        <v>8043.27</v>
      </c>
      <c r="H87" s="17">
        <v>8043.27</v>
      </c>
      <c r="I87" s="17">
        <v>8043.27</v>
      </c>
      <c r="J87" s="17">
        <v>8043.27</v>
      </c>
      <c r="K87" s="17">
        <v>8043.27</v>
      </c>
      <c r="L87" s="17">
        <v>8043.27</v>
      </c>
      <c r="M87" s="17">
        <v>8043.27</v>
      </c>
      <c r="N87" s="17">
        <v>8043.27</v>
      </c>
      <c r="O87" s="17">
        <v>8043.27</v>
      </c>
      <c r="P87" s="17">
        <v>8043.27</v>
      </c>
      <c r="Q87" s="17">
        <v>8043.27</v>
      </c>
      <c r="R87" s="98">
        <v>8043.27</v>
      </c>
      <c r="S87" s="133" t="s">
        <v>136</v>
      </c>
    </row>
    <row r="88" spans="1:19" x14ac:dyDescent="0.3">
      <c r="A88" s="54" t="s">
        <v>137</v>
      </c>
      <c r="B88" s="17" t="s">
        <v>111</v>
      </c>
      <c r="C88" s="17"/>
      <c r="D88" s="17"/>
      <c r="E88" s="17"/>
      <c r="F88" s="17"/>
      <c r="G88" s="17"/>
      <c r="H88" s="17"/>
      <c r="I88" s="17"/>
      <c r="J88" s="17"/>
      <c r="K88" s="17"/>
      <c r="L88" s="17"/>
      <c r="M88" s="17"/>
      <c r="N88" s="17"/>
      <c r="O88" s="17"/>
      <c r="P88" s="17"/>
      <c r="Q88" s="17"/>
      <c r="R88" s="98"/>
      <c r="S88" s="132"/>
    </row>
    <row r="89" spans="1:19" x14ac:dyDescent="0.3">
      <c r="A89" s="16" t="s">
        <v>138</v>
      </c>
      <c r="B89" s="17" t="s">
        <v>106</v>
      </c>
      <c r="C89" s="87">
        <f>7.4*110%</f>
        <v>8.14</v>
      </c>
      <c r="D89" s="87">
        <f t="shared" ref="D89:R89" si="38">7.4*110%</f>
        <v>8.14</v>
      </c>
      <c r="E89" s="87">
        <f t="shared" si="38"/>
        <v>8.14</v>
      </c>
      <c r="F89" s="87">
        <f t="shared" si="38"/>
        <v>8.14</v>
      </c>
      <c r="G89" s="87">
        <f t="shared" si="38"/>
        <v>8.14</v>
      </c>
      <c r="H89" s="87">
        <f t="shared" si="38"/>
        <v>8.14</v>
      </c>
      <c r="I89" s="87">
        <f t="shared" si="38"/>
        <v>8.14</v>
      </c>
      <c r="J89" s="87">
        <f t="shared" si="38"/>
        <v>8.14</v>
      </c>
      <c r="K89" s="87">
        <f t="shared" si="38"/>
        <v>8.14</v>
      </c>
      <c r="L89" s="87">
        <f t="shared" si="38"/>
        <v>8.14</v>
      </c>
      <c r="M89" s="87">
        <f t="shared" si="38"/>
        <v>8.14</v>
      </c>
      <c r="N89" s="87">
        <f t="shared" si="38"/>
        <v>8.14</v>
      </c>
      <c r="O89" s="87">
        <f t="shared" si="38"/>
        <v>8.14</v>
      </c>
      <c r="P89" s="87">
        <f t="shared" si="38"/>
        <v>8.14</v>
      </c>
      <c r="Q89" s="87">
        <f t="shared" si="38"/>
        <v>8.14</v>
      </c>
      <c r="R89" s="100">
        <f t="shared" si="38"/>
        <v>8.14</v>
      </c>
      <c r="S89" s="133" t="s">
        <v>139</v>
      </c>
    </row>
    <row r="90" spans="1:19" x14ac:dyDescent="0.3">
      <c r="A90" s="16" t="s">
        <v>140</v>
      </c>
      <c r="B90" s="17" t="s">
        <v>108</v>
      </c>
      <c r="C90" s="87">
        <f>1.7*110%</f>
        <v>1.87</v>
      </c>
      <c r="D90" s="87">
        <f t="shared" ref="D90:R90" si="39">1.7*110%</f>
        <v>1.87</v>
      </c>
      <c r="E90" s="87">
        <f t="shared" si="39"/>
        <v>1.87</v>
      </c>
      <c r="F90" s="87">
        <f t="shared" si="39"/>
        <v>1.87</v>
      </c>
      <c r="G90" s="87">
        <f t="shared" si="39"/>
        <v>1.87</v>
      </c>
      <c r="H90" s="87">
        <f t="shared" si="39"/>
        <v>1.87</v>
      </c>
      <c r="I90" s="87">
        <f t="shared" si="39"/>
        <v>1.87</v>
      </c>
      <c r="J90" s="87">
        <f t="shared" si="39"/>
        <v>1.87</v>
      </c>
      <c r="K90" s="87">
        <f t="shared" si="39"/>
        <v>1.87</v>
      </c>
      <c r="L90" s="87">
        <f t="shared" si="39"/>
        <v>1.87</v>
      </c>
      <c r="M90" s="87">
        <f t="shared" si="39"/>
        <v>1.87</v>
      </c>
      <c r="N90" s="87">
        <f t="shared" si="39"/>
        <v>1.87</v>
      </c>
      <c r="O90" s="87">
        <f t="shared" si="39"/>
        <v>1.87</v>
      </c>
      <c r="P90" s="87">
        <f t="shared" si="39"/>
        <v>1.87</v>
      </c>
      <c r="Q90" s="87">
        <f t="shared" si="39"/>
        <v>1.87</v>
      </c>
      <c r="R90" s="100">
        <f t="shared" si="39"/>
        <v>1.87</v>
      </c>
      <c r="S90" s="133" t="s">
        <v>139</v>
      </c>
    </row>
    <row r="91" spans="1:19" x14ac:dyDescent="0.3">
      <c r="A91" s="16"/>
      <c r="B91" s="17" t="s">
        <v>90</v>
      </c>
      <c r="C91" s="20">
        <v>0.15</v>
      </c>
      <c r="D91" s="20">
        <v>0.15</v>
      </c>
      <c r="E91" s="20">
        <v>0.15</v>
      </c>
      <c r="F91" s="20">
        <v>0.15</v>
      </c>
      <c r="G91" s="20">
        <v>0.15</v>
      </c>
      <c r="H91" s="20">
        <v>0.15</v>
      </c>
      <c r="I91" s="20">
        <v>0.15</v>
      </c>
      <c r="J91" s="20">
        <v>0.15</v>
      </c>
      <c r="K91" s="20">
        <v>0.15</v>
      </c>
      <c r="L91" s="20">
        <v>0.15</v>
      </c>
      <c r="M91" s="20">
        <v>0.15</v>
      </c>
      <c r="N91" s="20">
        <v>0.15</v>
      </c>
      <c r="O91" s="20">
        <v>0.15</v>
      </c>
      <c r="P91" s="20">
        <v>0.15</v>
      </c>
      <c r="Q91" s="20">
        <v>0.15</v>
      </c>
      <c r="R91" s="101">
        <v>0.15</v>
      </c>
      <c r="S91" s="134"/>
    </row>
    <row r="92" spans="1:19" x14ac:dyDescent="0.3">
      <c r="A92" s="16"/>
      <c r="B92" s="17" t="s">
        <v>91</v>
      </c>
      <c r="C92" s="19">
        <f>(C89+C90)*C87</f>
        <v>80513.132700000016</v>
      </c>
      <c r="D92" s="19">
        <f t="shared" ref="D92:R92" si="40">(D89+D90)*D87</f>
        <v>80513.132700000016</v>
      </c>
      <c r="E92" s="19">
        <f t="shared" si="40"/>
        <v>80513.132700000016</v>
      </c>
      <c r="F92" s="19">
        <f t="shared" si="40"/>
        <v>80513.132700000016</v>
      </c>
      <c r="G92" s="19">
        <f t="shared" si="40"/>
        <v>80513.132700000016</v>
      </c>
      <c r="H92" s="19">
        <f t="shared" si="40"/>
        <v>80513.132700000016</v>
      </c>
      <c r="I92" s="19">
        <f t="shared" si="40"/>
        <v>80513.132700000016</v>
      </c>
      <c r="J92" s="19">
        <f t="shared" si="40"/>
        <v>80513.132700000016</v>
      </c>
      <c r="K92" s="19">
        <f t="shared" si="40"/>
        <v>80513.132700000016</v>
      </c>
      <c r="L92" s="19">
        <f t="shared" si="40"/>
        <v>80513.132700000016</v>
      </c>
      <c r="M92" s="19">
        <f t="shared" si="40"/>
        <v>80513.132700000016</v>
      </c>
      <c r="N92" s="19">
        <f t="shared" si="40"/>
        <v>80513.132700000016</v>
      </c>
      <c r="O92" s="19">
        <f t="shared" si="40"/>
        <v>80513.132700000016</v>
      </c>
      <c r="P92" s="19">
        <f t="shared" si="40"/>
        <v>80513.132700000016</v>
      </c>
      <c r="Q92" s="19">
        <f t="shared" si="40"/>
        <v>80513.132700000016</v>
      </c>
      <c r="R92" s="103">
        <f t="shared" si="40"/>
        <v>80513.132700000016</v>
      </c>
      <c r="S92" s="134"/>
    </row>
    <row r="93" spans="1:19" x14ac:dyDescent="0.3">
      <c r="A93" s="16"/>
      <c r="B93" s="17"/>
      <c r="C93" s="17"/>
      <c r="D93" s="17"/>
      <c r="E93" s="17"/>
      <c r="F93" s="17"/>
      <c r="G93" s="17"/>
      <c r="H93" s="17"/>
      <c r="I93" s="17"/>
      <c r="J93" s="17"/>
      <c r="K93" s="17"/>
      <c r="L93" s="17"/>
      <c r="M93" s="17"/>
      <c r="N93" s="17"/>
      <c r="O93" s="17"/>
      <c r="P93" s="17"/>
      <c r="Q93" s="17"/>
      <c r="R93" s="98"/>
      <c r="S93" s="132"/>
    </row>
    <row r="94" spans="1:19" x14ac:dyDescent="0.3">
      <c r="A94" s="23" t="s">
        <v>141</v>
      </c>
      <c r="B94" s="17" t="s">
        <v>142</v>
      </c>
      <c r="C94" s="57">
        <v>0.2</v>
      </c>
      <c r="D94" s="57">
        <v>0.2</v>
      </c>
      <c r="E94" s="57">
        <v>0.2</v>
      </c>
      <c r="F94" s="57">
        <v>0.2</v>
      </c>
      <c r="G94" s="57">
        <v>0.2</v>
      </c>
      <c r="H94" s="57">
        <v>0.2</v>
      </c>
      <c r="I94" s="57">
        <v>0.2</v>
      </c>
      <c r="J94" s="57">
        <v>0.2</v>
      </c>
      <c r="K94" s="57">
        <v>0.2</v>
      </c>
      <c r="L94" s="57">
        <v>0.2</v>
      </c>
      <c r="M94" s="57">
        <v>0.2</v>
      </c>
      <c r="N94" s="57">
        <v>0.2</v>
      </c>
      <c r="O94" s="57">
        <v>0.2</v>
      </c>
      <c r="P94" s="57">
        <v>0.2</v>
      </c>
      <c r="Q94" s="57">
        <v>0.2</v>
      </c>
      <c r="R94" s="104">
        <v>0.2</v>
      </c>
      <c r="S94" s="136" t="s">
        <v>143</v>
      </c>
    </row>
    <row r="95" spans="1:19" x14ac:dyDescent="0.3">
      <c r="A95" s="16"/>
      <c r="B95" s="17" t="s">
        <v>144</v>
      </c>
      <c r="C95" s="17">
        <v>2100</v>
      </c>
      <c r="D95" s="17">
        <v>2100</v>
      </c>
      <c r="E95" s="17">
        <v>2100</v>
      </c>
      <c r="F95" s="17">
        <v>2100</v>
      </c>
      <c r="G95" s="17">
        <v>2100</v>
      </c>
      <c r="H95" s="17">
        <v>2100</v>
      </c>
      <c r="I95" s="17">
        <v>2100</v>
      </c>
      <c r="J95" s="17">
        <v>2100</v>
      </c>
      <c r="K95" s="17">
        <v>2100</v>
      </c>
      <c r="L95" s="17">
        <v>2100</v>
      </c>
      <c r="M95" s="17">
        <v>2100</v>
      </c>
      <c r="N95" s="17">
        <v>2100</v>
      </c>
      <c r="O95" s="17">
        <v>2100</v>
      </c>
      <c r="P95" s="17">
        <v>2100</v>
      </c>
      <c r="Q95" s="17">
        <v>2100</v>
      </c>
      <c r="R95" s="98">
        <v>2100</v>
      </c>
      <c r="S95" s="132"/>
    </row>
    <row r="96" spans="1:19" x14ac:dyDescent="0.3">
      <c r="A96" s="16"/>
      <c r="B96" s="17" t="s">
        <v>106</v>
      </c>
      <c r="C96" s="87">
        <f>24.6*(1-C94)</f>
        <v>19.680000000000003</v>
      </c>
      <c r="D96" s="87">
        <f t="shared" ref="D96:R96" si="41">24.6*(1-D94)</f>
        <v>19.680000000000003</v>
      </c>
      <c r="E96" s="87">
        <f t="shared" si="41"/>
        <v>19.680000000000003</v>
      </c>
      <c r="F96" s="87">
        <f t="shared" si="41"/>
        <v>19.680000000000003</v>
      </c>
      <c r="G96" s="87">
        <f t="shared" si="41"/>
        <v>19.680000000000003</v>
      </c>
      <c r="H96" s="87">
        <f t="shared" si="41"/>
        <v>19.680000000000003</v>
      </c>
      <c r="I96" s="87">
        <f t="shared" si="41"/>
        <v>19.680000000000003</v>
      </c>
      <c r="J96" s="87">
        <f t="shared" si="41"/>
        <v>19.680000000000003</v>
      </c>
      <c r="K96" s="87">
        <f t="shared" si="41"/>
        <v>19.680000000000003</v>
      </c>
      <c r="L96" s="87">
        <f t="shared" si="41"/>
        <v>19.680000000000003</v>
      </c>
      <c r="M96" s="87">
        <f t="shared" si="41"/>
        <v>19.680000000000003</v>
      </c>
      <c r="N96" s="87">
        <f t="shared" si="41"/>
        <v>19.680000000000003</v>
      </c>
      <c r="O96" s="87">
        <f t="shared" si="41"/>
        <v>19.680000000000003</v>
      </c>
      <c r="P96" s="87">
        <f t="shared" si="41"/>
        <v>19.680000000000003</v>
      </c>
      <c r="Q96" s="87">
        <f t="shared" si="41"/>
        <v>19.680000000000003</v>
      </c>
      <c r="R96" s="100">
        <f t="shared" si="41"/>
        <v>19.680000000000003</v>
      </c>
      <c r="S96" s="132" t="s">
        <v>145</v>
      </c>
    </row>
    <row r="97" spans="1:19" x14ac:dyDescent="0.3">
      <c r="A97" s="16"/>
      <c r="B97" s="17" t="s">
        <v>108</v>
      </c>
      <c r="C97" s="87">
        <f>246.33*(1-C94)</f>
        <v>197.06400000000002</v>
      </c>
      <c r="D97" s="87">
        <f t="shared" ref="D97:R97" si="42">246.33*(1-D94)</f>
        <v>197.06400000000002</v>
      </c>
      <c r="E97" s="87">
        <f t="shared" si="42"/>
        <v>197.06400000000002</v>
      </c>
      <c r="F97" s="87">
        <f t="shared" si="42"/>
        <v>197.06400000000002</v>
      </c>
      <c r="G97" s="87">
        <f t="shared" si="42"/>
        <v>197.06400000000002</v>
      </c>
      <c r="H97" s="87">
        <f t="shared" si="42"/>
        <v>197.06400000000002</v>
      </c>
      <c r="I97" s="87">
        <f t="shared" si="42"/>
        <v>197.06400000000002</v>
      </c>
      <c r="J97" s="87">
        <f t="shared" si="42"/>
        <v>197.06400000000002</v>
      </c>
      <c r="K97" s="87">
        <f t="shared" si="42"/>
        <v>197.06400000000002</v>
      </c>
      <c r="L97" s="87">
        <f t="shared" si="42"/>
        <v>197.06400000000002</v>
      </c>
      <c r="M97" s="87">
        <f t="shared" si="42"/>
        <v>197.06400000000002</v>
      </c>
      <c r="N97" s="87">
        <f t="shared" si="42"/>
        <v>197.06400000000002</v>
      </c>
      <c r="O97" s="87">
        <f t="shared" si="42"/>
        <v>197.06400000000002</v>
      </c>
      <c r="P97" s="87">
        <f t="shared" si="42"/>
        <v>197.06400000000002</v>
      </c>
      <c r="Q97" s="87">
        <f t="shared" si="42"/>
        <v>197.06400000000002</v>
      </c>
      <c r="R97" s="100">
        <f t="shared" si="42"/>
        <v>197.06400000000002</v>
      </c>
      <c r="S97" s="132" t="s">
        <v>145</v>
      </c>
    </row>
    <row r="98" spans="1:19" x14ac:dyDescent="0.3">
      <c r="A98" s="16"/>
      <c r="B98" s="17" t="s">
        <v>90</v>
      </c>
      <c r="C98" s="20">
        <v>0.15</v>
      </c>
      <c r="D98" s="20">
        <v>0.15</v>
      </c>
      <c r="E98" s="20">
        <v>0.15</v>
      </c>
      <c r="F98" s="20">
        <v>0.15</v>
      </c>
      <c r="G98" s="20">
        <v>0.15</v>
      </c>
      <c r="H98" s="20">
        <v>0.15</v>
      </c>
      <c r="I98" s="20">
        <v>0.15</v>
      </c>
      <c r="J98" s="20">
        <v>0.15</v>
      </c>
      <c r="K98" s="20">
        <v>0.15</v>
      </c>
      <c r="L98" s="20">
        <v>0.15</v>
      </c>
      <c r="M98" s="20">
        <v>0.15</v>
      </c>
      <c r="N98" s="20">
        <v>0.15</v>
      </c>
      <c r="O98" s="20">
        <v>0.15</v>
      </c>
      <c r="P98" s="20">
        <v>0.15</v>
      </c>
      <c r="Q98" s="20">
        <v>0.15</v>
      </c>
      <c r="R98" s="101">
        <v>0.15</v>
      </c>
      <c r="S98" s="134"/>
    </row>
    <row r="99" spans="1:19" x14ac:dyDescent="0.3">
      <c r="A99" s="16"/>
      <c r="B99" s="17" t="s">
        <v>91</v>
      </c>
      <c r="C99" s="18">
        <f t="shared" ref="C99:R99" si="43">(C96+C97)*C95*(1+C98)</f>
        <v>523436.76000000007</v>
      </c>
      <c r="D99" s="18">
        <f t="shared" si="43"/>
        <v>523436.76000000007</v>
      </c>
      <c r="E99" s="18">
        <f t="shared" si="43"/>
        <v>523436.76000000007</v>
      </c>
      <c r="F99" s="18">
        <f t="shared" si="43"/>
        <v>523436.76000000007</v>
      </c>
      <c r="G99" s="18">
        <f t="shared" si="43"/>
        <v>523436.76000000007</v>
      </c>
      <c r="H99" s="18">
        <f t="shared" si="43"/>
        <v>523436.76000000007</v>
      </c>
      <c r="I99" s="18">
        <f t="shared" si="43"/>
        <v>523436.76000000007</v>
      </c>
      <c r="J99" s="18">
        <f t="shared" si="43"/>
        <v>523436.76000000007</v>
      </c>
      <c r="K99" s="18">
        <f t="shared" si="43"/>
        <v>523436.76000000007</v>
      </c>
      <c r="L99" s="18">
        <f t="shared" si="43"/>
        <v>523436.76000000007</v>
      </c>
      <c r="M99" s="18">
        <f t="shared" si="43"/>
        <v>523436.76000000007</v>
      </c>
      <c r="N99" s="18">
        <f t="shared" si="43"/>
        <v>523436.76000000007</v>
      </c>
      <c r="O99" s="18">
        <f t="shared" si="43"/>
        <v>523436.76000000007</v>
      </c>
      <c r="P99" s="18">
        <f t="shared" si="43"/>
        <v>523436.76000000007</v>
      </c>
      <c r="Q99" s="18">
        <f t="shared" si="43"/>
        <v>523436.76000000007</v>
      </c>
      <c r="R99" s="99">
        <f t="shared" si="43"/>
        <v>523436.76000000007</v>
      </c>
      <c r="S99" s="133"/>
    </row>
    <row r="100" spans="1:19" x14ac:dyDescent="0.3">
      <c r="A100" s="16"/>
      <c r="B100" s="17"/>
      <c r="C100" s="17"/>
      <c r="D100" s="17"/>
      <c r="E100" s="17"/>
      <c r="F100" s="17"/>
      <c r="G100" s="17"/>
      <c r="H100" s="17"/>
      <c r="I100" s="17"/>
      <c r="J100" s="17"/>
      <c r="K100" s="17"/>
      <c r="L100" s="17"/>
      <c r="M100" s="17"/>
      <c r="N100" s="17"/>
      <c r="O100" s="17"/>
      <c r="P100" s="17"/>
      <c r="Q100" s="17"/>
      <c r="R100" s="98"/>
      <c r="S100" s="132"/>
    </row>
    <row r="101" spans="1:19" x14ac:dyDescent="0.3">
      <c r="A101" s="16"/>
      <c r="B101" s="17"/>
      <c r="C101" s="17"/>
      <c r="D101" s="17"/>
      <c r="E101" s="17"/>
      <c r="F101" s="17"/>
      <c r="G101" s="17"/>
      <c r="H101" s="17"/>
      <c r="I101" s="17"/>
      <c r="J101" s="17"/>
      <c r="K101" s="17"/>
      <c r="L101" s="17"/>
      <c r="M101" s="17"/>
      <c r="N101" s="17"/>
      <c r="O101" s="17"/>
      <c r="P101" s="17"/>
      <c r="Q101" s="17"/>
      <c r="R101" s="98"/>
      <c r="S101" s="132"/>
    </row>
    <row r="102" spans="1:19" x14ac:dyDescent="0.3">
      <c r="A102" s="23" t="s">
        <v>115</v>
      </c>
      <c r="B102" s="17" t="s">
        <v>116</v>
      </c>
      <c r="C102" s="22">
        <f>SUMIF($B61:$B99,$B$66,C61:C99)</f>
        <v>1274101.5177</v>
      </c>
      <c r="D102" s="22">
        <f t="shared" ref="D102:R102" si="44">SUMIF($B61:$B99,$B$66,D61:D99)</f>
        <v>1373261.1276999998</v>
      </c>
      <c r="E102" s="22">
        <f t="shared" si="44"/>
        <v>1368753.8726999999</v>
      </c>
      <c r="F102" s="22">
        <f t="shared" si="44"/>
        <v>1391290.1476999999</v>
      </c>
      <c r="G102" s="22">
        <f t="shared" si="44"/>
        <v>1341710.3426999999</v>
      </c>
      <c r="H102" s="22">
        <f t="shared" si="44"/>
        <v>1382275.6376999998</v>
      </c>
      <c r="I102" s="22">
        <f t="shared" si="44"/>
        <v>1391290.1476999999</v>
      </c>
      <c r="J102" s="22">
        <f t="shared" si="44"/>
        <v>1409319.1676999999</v>
      </c>
      <c r="K102" s="22">
        <f t="shared" si="44"/>
        <v>1404811.9127</v>
      </c>
      <c r="L102" s="22">
        <f t="shared" si="44"/>
        <v>1427348.1876999999</v>
      </c>
      <c r="M102" s="22">
        <f t="shared" si="44"/>
        <v>1422840.9327</v>
      </c>
      <c r="N102" s="22">
        <f t="shared" si="44"/>
        <v>1373261.1276999998</v>
      </c>
      <c r="O102" s="22">
        <f t="shared" si="44"/>
        <v>1400304.6576999999</v>
      </c>
      <c r="P102" s="22">
        <f t="shared" si="44"/>
        <v>1454391.7176999999</v>
      </c>
      <c r="Q102" s="22">
        <f t="shared" si="44"/>
        <v>1463406.2276999999</v>
      </c>
      <c r="R102" s="105">
        <f t="shared" si="44"/>
        <v>1517493.2877</v>
      </c>
      <c r="S102" s="135"/>
    </row>
    <row r="103" spans="1:19" x14ac:dyDescent="0.3">
      <c r="A103" s="16"/>
      <c r="B103" s="17"/>
      <c r="C103" s="17"/>
      <c r="D103" s="17"/>
      <c r="E103" s="17"/>
      <c r="F103" s="17"/>
      <c r="G103" s="17"/>
      <c r="H103" s="17"/>
      <c r="I103" s="17"/>
      <c r="J103" s="17"/>
      <c r="K103" s="17"/>
      <c r="L103" s="17"/>
      <c r="M103" s="17"/>
      <c r="N103" s="17"/>
      <c r="O103" s="17"/>
      <c r="P103" s="17"/>
      <c r="Q103" s="17"/>
      <c r="R103" s="98"/>
      <c r="S103" s="132"/>
    </row>
    <row r="104" spans="1:19" x14ac:dyDescent="0.3">
      <c r="A104" s="16"/>
      <c r="B104" s="17" t="s">
        <v>118</v>
      </c>
      <c r="C104" s="18">
        <f>2.25*$C$4</f>
        <v>120663</v>
      </c>
      <c r="D104" s="18">
        <f t="shared" ref="D104:R104" si="45">2.5*$C$4</f>
        <v>134070</v>
      </c>
      <c r="E104" s="18">
        <f t="shared" si="45"/>
        <v>134070</v>
      </c>
      <c r="F104" s="18">
        <f t="shared" si="45"/>
        <v>134070</v>
      </c>
      <c r="G104" s="18">
        <f t="shared" si="45"/>
        <v>134070</v>
      </c>
      <c r="H104" s="18">
        <f t="shared" si="45"/>
        <v>134070</v>
      </c>
      <c r="I104" s="18">
        <f t="shared" si="45"/>
        <v>134070</v>
      </c>
      <c r="J104" s="18">
        <f t="shared" si="45"/>
        <v>134070</v>
      </c>
      <c r="K104" s="18">
        <f t="shared" si="45"/>
        <v>134070</v>
      </c>
      <c r="L104" s="18">
        <f t="shared" si="45"/>
        <v>134070</v>
      </c>
      <c r="M104" s="18">
        <f t="shared" si="45"/>
        <v>134070</v>
      </c>
      <c r="N104" s="18">
        <f t="shared" si="45"/>
        <v>134070</v>
      </c>
      <c r="O104" s="18">
        <f t="shared" si="45"/>
        <v>134070</v>
      </c>
      <c r="P104" s="18">
        <f t="shared" si="45"/>
        <v>134070</v>
      </c>
      <c r="Q104" s="18">
        <f t="shared" si="45"/>
        <v>134070</v>
      </c>
      <c r="R104" s="99">
        <f t="shared" si="45"/>
        <v>134070</v>
      </c>
      <c r="S104" s="133" t="s">
        <v>119</v>
      </c>
    </row>
    <row r="105" spans="1:19" x14ac:dyDescent="0.3">
      <c r="A105" s="16"/>
      <c r="B105" s="17" t="s">
        <v>120</v>
      </c>
      <c r="C105" s="18">
        <f>80*160</f>
        <v>12800</v>
      </c>
      <c r="D105" s="18">
        <f t="shared" ref="D105:R105" si="46">80*160</f>
        <v>12800</v>
      </c>
      <c r="E105" s="18">
        <f t="shared" si="46"/>
        <v>12800</v>
      </c>
      <c r="F105" s="18">
        <f t="shared" si="46"/>
        <v>12800</v>
      </c>
      <c r="G105" s="18">
        <f t="shared" si="46"/>
        <v>12800</v>
      </c>
      <c r="H105" s="18">
        <f t="shared" si="46"/>
        <v>12800</v>
      </c>
      <c r="I105" s="18">
        <f t="shared" si="46"/>
        <v>12800</v>
      </c>
      <c r="J105" s="18">
        <f t="shared" si="46"/>
        <v>12800</v>
      </c>
      <c r="K105" s="18">
        <f t="shared" si="46"/>
        <v>12800</v>
      </c>
      <c r="L105" s="18">
        <f t="shared" si="46"/>
        <v>12800</v>
      </c>
      <c r="M105" s="18">
        <f t="shared" si="46"/>
        <v>12800</v>
      </c>
      <c r="N105" s="18">
        <f t="shared" si="46"/>
        <v>12800</v>
      </c>
      <c r="O105" s="18">
        <f t="shared" si="46"/>
        <v>12800</v>
      </c>
      <c r="P105" s="18">
        <f t="shared" si="46"/>
        <v>12800</v>
      </c>
      <c r="Q105" s="18">
        <f t="shared" si="46"/>
        <v>12800</v>
      </c>
      <c r="R105" s="99">
        <f t="shared" si="46"/>
        <v>12800</v>
      </c>
      <c r="S105" s="133" t="s">
        <v>121</v>
      </c>
    </row>
    <row r="106" spans="1:19" x14ac:dyDescent="0.3">
      <c r="A106" s="16"/>
      <c r="B106" s="17"/>
      <c r="C106" s="17"/>
      <c r="D106" s="17"/>
      <c r="E106" s="17"/>
      <c r="F106" s="17"/>
      <c r="G106" s="17"/>
      <c r="H106" s="17"/>
      <c r="I106" s="17"/>
      <c r="J106" s="17"/>
      <c r="K106" s="17"/>
      <c r="L106" s="17"/>
      <c r="M106" s="17"/>
      <c r="N106" s="17"/>
      <c r="O106" s="17"/>
      <c r="P106" s="17"/>
      <c r="Q106" s="17"/>
      <c r="R106" s="98"/>
      <c r="S106" s="132"/>
    </row>
    <row r="107" spans="1:19" x14ac:dyDescent="0.3">
      <c r="A107" s="23" t="s">
        <v>122</v>
      </c>
      <c r="B107" s="17" t="s">
        <v>123</v>
      </c>
      <c r="C107" s="22">
        <f>SUM(C102,C104,C105)</f>
        <v>1407564.5177</v>
      </c>
      <c r="D107" s="22">
        <f t="shared" ref="D107:R107" si="47">SUM(D102,D104,D105)</f>
        <v>1520131.1276999998</v>
      </c>
      <c r="E107" s="22">
        <f t="shared" si="47"/>
        <v>1515623.8726999999</v>
      </c>
      <c r="F107" s="22">
        <f t="shared" si="47"/>
        <v>1538160.1476999999</v>
      </c>
      <c r="G107" s="22">
        <f t="shared" si="47"/>
        <v>1488580.3426999999</v>
      </c>
      <c r="H107" s="22">
        <f t="shared" si="47"/>
        <v>1529145.6376999998</v>
      </c>
      <c r="I107" s="22">
        <f t="shared" si="47"/>
        <v>1538160.1476999999</v>
      </c>
      <c r="J107" s="22">
        <f t="shared" si="47"/>
        <v>1556189.1676999999</v>
      </c>
      <c r="K107" s="22">
        <f t="shared" si="47"/>
        <v>1551681.9127</v>
      </c>
      <c r="L107" s="22">
        <f t="shared" si="47"/>
        <v>1574218.1876999999</v>
      </c>
      <c r="M107" s="22">
        <f t="shared" si="47"/>
        <v>1569710.9327</v>
      </c>
      <c r="N107" s="22">
        <f t="shared" si="47"/>
        <v>1520131.1276999998</v>
      </c>
      <c r="O107" s="22">
        <f t="shared" si="47"/>
        <v>1547174.6576999999</v>
      </c>
      <c r="P107" s="22">
        <f t="shared" si="47"/>
        <v>1601261.7176999999</v>
      </c>
      <c r="Q107" s="22">
        <f t="shared" si="47"/>
        <v>1610276.2276999999</v>
      </c>
      <c r="R107" s="105">
        <f t="shared" si="47"/>
        <v>1664363.2877</v>
      </c>
      <c r="S107" s="135"/>
    </row>
    <row r="108" spans="1:19" x14ac:dyDescent="0.3">
      <c r="A108" s="106"/>
      <c r="B108" s="107"/>
      <c r="C108" s="107"/>
      <c r="D108" s="107"/>
      <c r="E108" s="107"/>
      <c r="F108" s="107"/>
      <c r="G108" s="107"/>
      <c r="H108" s="107"/>
      <c r="I108" s="107"/>
      <c r="J108" s="107"/>
      <c r="K108" s="107"/>
      <c r="L108" s="107"/>
      <c r="M108" s="107"/>
      <c r="N108" s="107"/>
      <c r="O108" s="107"/>
      <c r="P108" s="107"/>
      <c r="Q108" s="107"/>
      <c r="R108" s="108"/>
      <c r="S108" s="137"/>
    </row>
  </sheetData>
  <pageMargins left="0.7" right="0.7" top="0.75" bottom="0.75" header="0.3" footer="0.3"/>
  <pageSetup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A971E-138F-48B8-83D7-15AE7CDBCA25}">
  <dimension ref="B2:S84"/>
  <sheetViews>
    <sheetView zoomScaleNormal="100" workbookViewId="0">
      <selection activeCell="B3" sqref="B3"/>
    </sheetView>
  </sheetViews>
  <sheetFormatPr defaultRowHeight="14.4" x14ac:dyDescent="0.3"/>
  <cols>
    <col min="2" max="2" width="21.109375" customWidth="1"/>
    <col min="3" max="3" width="21.44140625" customWidth="1"/>
    <col min="5" max="5" width="8.33203125" customWidth="1"/>
    <col min="6" max="6" width="20" customWidth="1"/>
    <col min="7" max="7" width="10.109375" bestFit="1" customWidth="1"/>
    <col min="8" max="8" width="10.6640625" customWidth="1"/>
    <col min="9" max="9" width="9.88671875" customWidth="1"/>
    <col min="10" max="10" width="6.6640625" customWidth="1"/>
    <col min="11" max="11" width="12.109375" bestFit="1" customWidth="1"/>
    <col min="12" max="12" width="18.6640625" customWidth="1"/>
    <col min="14" max="14" width="22.5546875" customWidth="1"/>
    <col min="15" max="15" width="41" customWidth="1"/>
    <col min="21" max="21" width="11.109375" bestFit="1" customWidth="1"/>
    <col min="23" max="23" width="12.109375" bestFit="1" customWidth="1"/>
    <col min="24" max="24" width="13.44140625" bestFit="1" customWidth="1"/>
    <col min="25" max="25" width="13.33203125" customWidth="1"/>
  </cols>
  <sheetData>
    <row r="2" spans="2:4" ht="18" x14ac:dyDescent="0.35">
      <c r="B2" s="35" t="s">
        <v>146</v>
      </c>
    </row>
    <row r="4" spans="2:4" x14ac:dyDescent="0.3">
      <c r="B4" t="s">
        <v>147</v>
      </c>
    </row>
    <row r="5" spans="2:4" x14ac:dyDescent="0.3">
      <c r="B5" t="s">
        <v>148</v>
      </c>
      <c r="C5" t="s">
        <v>149</v>
      </c>
      <c r="D5" t="s">
        <v>150</v>
      </c>
    </row>
    <row r="6" spans="2:4" x14ac:dyDescent="0.3">
      <c r="B6">
        <v>7.5</v>
      </c>
      <c r="C6">
        <v>2100</v>
      </c>
      <c r="D6">
        <v>6525</v>
      </c>
    </row>
    <row r="7" spans="2:4" x14ac:dyDescent="0.3">
      <c r="B7">
        <v>10</v>
      </c>
      <c r="C7">
        <v>2425</v>
      </c>
      <c r="D7">
        <v>8050</v>
      </c>
    </row>
    <row r="8" spans="2:4" x14ac:dyDescent="0.3">
      <c r="B8">
        <v>12.5</v>
      </c>
      <c r="C8">
        <v>2575</v>
      </c>
      <c r="D8">
        <v>9100</v>
      </c>
    </row>
    <row r="9" spans="2:4" x14ac:dyDescent="0.3">
      <c r="B9">
        <v>15</v>
      </c>
      <c r="C9">
        <v>2850</v>
      </c>
      <c r="D9">
        <v>12200</v>
      </c>
    </row>
    <row r="10" spans="2:4" x14ac:dyDescent="0.3">
      <c r="B10">
        <v>20</v>
      </c>
      <c r="C10">
        <v>3325</v>
      </c>
      <c r="D10">
        <v>15700</v>
      </c>
    </row>
    <row r="11" spans="2:4" x14ac:dyDescent="0.3">
      <c r="B11">
        <v>25</v>
      </c>
      <c r="C11">
        <v>3975</v>
      </c>
      <c r="D11">
        <v>36900</v>
      </c>
    </row>
    <row r="12" spans="2:4" x14ac:dyDescent="0.3">
      <c r="B12">
        <v>30</v>
      </c>
      <c r="C12">
        <v>4725</v>
      </c>
      <c r="D12">
        <v>37200</v>
      </c>
    </row>
    <row r="13" spans="2:4" x14ac:dyDescent="0.3">
      <c r="B13">
        <v>40</v>
      </c>
      <c r="C13">
        <v>6300</v>
      </c>
      <c r="D13">
        <v>45400</v>
      </c>
    </row>
    <row r="14" spans="2:4" x14ac:dyDescent="0.3">
      <c r="B14">
        <v>50</v>
      </c>
      <c r="C14">
        <v>7875</v>
      </c>
      <c r="D14">
        <v>51500</v>
      </c>
    </row>
    <row r="18" spans="2:19" hidden="1" x14ac:dyDescent="0.3"/>
    <row r="19" spans="2:19" hidden="1" x14ac:dyDescent="0.3">
      <c r="B19" s="1" t="s">
        <v>151</v>
      </c>
    </row>
    <row r="20" spans="2:19" ht="15" hidden="1" thickBot="1" x14ac:dyDescent="0.35"/>
    <row r="21" spans="2:19" ht="15" hidden="1" thickBot="1" x14ac:dyDescent="0.35">
      <c r="B21" s="45" t="s">
        <v>152</v>
      </c>
      <c r="C21" s="46">
        <v>1</v>
      </c>
      <c r="D21" s="46">
        <v>1</v>
      </c>
      <c r="E21" s="46">
        <v>1</v>
      </c>
      <c r="F21" s="46">
        <v>1</v>
      </c>
      <c r="G21" s="46">
        <v>5</v>
      </c>
      <c r="H21" s="46">
        <v>5</v>
      </c>
      <c r="I21" s="46">
        <v>5</v>
      </c>
      <c r="J21" s="46">
        <v>5</v>
      </c>
      <c r="K21" s="46">
        <v>1</v>
      </c>
      <c r="L21" s="46">
        <v>1</v>
      </c>
      <c r="O21" s="1"/>
      <c r="P21" s="11"/>
      <c r="Q21" s="7"/>
      <c r="R21" s="7"/>
      <c r="S21" s="7"/>
    </row>
    <row r="22" spans="2:19" ht="15" hidden="1" thickBot="1" x14ac:dyDescent="0.35">
      <c r="B22" s="47" t="s">
        <v>153</v>
      </c>
      <c r="C22" s="48" t="s">
        <v>154</v>
      </c>
      <c r="D22" s="48" t="s">
        <v>155</v>
      </c>
      <c r="E22" s="53" t="s">
        <v>156</v>
      </c>
      <c r="F22" s="48" t="s">
        <v>157</v>
      </c>
      <c r="G22" s="53" t="s">
        <v>158</v>
      </c>
      <c r="H22" s="48" t="s">
        <v>159</v>
      </c>
      <c r="I22" s="53" t="s">
        <v>160</v>
      </c>
      <c r="J22" s="48" t="s">
        <v>161</v>
      </c>
      <c r="K22" s="53" t="s">
        <v>162</v>
      </c>
      <c r="L22" s="48" t="s">
        <v>163</v>
      </c>
      <c r="M22" s="52" t="s">
        <v>164</v>
      </c>
      <c r="P22" s="7"/>
      <c r="Q22" s="7"/>
      <c r="R22" s="7"/>
      <c r="S22" s="7"/>
    </row>
    <row r="23" spans="2:19" ht="15" hidden="1" thickBot="1" x14ac:dyDescent="0.35">
      <c r="B23" s="49">
        <v>1</v>
      </c>
      <c r="C23" s="50">
        <v>24733</v>
      </c>
      <c r="D23" s="50">
        <v>24733</v>
      </c>
      <c r="E23" s="50">
        <v>25614</v>
      </c>
      <c r="F23" s="50">
        <v>25614</v>
      </c>
      <c r="G23" s="50">
        <v>27962</v>
      </c>
      <c r="H23" s="50">
        <v>27962</v>
      </c>
      <c r="I23" s="50">
        <v>27804</v>
      </c>
      <c r="J23" s="50">
        <v>27804</v>
      </c>
      <c r="K23" s="50">
        <v>25359</v>
      </c>
      <c r="L23" s="50">
        <v>25359</v>
      </c>
      <c r="M23">
        <f>D$21*D23+F$21*F23+H$21*H23+J$21*J23+L$21*L23</f>
        <v>354536</v>
      </c>
    </row>
    <row r="24" spans="2:19" ht="15" hidden="1" thickBot="1" x14ac:dyDescent="0.35">
      <c r="B24" s="49">
        <v>2</v>
      </c>
      <c r="C24" s="50">
        <v>25713</v>
      </c>
      <c r="D24" s="50">
        <v>25713</v>
      </c>
      <c r="E24" s="50">
        <v>26300</v>
      </c>
      <c r="F24" s="50">
        <v>26300</v>
      </c>
      <c r="G24" s="51" t="s">
        <v>165</v>
      </c>
      <c r="H24" s="50">
        <v>28866</v>
      </c>
      <c r="I24" s="51" t="s">
        <v>165</v>
      </c>
      <c r="J24" s="50">
        <v>28787</v>
      </c>
      <c r="K24" s="50">
        <v>26724</v>
      </c>
      <c r="L24" s="50">
        <v>26724</v>
      </c>
      <c r="M24">
        <f t="shared" ref="M24:M38" si="0">D$21*D24+F$21*F24+H$21*H24+J$21*J24+L$21*L24</f>
        <v>367002</v>
      </c>
    </row>
    <row r="25" spans="2:19" ht="15" hidden="1" thickBot="1" x14ac:dyDescent="0.35">
      <c r="B25" s="49">
        <v>3</v>
      </c>
      <c r="C25" s="51" t="s">
        <v>165</v>
      </c>
      <c r="D25" s="50">
        <v>24964</v>
      </c>
      <c r="E25" s="51" t="s">
        <v>165</v>
      </c>
      <c r="F25" s="50">
        <v>26495</v>
      </c>
      <c r="G25" s="51" t="s">
        <v>165</v>
      </c>
      <c r="H25" s="50">
        <v>30596</v>
      </c>
      <c r="I25" s="51" t="s">
        <v>165</v>
      </c>
      <c r="J25" s="50">
        <v>30495</v>
      </c>
      <c r="K25" s="51" t="s">
        <v>165</v>
      </c>
      <c r="L25" s="50">
        <v>27839</v>
      </c>
      <c r="M25">
        <f t="shared" si="0"/>
        <v>384753</v>
      </c>
    </row>
    <row r="26" spans="2:19" ht="15" hidden="1" thickBot="1" x14ac:dyDescent="0.35">
      <c r="B26" s="49">
        <v>4</v>
      </c>
      <c r="C26" s="51" t="s">
        <v>165</v>
      </c>
      <c r="D26" s="50">
        <v>26061</v>
      </c>
      <c r="E26" s="51" t="s">
        <v>165</v>
      </c>
      <c r="F26" s="50">
        <v>27291</v>
      </c>
      <c r="G26" s="51" t="s">
        <v>165</v>
      </c>
      <c r="H26" s="50">
        <v>29914</v>
      </c>
      <c r="I26" s="51" t="s">
        <v>165</v>
      </c>
      <c r="J26" s="50">
        <v>29831</v>
      </c>
      <c r="K26" s="51" t="s">
        <v>165</v>
      </c>
      <c r="L26" s="50">
        <v>27995</v>
      </c>
      <c r="M26">
        <f t="shared" si="0"/>
        <v>380072</v>
      </c>
    </row>
    <row r="27" spans="2:19" ht="15" hidden="1" thickBot="1" x14ac:dyDescent="0.35">
      <c r="B27" s="49">
        <v>5</v>
      </c>
      <c r="C27" s="51" t="s">
        <v>165</v>
      </c>
      <c r="D27" s="50">
        <v>24831</v>
      </c>
      <c r="E27" s="51" t="s">
        <v>165</v>
      </c>
      <c r="F27" s="50">
        <v>26335</v>
      </c>
      <c r="G27" s="51" t="s">
        <v>165</v>
      </c>
      <c r="H27" s="50">
        <v>28999</v>
      </c>
      <c r="I27" s="51" t="s">
        <v>165</v>
      </c>
      <c r="J27" s="50">
        <v>28895</v>
      </c>
      <c r="K27" s="51" t="s">
        <v>165</v>
      </c>
      <c r="L27" s="50">
        <v>27106</v>
      </c>
      <c r="M27">
        <f t="shared" si="0"/>
        <v>367742</v>
      </c>
    </row>
    <row r="28" spans="2:19" ht="15" hidden="1" thickBot="1" x14ac:dyDescent="0.35">
      <c r="B28" s="49">
        <v>6</v>
      </c>
      <c r="C28" s="51" t="s">
        <v>165</v>
      </c>
      <c r="D28" s="50">
        <v>25313</v>
      </c>
      <c r="E28" s="51" t="s">
        <v>165</v>
      </c>
      <c r="F28" s="50">
        <v>27233</v>
      </c>
      <c r="G28" s="51" t="s">
        <v>165</v>
      </c>
      <c r="H28" s="50">
        <v>30421</v>
      </c>
      <c r="I28" s="51" t="s">
        <v>165</v>
      </c>
      <c r="J28" s="50">
        <v>30381</v>
      </c>
      <c r="K28" s="51" t="s">
        <v>165</v>
      </c>
      <c r="L28" s="50">
        <v>28505</v>
      </c>
      <c r="M28">
        <f t="shared" si="0"/>
        <v>385061</v>
      </c>
    </row>
    <row r="29" spans="2:19" ht="15" hidden="1" thickBot="1" x14ac:dyDescent="0.35">
      <c r="B29" s="49">
        <v>7</v>
      </c>
      <c r="C29" s="51" t="s">
        <v>165</v>
      </c>
      <c r="D29" s="50">
        <v>25960</v>
      </c>
      <c r="E29" s="51" t="s">
        <v>165</v>
      </c>
      <c r="F29" s="50">
        <v>27950</v>
      </c>
      <c r="G29" s="51" t="s">
        <v>165</v>
      </c>
      <c r="H29" s="50">
        <v>31054</v>
      </c>
      <c r="I29" s="51" t="s">
        <v>165</v>
      </c>
      <c r="J29" s="50">
        <v>31028</v>
      </c>
      <c r="K29" s="51" t="s">
        <v>165</v>
      </c>
      <c r="L29" s="50">
        <v>29167</v>
      </c>
      <c r="M29">
        <f t="shared" si="0"/>
        <v>393487</v>
      </c>
    </row>
    <row r="30" spans="2:19" ht="15" hidden="1" thickBot="1" x14ac:dyDescent="0.35">
      <c r="B30" s="49">
        <v>8</v>
      </c>
      <c r="C30" s="51" t="s">
        <v>165</v>
      </c>
      <c r="D30" s="50">
        <v>25394</v>
      </c>
      <c r="E30" s="51" t="s">
        <v>165</v>
      </c>
      <c r="F30" s="50">
        <v>27681</v>
      </c>
      <c r="G30" s="51" t="s">
        <v>165</v>
      </c>
      <c r="H30" s="50">
        <v>31020</v>
      </c>
      <c r="I30" s="51" t="s">
        <v>165</v>
      </c>
      <c r="J30" s="50">
        <v>31011</v>
      </c>
      <c r="K30" s="51" t="s">
        <v>165</v>
      </c>
      <c r="L30" s="50">
        <v>29136</v>
      </c>
      <c r="M30">
        <f t="shared" si="0"/>
        <v>392366</v>
      </c>
    </row>
    <row r="31" spans="2:19" ht="15" hidden="1" thickBot="1" x14ac:dyDescent="0.35">
      <c r="B31" s="49">
        <v>9</v>
      </c>
      <c r="C31" s="51" t="s">
        <v>165</v>
      </c>
      <c r="D31" s="50">
        <v>25915</v>
      </c>
      <c r="E31" s="51" t="s">
        <v>165</v>
      </c>
      <c r="F31" s="50">
        <v>28148</v>
      </c>
      <c r="G31" s="51" t="s">
        <v>165</v>
      </c>
      <c r="H31" s="50">
        <v>32566</v>
      </c>
      <c r="I31" s="51" t="s">
        <v>165</v>
      </c>
      <c r="J31" s="50">
        <v>32537</v>
      </c>
      <c r="K31" s="51" t="s">
        <v>165</v>
      </c>
      <c r="L31" s="50">
        <v>30231</v>
      </c>
      <c r="M31">
        <f t="shared" si="0"/>
        <v>409809</v>
      </c>
    </row>
    <row r="32" spans="2:19" ht="15" hidden="1" thickBot="1" x14ac:dyDescent="0.35">
      <c r="B32" s="49">
        <v>10</v>
      </c>
      <c r="C32" s="51" t="s">
        <v>165</v>
      </c>
      <c r="D32" s="50">
        <v>26495</v>
      </c>
      <c r="E32" s="51" t="s">
        <v>165</v>
      </c>
      <c r="F32" s="50">
        <v>28037</v>
      </c>
      <c r="G32" s="51" t="s">
        <v>165</v>
      </c>
      <c r="H32" s="50">
        <v>31102</v>
      </c>
      <c r="I32" s="51" t="s">
        <v>165</v>
      </c>
      <c r="J32" s="50">
        <v>31062</v>
      </c>
      <c r="K32" s="51" t="s">
        <v>165</v>
      </c>
      <c r="L32" s="50">
        <v>29408</v>
      </c>
      <c r="M32">
        <f t="shared" si="0"/>
        <v>394760</v>
      </c>
    </row>
    <row r="33" spans="2:13" ht="15" hidden="1" thickBot="1" x14ac:dyDescent="0.35">
      <c r="B33" s="49">
        <v>11</v>
      </c>
      <c r="C33" s="50">
        <v>26658</v>
      </c>
      <c r="D33" s="50">
        <v>26658</v>
      </c>
      <c r="E33" s="51" t="s">
        <v>165</v>
      </c>
      <c r="F33" s="50">
        <v>28989</v>
      </c>
      <c r="G33" s="51" t="s">
        <v>165</v>
      </c>
      <c r="H33" s="50">
        <v>32728</v>
      </c>
      <c r="I33" s="51" t="s">
        <v>165</v>
      </c>
      <c r="J33" s="50">
        <v>32704</v>
      </c>
      <c r="K33" s="51" t="s">
        <v>165</v>
      </c>
      <c r="L33" s="50">
        <v>31166</v>
      </c>
      <c r="M33">
        <f t="shared" si="0"/>
        <v>413973</v>
      </c>
    </row>
    <row r="34" spans="2:13" ht="15" hidden="1" thickBot="1" x14ac:dyDescent="0.35">
      <c r="B34" s="49">
        <v>12</v>
      </c>
      <c r="C34" s="50">
        <v>25655</v>
      </c>
      <c r="D34" s="50">
        <v>25655</v>
      </c>
      <c r="E34" s="50">
        <v>27035</v>
      </c>
      <c r="F34" s="50">
        <v>27035</v>
      </c>
      <c r="G34" s="51" t="s">
        <v>165</v>
      </c>
      <c r="H34" s="50">
        <v>29884</v>
      </c>
      <c r="I34" s="51" t="s">
        <v>165</v>
      </c>
      <c r="J34" s="50">
        <v>29817</v>
      </c>
      <c r="K34" s="50">
        <v>28125</v>
      </c>
      <c r="L34" s="50">
        <v>28125</v>
      </c>
      <c r="M34">
        <f t="shared" si="0"/>
        <v>379320</v>
      </c>
    </row>
    <row r="35" spans="2:13" ht="15" hidden="1" thickBot="1" x14ac:dyDescent="0.35">
      <c r="B35" s="49">
        <v>13</v>
      </c>
      <c r="C35" s="50">
        <v>26697</v>
      </c>
      <c r="D35" s="50">
        <v>26697</v>
      </c>
      <c r="E35" s="50">
        <v>27936</v>
      </c>
      <c r="F35" s="50">
        <v>27936</v>
      </c>
      <c r="G35" s="51" t="s">
        <v>165</v>
      </c>
      <c r="H35" s="50">
        <v>31864</v>
      </c>
      <c r="I35" s="51" t="s">
        <v>165</v>
      </c>
      <c r="J35" s="50">
        <v>31838</v>
      </c>
      <c r="K35" s="51" t="s">
        <v>165</v>
      </c>
      <c r="L35" s="50">
        <v>30429</v>
      </c>
      <c r="M35">
        <f t="shared" si="0"/>
        <v>403572</v>
      </c>
    </row>
    <row r="36" spans="2:13" ht="15" hidden="1" thickBot="1" x14ac:dyDescent="0.35">
      <c r="B36" s="49">
        <v>14</v>
      </c>
      <c r="C36" s="50">
        <v>28320</v>
      </c>
      <c r="D36" s="50">
        <v>28320</v>
      </c>
      <c r="E36" s="51" t="s">
        <v>165</v>
      </c>
      <c r="F36" s="50">
        <v>30590</v>
      </c>
      <c r="G36" s="51" t="s">
        <v>165</v>
      </c>
      <c r="H36" s="50">
        <v>33915</v>
      </c>
      <c r="I36" s="51" t="s">
        <v>165</v>
      </c>
      <c r="J36" s="50">
        <v>33882</v>
      </c>
      <c r="K36" s="51" t="s">
        <v>165</v>
      </c>
      <c r="L36" s="50">
        <v>32688</v>
      </c>
      <c r="M36">
        <f t="shared" si="0"/>
        <v>430583</v>
      </c>
    </row>
    <row r="37" spans="2:13" ht="15" hidden="1" thickBot="1" x14ac:dyDescent="0.35">
      <c r="B37" s="49">
        <v>15</v>
      </c>
      <c r="C37" s="50">
        <v>27439</v>
      </c>
      <c r="D37" s="50">
        <v>27439</v>
      </c>
      <c r="E37" s="51" t="s">
        <v>165</v>
      </c>
      <c r="F37" s="50">
        <v>30806</v>
      </c>
      <c r="G37" s="51" t="s">
        <v>165</v>
      </c>
      <c r="H37" s="50">
        <v>34006</v>
      </c>
      <c r="I37" s="51" t="s">
        <v>165</v>
      </c>
      <c r="J37" s="50">
        <v>34047</v>
      </c>
      <c r="K37" s="51" t="s">
        <v>165</v>
      </c>
      <c r="L37" s="50">
        <v>33917</v>
      </c>
      <c r="M37">
        <f t="shared" si="0"/>
        <v>432427</v>
      </c>
    </row>
    <row r="38" spans="2:13" ht="15" hidden="1" thickBot="1" x14ac:dyDescent="0.35">
      <c r="B38" s="49">
        <v>16</v>
      </c>
      <c r="C38" s="51" t="s">
        <v>165</v>
      </c>
      <c r="D38" s="50">
        <v>29915</v>
      </c>
      <c r="E38" s="51" t="s">
        <v>165</v>
      </c>
      <c r="F38" s="50">
        <v>33504</v>
      </c>
      <c r="G38" s="51" t="s">
        <v>165</v>
      </c>
      <c r="H38" s="50">
        <v>37061</v>
      </c>
      <c r="I38" s="51" t="s">
        <v>165</v>
      </c>
      <c r="J38" s="50">
        <v>36396</v>
      </c>
      <c r="K38" s="51" t="s">
        <v>165</v>
      </c>
      <c r="L38" s="50">
        <v>34219</v>
      </c>
      <c r="M38">
        <f t="shared" si="0"/>
        <v>464923</v>
      </c>
    </row>
    <row r="39" spans="2:13" hidden="1" x14ac:dyDescent="0.3"/>
    <row r="42" spans="2:13" x14ac:dyDescent="0.3">
      <c r="B42" s="1" t="s">
        <v>166</v>
      </c>
    </row>
    <row r="44" spans="2:13" x14ac:dyDescent="0.3">
      <c r="B44" s="1" t="s">
        <v>167</v>
      </c>
    </row>
    <row r="46" spans="2:13" x14ac:dyDescent="0.3">
      <c r="B46" s="1" t="s">
        <v>168</v>
      </c>
    </row>
    <row r="69" spans="2:5" x14ac:dyDescent="0.3">
      <c r="B69" t="s">
        <v>169</v>
      </c>
      <c r="C69" t="s">
        <v>170</v>
      </c>
      <c r="D69" t="s">
        <v>171</v>
      </c>
      <c r="E69" t="s">
        <v>172</v>
      </c>
    </row>
    <row r="70" spans="2:5" x14ac:dyDescent="0.3">
      <c r="B70" t="s">
        <v>173</v>
      </c>
      <c r="C70">
        <v>24.6</v>
      </c>
      <c r="D70">
        <v>246.33</v>
      </c>
      <c r="E70" s="59">
        <f>C70+D70</f>
        <v>270.93</v>
      </c>
    </row>
    <row r="71" spans="2:5" x14ac:dyDescent="0.3">
      <c r="B71" t="s">
        <v>174</v>
      </c>
      <c r="C71">
        <v>16.32</v>
      </c>
      <c r="D71">
        <v>40.33</v>
      </c>
      <c r="E71" s="59">
        <f>C71+D71</f>
        <v>56.65</v>
      </c>
    </row>
    <row r="72" spans="2:5" x14ac:dyDescent="0.3">
      <c r="B72" t="s">
        <v>175</v>
      </c>
      <c r="C72">
        <f>3/5*C71</f>
        <v>9.7919999999999998</v>
      </c>
      <c r="D72">
        <v>40.33</v>
      </c>
      <c r="E72" s="59">
        <f>C72+D72</f>
        <v>50.122</v>
      </c>
    </row>
    <row r="74" spans="2:5" x14ac:dyDescent="0.3">
      <c r="C74" t="s">
        <v>176</v>
      </c>
    </row>
    <row r="75" spans="2:5" x14ac:dyDescent="0.3">
      <c r="C75" s="1" t="s">
        <v>177</v>
      </c>
    </row>
    <row r="76" spans="2:5" x14ac:dyDescent="0.3">
      <c r="C76" t="s">
        <v>178</v>
      </c>
    </row>
    <row r="78" spans="2:5" x14ac:dyDescent="0.3">
      <c r="C78" s="1" t="s">
        <v>179</v>
      </c>
    </row>
    <row r="80" spans="2:5" x14ac:dyDescent="0.3">
      <c r="B80" s="1" t="s">
        <v>180</v>
      </c>
    </row>
    <row r="81" spans="2:4" x14ac:dyDescent="0.3">
      <c r="B81" s="93" t="s">
        <v>181</v>
      </c>
      <c r="C81" s="37" t="s">
        <v>15</v>
      </c>
      <c r="D81" s="10" t="s">
        <v>16</v>
      </c>
    </row>
    <row r="82" spans="2:4" x14ac:dyDescent="0.3">
      <c r="B82" s="3" t="s">
        <v>182</v>
      </c>
      <c r="C82">
        <f>1909</f>
        <v>1909</v>
      </c>
      <c r="D82" s="4" t="s">
        <v>183</v>
      </c>
    </row>
    <row r="83" spans="2:4" x14ac:dyDescent="0.3">
      <c r="B83" s="3" t="s">
        <v>184</v>
      </c>
      <c r="C83">
        <v>1.7</v>
      </c>
      <c r="D83" s="4"/>
    </row>
    <row r="84" spans="2:4" x14ac:dyDescent="0.3">
      <c r="B84" s="5" t="s">
        <v>185</v>
      </c>
      <c r="C84" s="81">
        <f>C82*C83</f>
        <v>3245.2999999999997</v>
      </c>
      <c r="D84" s="6"/>
    </row>
  </sheetData>
  <pageMargins left="0.7" right="0.7" top="0.75" bottom="0.75" header="0.3" footer="0.3"/>
  <pageSetup orientation="portrait" horizontalDpi="90" verticalDpi="9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05233-657D-4612-B090-5DCBA77590B4}">
  <dimension ref="C2:K47"/>
  <sheetViews>
    <sheetView zoomScale="85" zoomScaleNormal="85" workbookViewId="0">
      <selection activeCell="C3" sqref="C3"/>
    </sheetView>
  </sheetViews>
  <sheetFormatPr defaultRowHeight="14.4" x14ac:dyDescent="0.3"/>
  <cols>
    <col min="3" max="3" width="11" customWidth="1"/>
    <col min="5" max="5" width="10.5546875" bestFit="1" customWidth="1"/>
    <col min="6" max="6" width="10" bestFit="1" customWidth="1"/>
    <col min="7" max="7" width="12.109375" customWidth="1"/>
    <col min="10" max="10" width="10" bestFit="1" customWidth="1"/>
  </cols>
  <sheetData>
    <row r="2" spans="3:9" ht="18" x14ac:dyDescent="0.35">
      <c r="C2" s="35" t="s">
        <v>8</v>
      </c>
    </row>
    <row r="5" spans="3:9" x14ac:dyDescent="0.3">
      <c r="C5" s="1" t="s">
        <v>186</v>
      </c>
    </row>
    <row r="7" spans="3:9" x14ac:dyDescent="0.3">
      <c r="C7" t="s">
        <v>187</v>
      </c>
      <c r="D7" t="s">
        <v>188</v>
      </c>
      <c r="E7" t="s">
        <v>83</v>
      </c>
      <c r="F7" t="s">
        <v>189</v>
      </c>
      <c r="H7" t="s">
        <v>190</v>
      </c>
    </row>
    <row r="8" spans="3:9" x14ac:dyDescent="0.3">
      <c r="C8" t="s">
        <v>191</v>
      </c>
      <c r="D8">
        <v>85.1</v>
      </c>
      <c r="E8">
        <v>400</v>
      </c>
      <c r="F8" s="12">
        <v>7413</v>
      </c>
      <c r="H8" t="s">
        <v>192</v>
      </c>
      <c r="I8" t="s">
        <v>108</v>
      </c>
    </row>
    <row r="9" spans="3:9" x14ac:dyDescent="0.3">
      <c r="C9" t="s">
        <v>191</v>
      </c>
      <c r="D9">
        <v>85.1</v>
      </c>
      <c r="E9">
        <v>650</v>
      </c>
      <c r="F9" s="12">
        <v>10679</v>
      </c>
      <c r="H9">
        <v>102</v>
      </c>
      <c r="I9">
        <v>1650</v>
      </c>
    </row>
    <row r="10" spans="3:9" x14ac:dyDescent="0.3">
      <c r="C10" t="s">
        <v>191</v>
      </c>
      <c r="D10">
        <v>85.1</v>
      </c>
      <c r="E10">
        <v>910</v>
      </c>
      <c r="F10" s="12">
        <v>13720</v>
      </c>
      <c r="H10">
        <v>122</v>
      </c>
      <c r="I10">
        <v>2150</v>
      </c>
    </row>
    <row r="11" spans="3:9" x14ac:dyDescent="0.3">
      <c r="C11" t="s">
        <v>191</v>
      </c>
      <c r="D11">
        <v>85.1</v>
      </c>
      <c r="E11">
        <v>1040</v>
      </c>
      <c r="F11" s="12">
        <v>15005</v>
      </c>
      <c r="H11">
        <v>163</v>
      </c>
      <c r="I11">
        <v>2375</v>
      </c>
    </row>
    <row r="12" spans="3:9" x14ac:dyDescent="0.3">
      <c r="C12" t="s">
        <v>191</v>
      </c>
      <c r="D12">
        <v>85.1</v>
      </c>
      <c r="E12">
        <v>1170</v>
      </c>
      <c r="F12" s="12">
        <v>16622</v>
      </c>
      <c r="H12">
        <v>203</v>
      </c>
      <c r="I12">
        <v>2375</v>
      </c>
    </row>
    <row r="13" spans="3:9" x14ac:dyDescent="0.3">
      <c r="C13" t="s">
        <v>191</v>
      </c>
      <c r="D13">
        <v>85.1</v>
      </c>
      <c r="E13">
        <v>1300</v>
      </c>
      <c r="F13" s="12">
        <v>17967</v>
      </c>
      <c r="H13">
        <v>240</v>
      </c>
      <c r="I13">
        <v>2525</v>
      </c>
    </row>
    <row r="14" spans="3:9" x14ac:dyDescent="0.3">
      <c r="C14" t="s">
        <v>193</v>
      </c>
      <c r="E14">
        <v>495</v>
      </c>
      <c r="F14" s="7">
        <v>6661</v>
      </c>
      <c r="H14">
        <v>280</v>
      </c>
      <c r="I14">
        <v>2675</v>
      </c>
    </row>
    <row r="15" spans="3:9" x14ac:dyDescent="0.3">
      <c r="C15" t="s">
        <v>194</v>
      </c>
      <c r="D15">
        <v>82</v>
      </c>
      <c r="E15">
        <v>315</v>
      </c>
      <c r="F15" s="12">
        <v>4266</v>
      </c>
      <c r="H15">
        <v>320</v>
      </c>
      <c r="I15">
        <v>3050</v>
      </c>
    </row>
    <row r="16" spans="3:9" x14ac:dyDescent="0.3">
      <c r="C16" t="s">
        <v>194</v>
      </c>
      <c r="E16">
        <v>360</v>
      </c>
      <c r="F16" s="12">
        <v>4455</v>
      </c>
      <c r="H16">
        <v>360</v>
      </c>
      <c r="I16">
        <v>3425</v>
      </c>
    </row>
    <row r="17" spans="3:11" x14ac:dyDescent="0.3">
      <c r="C17" t="s">
        <v>194</v>
      </c>
      <c r="E17">
        <v>399</v>
      </c>
      <c r="F17" s="12">
        <v>4893</v>
      </c>
      <c r="H17">
        <v>400</v>
      </c>
      <c r="I17">
        <v>3800</v>
      </c>
    </row>
    <row r="18" spans="3:11" x14ac:dyDescent="0.3">
      <c r="C18" t="s">
        <v>194</v>
      </c>
      <c r="E18">
        <v>500</v>
      </c>
      <c r="F18" s="7">
        <v>6427</v>
      </c>
      <c r="H18">
        <v>440</v>
      </c>
      <c r="I18">
        <v>4175</v>
      </c>
    </row>
    <row r="19" spans="3:11" x14ac:dyDescent="0.3">
      <c r="C19" t="s">
        <v>195</v>
      </c>
      <c r="D19">
        <v>85</v>
      </c>
      <c r="E19">
        <v>500</v>
      </c>
      <c r="F19" s="12">
        <v>13121</v>
      </c>
      <c r="H19">
        <v>544</v>
      </c>
      <c r="I19">
        <v>4800</v>
      </c>
    </row>
    <row r="20" spans="3:11" x14ac:dyDescent="0.3">
      <c r="C20" t="s">
        <v>195</v>
      </c>
      <c r="D20">
        <v>85</v>
      </c>
      <c r="E20">
        <v>750</v>
      </c>
      <c r="F20" s="12">
        <v>14700</v>
      </c>
      <c r="H20">
        <v>765</v>
      </c>
      <c r="I20">
        <v>4975</v>
      </c>
    </row>
    <row r="21" spans="3:11" x14ac:dyDescent="0.3">
      <c r="C21" t="s">
        <v>195</v>
      </c>
      <c r="D21">
        <v>85</v>
      </c>
      <c r="E21">
        <v>1250</v>
      </c>
      <c r="F21" s="12">
        <v>15456</v>
      </c>
      <c r="H21">
        <v>892</v>
      </c>
      <c r="I21">
        <v>5650</v>
      </c>
    </row>
    <row r="26" spans="3:11" x14ac:dyDescent="0.3">
      <c r="C26" s="38" t="s">
        <v>196</v>
      </c>
      <c r="D26" s="37"/>
      <c r="E26" s="37"/>
      <c r="F26" s="37"/>
      <c r="G26" s="37"/>
      <c r="H26" s="10"/>
      <c r="I26" t="s">
        <v>197</v>
      </c>
    </row>
    <row r="27" spans="3:11" x14ac:dyDescent="0.3">
      <c r="C27" s="3"/>
      <c r="H27" s="4"/>
    </row>
    <row r="28" spans="3:11" x14ac:dyDescent="0.3">
      <c r="C28" s="39" t="s">
        <v>198</v>
      </c>
      <c r="H28" s="4"/>
    </row>
    <row r="29" spans="3:11" x14ac:dyDescent="0.3">
      <c r="C29" s="3"/>
      <c r="H29" s="4"/>
    </row>
    <row r="30" spans="3:11" x14ac:dyDescent="0.3">
      <c r="C30" s="3" t="s">
        <v>199</v>
      </c>
      <c r="D30">
        <v>200</v>
      </c>
      <c r="E30" t="s">
        <v>200</v>
      </c>
      <c r="G30" t="s">
        <v>201</v>
      </c>
      <c r="H30" s="4"/>
      <c r="I30" t="s">
        <v>199</v>
      </c>
      <c r="J30">
        <f>200*12</f>
        <v>2400</v>
      </c>
    </row>
    <row r="31" spans="3:11" x14ac:dyDescent="0.3">
      <c r="C31" s="3" t="s">
        <v>202</v>
      </c>
      <c r="D31">
        <f>D30*12000/(500*10)</f>
        <v>480</v>
      </c>
      <c r="E31" t="s">
        <v>203</v>
      </c>
      <c r="G31" t="s">
        <v>204</v>
      </c>
      <c r="H31" s="4"/>
      <c r="J31">
        <f>J30*1000/(500*30)</f>
        <v>160</v>
      </c>
      <c r="K31" t="s">
        <v>203</v>
      </c>
    </row>
    <row r="32" spans="3:11" x14ac:dyDescent="0.3">
      <c r="C32" s="3" t="s">
        <v>205</v>
      </c>
      <c r="D32">
        <v>19</v>
      </c>
      <c r="E32" t="s">
        <v>206</v>
      </c>
      <c r="F32" t="s">
        <v>207</v>
      </c>
      <c r="G32" t="s">
        <v>208</v>
      </c>
      <c r="H32" s="4"/>
      <c r="J32">
        <v>19</v>
      </c>
      <c r="K32" t="s">
        <v>206</v>
      </c>
    </row>
    <row r="33" spans="3:11" x14ac:dyDescent="0.3">
      <c r="C33" s="3" t="s">
        <v>209</v>
      </c>
      <c r="D33">
        <f>D31*19</f>
        <v>9120</v>
      </c>
      <c r="E33" t="s">
        <v>206</v>
      </c>
      <c r="G33" t="s">
        <v>210</v>
      </c>
      <c r="H33" s="4"/>
      <c r="J33">
        <f>J31*19</f>
        <v>3040</v>
      </c>
      <c r="K33" t="s">
        <v>206</v>
      </c>
    </row>
    <row r="34" spans="3:11" x14ac:dyDescent="0.3">
      <c r="C34" s="3" t="s">
        <v>211</v>
      </c>
      <c r="D34" s="9">
        <f>D33*0.9/746</f>
        <v>11.002680965147453</v>
      </c>
      <c r="H34" s="4"/>
      <c r="J34" s="9">
        <f>J33*0.9/746</f>
        <v>3.6675603217158175</v>
      </c>
    </row>
    <row r="35" spans="3:11" x14ac:dyDescent="0.3">
      <c r="C35" s="5" t="s">
        <v>212</v>
      </c>
      <c r="D35" s="41">
        <f>D34/D30</f>
        <v>5.5013404825737265E-2</v>
      </c>
      <c r="E35" s="2"/>
      <c r="F35" s="2"/>
      <c r="G35" s="2"/>
      <c r="H35" s="6"/>
      <c r="J35" s="40">
        <f>J34/J30</f>
        <v>1.5281501340482573E-3</v>
      </c>
      <c r="K35" s="2" t="s">
        <v>213</v>
      </c>
    </row>
    <row r="38" spans="3:11" x14ac:dyDescent="0.3">
      <c r="C38" t="s">
        <v>214</v>
      </c>
    </row>
    <row r="41" spans="3:11" x14ac:dyDescent="0.3">
      <c r="E41" t="s">
        <v>215</v>
      </c>
      <c r="F41" t="s">
        <v>216</v>
      </c>
    </row>
    <row r="42" spans="3:11" x14ac:dyDescent="0.3">
      <c r="C42" t="s">
        <v>217</v>
      </c>
      <c r="D42" s="8">
        <v>232123135040</v>
      </c>
      <c r="E42">
        <v>8625</v>
      </c>
      <c r="F42" s="12">
        <v>10125</v>
      </c>
      <c r="G42">
        <v>2</v>
      </c>
      <c r="H42" s="12">
        <v>10125</v>
      </c>
    </row>
    <row r="43" spans="3:11" x14ac:dyDescent="0.3">
      <c r="C43" t="s">
        <v>218</v>
      </c>
      <c r="E43">
        <v>8525</v>
      </c>
      <c r="F43" s="12">
        <v>10125</v>
      </c>
      <c r="G43">
        <v>3</v>
      </c>
      <c r="H43" s="12">
        <v>10125</v>
      </c>
    </row>
    <row r="44" spans="3:11" x14ac:dyDescent="0.3">
      <c r="C44" t="s">
        <v>219</v>
      </c>
      <c r="E44">
        <v>12400</v>
      </c>
      <c r="F44" s="12">
        <v>14635</v>
      </c>
      <c r="G44">
        <v>5</v>
      </c>
      <c r="H44" s="12">
        <v>14635</v>
      </c>
    </row>
    <row r="45" spans="3:11" x14ac:dyDescent="0.3">
      <c r="C45" t="s">
        <v>220</v>
      </c>
      <c r="E45">
        <v>12000</v>
      </c>
      <c r="F45" s="12">
        <v>14200</v>
      </c>
      <c r="G45">
        <v>7.5</v>
      </c>
      <c r="H45" s="12">
        <v>14200</v>
      </c>
    </row>
    <row r="46" spans="3:11" x14ac:dyDescent="0.3">
      <c r="C46" t="s">
        <v>221</v>
      </c>
      <c r="E46">
        <v>15200</v>
      </c>
      <c r="F46" s="12">
        <v>18150</v>
      </c>
      <c r="G46">
        <v>10</v>
      </c>
      <c r="H46" s="12">
        <v>18150</v>
      </c>
    </row>
    <row r="47" spans="3:11" x14ac:dyDescent="0.3">
      <c r="C47" t="s">
        <v>222</v>
      </c>
      <c r="E47">
        <v>16300</v>
      </c>
      <c r="F47" s="12">
        <v>19350</v>
      </c>
      <c r="G47">
        <v>15</v>
      </c>
      <c r="H47" s="12">
        <v>19350</v>
      </c>
    </row>
  </sheetData>
  <pageMargins left="0.7" right="0.7" top="0.75" bottom="0.75" header="0.3" footer="0.3"/>
  <pageSetup orientation="portrait" horizontalDpi="90" verticalDpi="9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3DAF00-1029-4924-9455-2C3266CCB88F}">
  <dimension ref="B2:R31"/>
  <sheetViews>
    <sheetView zoomScale="85" zoomScaleNormal="85" workbookViewId="0">
      <selection activeCell="B3" sqref="B3"/>
    </sheetView>
  </sheetViews>
  <sheetFormatPr defaultRowHeight="14.4" x14ac:dyDescent="0.3"/>
  <cols>
    <col min="2" max="2" width="30.6640625" customWidth="1"/>
    <col min="3" max="3" width="10.109375" bestFit="1" customWidth="1"/>
  </cols>
  <sheetData>
    <row r="2" spans="2:5" ht="18" x14ac:dyDescent="0.35">
      <c r="B2" s="35" t="s">
        <v>223</v>
      </c>
      <c r="E2" t="s">
        <v>224</v>
      </c>
    </row>
    <row r="4" spans="2:5" x14ac:dyDescent="0.3">
      <c r="B4" s="1" t="s">
        <v>225</v>
      </c>
    </row>
    <row r="5" spans="2:5" x14ac:dyDescent="0.3">
      <c r="C5" t="s">
        <v>226</v>
      </c>
    </row>
    <row r="6" spans="2:5" x14ac:dyDescent="0.3">
      <c r="B6" t="s">
        <v>227</v>
      </c>
      <c r="C6" s="11">
        <v>0.1</v>
      </c>
      <c r="D6" t="s">
        <v>228</v>
      </c>
    </row>
    <row r="7" spans="2:5" x14ac:dyDescent="0.3">
      <c r="B7" t="s">
        <v>229</v>
      </c>
      <c r="C7" s="7">
        <v>114</v>
      </c>
      <c r="D7" t="s">
        <v>230</v>
      </c>
    </row>
    <row r="8" spans="2:5" x14ac:dyDescent="0.3">
      <c r="C8" s="7"/>
    </row>
    <row r="9" spans="2:5" x14ac:dyDescent="0.3">
      <c r="B9" s="1" t="s">
        <v>231</v>
      </c>
      <c r="C9" s="7"/>
    </row>
    <row r="10" spans="2:5" x14ac:dyDescent="0.3">
      <c r="B10" t="s">
        <v>232</v>
      </c>
      <c r="C10" s="7">
        <v>15535</v>
      </c>
      <c r="D10" t="s">
        <v>233</v>
      </c>
      <c r="E10" t="s">
        <v>234</v>
      </c>
    </row>
    <row r="11" spans="2:5" x14ac:dyDescent="0.3">
      <c r="B11" t="s">
        <v>232</v>
      </c>
      <c r="C11" s="7">
        <v>3330</v>
      </c>
      <c r="D11" t="s">
        <v>233</v>
      </c>
      <c r="E11" t="s">
        <v>235</v>
      </c>
    </row>
    <row r="12" spans="2:5" x14ac:dyDescent="0.3">
      <c r="B12" t="s">
        <v>236</v>
      </c>
      <c r="C12" s="7">
        <v>1309</v>
      </c>
      <c r="D12" t="s">
        <v>233</v>
      </c>
      <c r="E12" t="s">
        <v>236</v>
      </c>
    </row>
    <row r="13" spans="2:5" x14ac:dyDescent="0.3">
      <c r="B13" t="s">
        <v>237</v>
      </c>
      <c r="C13" s="7">
        <f>1184+250</f>
        <v>1434</v>
      </c>
      <c r="D13" t="s">
        <v>238</v>
      </c>
      <c r="E13" t="s">
        <v>239</v>
      </c>
    </row>
    <row r="14" spans="2:5" x14ac:dyDescent="0.3">
      <c r="C14" s="7"/>
    </row>
    <row r="15" spans="2:5" x14ac:dyDescent="0.3">
      <c r="C15" s="7"/>
    </row>
    <row r="16" spans="2:5" x14ac:dyDescent="0.3">
      <c r="B16" t="s">
        <v>240</v>
      </c>
    </row>
    <row r="18" spans="2:18" x14ac:dyDescent="0.3">
      <c r="C18" t="s">
        <v>67</v>
      </c>
      <c r="D18" t="s">
        <v>68</v>
      </c>
      <c r="E18" t="s">
        <v>69</v>
      </c>
      <c r="F18" t="s">
        <v>70</v>
      </c>
      <c r="G18" t="s">
        <v>71</v>
      </c>
      <c r="H18" t="s">
        <v>72</v>
      </c>
      <c r="I18" t="s">
        <v>73</v>
      </c>
      <c r="J18" t="s">
        <v>74</v>
      </c>
      <c r="K18" t="s">
        <v>75</v>
      </c>
      <c r="L18" t="s">
        <v>76</v>
      </c>
      <c r="M18" t="s">
        <v>77</v>
      </c>
      <c r="N18" t="s">
        <v>78</v>
      </c>
      <c r="O18" t="s">
        <v>79</v>
      </c>
      <c r="P18" t="s">
        <v>80</v>
      </c>
      <c r="Q18" t="s">
        <v>81</v>
      </c>
      <c r="R18" t="s">
        <v>82</v>
      </c>
    </row>
    <row r="19" spans="2:18" x14ac:dyDescent="0.3">
      <c r="B19" t="s">
        <v>241</v>
      </c>
      <c r="C19" s="7">
        <f>$C$10</f>
        <v>15535</v>
      </c>
      <c r="D19" s="7">
        <f t="shared" ref="D19:R19" si="0">$C$10</f>
        <v>15535</v>
      </c>
      <c r="E19" s="7">
        <f t="shared" si="0"/>
        <v>15535</v>
      </c>
      <c r="F19" s="7">
        <f t="shared" si="0"/>
        <v>15535</v>
      </c>
      <c r="G19" s="7">
        <f t="shared" si="0"/>
        <v>15535</v>
      </c>
      <c r="H19" s="7">
        <v>1567</v>
      </c>
      <c r="I19" s="7">
        <v>1863</v>
      </c>
      <c r="J19" s="7">
        <v>1863</v>
      </c>
      <c r="K19" s="7">
        <v>1567</v>
      </c>
      <c r="L19" s="7">
        <v>1567</v>
      </c>
      <c r="M19" s="7">
        <f t="shared" si="0"/>
        <v>15535</v>
      </c>
      <c r="N19" s="7">
        <f>J19</f>
        <v>1863</v>
      </c>
      <c r="O19" s="7">
        <f t="shared" si="0"/>
        <v>15535</v>
      </c>
      <c r="P19" s="7">
        <f>K19</f>
        <v>1567</v>
      </c>
      <c r="Q19" s="7">
        <f t="shared" si="0"/>
        <v>15535</v>
      </c>
      <c r="R19" s="7">
        <f t="shared" si="0"/>
        <v>15535</v>
      </c>
    </row>
    <row r="20" spans="2:18" x14ac:dyDescent="0.3">
      <c r="B20" t="s">
        <v>236</v>
      </c>
      <c r="C20" s="7">
        <f>$C$12</f>
        <v>1309</v>
      </c>
      <c r="D20" s="7">
        <f t="shared" ref="D20:R20" si="1">$C$12</f>
        <v>1309</v>
      </c>
      <c r="E20" s="7">
        <f t="shared" si="1"/>
        <v>1309</v>
      </c>
      <c r="F20" s="7">
        <f t="shared" si="1"/>
        <v>1309</v>
      </c>
      <c r="G20" s="7">
        <f t="shared" si="1"/>
        <v>1309</v>
      </c>
      <c r="H20" s="7">
        <f t="shared" si="1"/>
        <v>1309</v>
      </c>
      <c r="I20" s="7">
        <f t="shared" si="1"/>
        <v>1309</v>
      </c>
      <c r="J20" s="7">
        <f t="shared" si="1"/>
        <v>1309</v>
      </c>
      <c r="K20" s="7">
        <f t="shared" si="1"/>
        <v>1309</v>
      </c>
      <c r="L20" s="7">
        <f t="shared" si="1"/>
        <v>1309</v>
      </c>
      <c r="M20" s="7">
        <f t="shared" si="1"/>
        <v>1309</v>
      </c>
      <c r="N20" s="7">
        <f t="shared" si="1"/>
        <v>1309</v>
      </c>
      <c r="O20" s="7">
        <f t="shared" si="1"/>
        <v>1309</v>
      </c>
      <c r="P20" s="7">
        <f t="shared" si="1"/>
        <v>1309</v>
      </c>
      <c r="Q20" s="7">
        <f t="shared" si="1"/>
        <v>1309</v>
      </c>
      <c r="R20" s="7">
        <f t="shared" si="1"/>
        <v>1309</v>
      </c>
    </row>
    <row r="21" spans="2:18" x14ac:dyDescent="0.3">
      <c r="B21" t="s">
        <v>242</v>
      </c>
      <c r="C21" s="7">
        <f>$C$13*3</f>
        <v>4302</v>
      </c>
      <c r="D21" s="7">
        <f t="shared" ref="D21:R21" si="2">$C$13*3</f>
        <v>4302</v>
      </c>
      <c r="E21" s="7">
        <f t="shared" si="2"/>
        <v>4302</v>
      </c>
      <c r="F21" s="7">
        <f t="shared" si="2"/>
        <v>4302</v>
      </c>
      <c r="G21" s="7">
        <f t="shared" si="2"/>
        <v>4302</v>
      </c>
      <c r="H21" s="7">
        <f t="shared" si="2"/>
        <v>4302</v>
      </c>
      <c r="I21" s="7">
        <f t="shared" si="2"/>
        <v>4302</v>
      </c>
      <c r="J21" s="7">
        <f t="shared" si="2"/>
        <v>4302</v>
      </c>
      <c r="K21" s="7">
        <f t="shared" si="2"/>
        <v>4302</v>
      </c>
      <c r="L21" s="7">
        <f t="shared" si="2"/>
        <v>4302</v>
      </c>
      <c r="M21" s="7">
        <f t="shared" si="2"/>
        <v>4302</v>
      </c>
      <c r="N21" s="7">
        <f t="shared" si="2"/>
        <v>4302</v>
      </c>
      <c r="O21" s="7">
        <f t="shared" si="2"/>
        <v>4302</v>
      </c>
      <c r="P21" s="7">
        <f t="shared" si="2"/>
        <v>4302</v>
      </c>
      <c r="Q21" s="7">
        <f t="shared" si="2"/>
        <v>4302</v>
      </c>
      <c r="R21" s="7">
        <f t="shared" si="2"/>
        <v>4302</v>
      </c>
    </row>
    <row r="22" spans="2:18" x14ac:dyDescent="0.3">
      <c r="B22" t="s">
        <v>243</v>
      </c>
      <c r="C22" s="7">
        <v>2000</v>
      </c>
      <c r="D22" s="7">
        <v>2000</v>
      </c>
      <c r="E22" s="7">
        <v>2000</v>
      </c>
      <c r="F22" s="7">
        <v>2000</v>
      </c>
      <c r="G22" s="7">
        <v>2000</v>
      </c>
      <c r="H22" s="7">
        <v>2000</v>
      </c>
      <c r="I22" s="7">
        <v>2000</v>
      </c>
      <c r="J22" s="7">
        <v>2000</v>
      </c>
      <c r="K22" s="7">
        <v>2000</v>
      </c>
      <c r="L22" s="7">
        <v>2000</v>
      </c>
      <c r="M22" s="7">
        <v>2000</v>
      </c>
      <c r="N22" s="7">
        <v>2000</v>
      </c>
      <c r="O22" s="7">
        <v>2000</v>
      </c>
      <c r="P22" s="7">
        <v>2000</v>
      </c>
      <c r="Q22" s="7">
        <v>2000</v>
      </c>
      <c r="R22" s="7">
        <v>2000</v>
      </c>
    </row>
    <row r="24" spans="2:18" x14ac:dyDescent="0.3">
      <c r="B24" t="s">
        <v>244</v>
      </c>
      <c r="C24" s="7">
        <f t="shared" ref="C24:R24" si="3">SUM(C19,C20:C22)</f>
        <v>23146</v>
      </c>
      <c r="D24" s="7">
        <f t="shared" si="3"/>
        <v>23146</v>
      </c>
      <c r="E24" s="7">
        <f t="shared" si="3"/>
        <v>23146</v>
      </c>
      <c r="F24" s="7">
        <f t="shared" si="3"/>
        <v>23146</v>
      </c>
      <c r="G24" s="7">
        <f t="shared" si="3"/>
        <v>23146</v>
      </c>
      <c r="H24" s="7">
        <f t="shared" si="3"/>
        <v>9178</v>
      </c>
      <c r="I24" s="7">
        <f t="shared" si="3"/>
        <v>9474</v>
      </c>
      <c r="J24" s="7">
        <f t="shared" si="3"/>
        <v>9474</v>
      </c>
      <c r="K24" s="7">
        <f t="shared" si="3"/>
        <v>9178</v>
      </c>
      <c r="L24" s="7">
        <f t="shared" si="3"/>
        <v>9178</v>
      </c>
      <c r="M24" s="7">
        <f t="shared" si="3"/>
        <v>23146</v>
      </c>
      <c r="N24" s="7">
        <f t="shared" si="3"/>
        <v>9474</v>
      </c>
      <c r="O24" s="7">
        <f t="shared" si="3"/>
        <v>23146</v>
      </c>
      <c r="P24" s="7">
        <f t="shared" si="3"/>
        <v>9178</v>
      </c>
      <c r="Q24" s="7">
        <f t="shared" si="3"/>
        <v>23146</v>
      </c>
      <c r="R24" s="7">
        <f t="shared" si="3"/>
        <v>23146</v>
      </c>
    </row>
    <row r="25" spans="2:18" x14ac:dyDescent="0.3">
      <c r="B25" t="s">
        <v>245</v>
      </c>
      <c r="C25" s="85">
        <f>C24/'Proto Costing'!$C$4</f>
        <v>0.43160289401059149</v>
      </c>
      <c r="D25" s="85">
        <f>D24/'Proto Costing'!$C$4</f>
        <v>0.43160289401059149</v>
      </c>
      <c r="E25" s="85">
        <f>E24/'Proto Costing'!$C$4</f>
        <v>0.43160289401059149</v>
      </c>
      <c r="F25" s="85">
        <f>F24/'Proto Costing'!$C$4</f>
        <v>0.43160289401059149</v>
      </c>
      <c r="G25" s="85">
        <f>G24/'Proto Costing'!$C$4</f>
        <v>0.43160289401059149</v>
      </c>
      <c r="H25" s="85">
        <f>H24/'Proto Costing'!$C$4</f>
        <v>0.17114194077720593</v>
      </c>
      <c r="I25" s="85">
        <f>I24/'Proto Costing'!$C$4</f>
        <v>0.17666144551353771</v>
      </c>
      <c r="J25" s="85">
        <f>J24/'Proto Costing'!$C$4</f>
        <v>0.17666144551353771</v>
      </c>
      <c r="K25" s="85">
        <f>K24/'Proto Costing'!$C$4</f>
        <v>0.17114194077720593</v>
      </c>
      <c r="L25" s="85">
        <f>L24/'Proto Costing'!$C$4</f>
        <v>0.17114194077720593</v>
      </c>
      <c r="M25" s="85">
        <f>M24/'Proto Costing'!$C$4</f>
        <v>0.43160289401059149</v>
      </c>
      <c r="N25" s="85">
        <f>N24/'Proto Costing'!$C$4</f>
        <v>0.17666144551353771</v>
      </c>
      <c r="O25" s="85">
        <f>O24/'Proto Costing'!$C$4</f>
        <v>0.43160289401059149</v>
      </c>
      <c r="P25" s="85">
        <f>P24/'Proto Costing'!$C$4</f>
        <v>0.17114194077720593</v>
      </c>
      <c r="Q25" s="85">
        <f>Q24/'Proto Costing'!$C$4</f>
        <v>0.43160289401059149</v>
      </c>
      <c r="R25" s="85">
        <f>R24/'Proto Costing'!$C$4</f>
        <v>0.43160289401059149</v>
      </c>
    </row>
    <row r="28" spans="2:18" x14ac:dyDescent="0.3">
      <c r="B28" t="s">
        <v>246</v>
      </c>
    </row>
    <row r="29" spans="2:18" x14ac:dyDescent="0.3">
      <c r="B29" t="s">
        <v>247</v>
      </c>
    </row>
    <row r="30" spans="2:18" x14ac:dyDescent="0.3">
      <c r="B30" t="s">
        <v>248</v>
      </c>
    </row>
    <row r="31" spans="2:18" x14ac:dyDescent="0.3">
      <c r="B31" t="s">
        <v>249</v>
      </c>
    </row>
  </sheetData>
  <pageMargins left="0.7" right="0.7" top="0.75" bottom="0.75" header="0.3" footer="0.3"/>
  <pageSetup orientation="portrait" horizontalDpi="90" verticalDpi="9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2c6690ed-c63b-442b-aa0a-5f8632841f94">
      <Terms xmlns="http://schemas.microsoft.com/office/infopath/2007/PartnerControls"/>
    </lcf76f155ced4ddcb4097134ff3c332f>
    <_ip_UnifiedCompliancePolicyProperties xmlns="http://schemas.microsoft.com/sharepoint/v3" xsi:nil="true"/>
    <TaxCatchAll xmlns="2141874a-7344-4690-a1b7-db667561c32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D55D9BF9F340A44B9C1B3B80CF6A570" ma:contentTypeVersion="15" ma:contentTypeDescription="Create a new document." ma:contentTypeScope="" ma:versionID="097c68108786b07a29ab33c4b4709fb9">
  <xsd:schema xmlns:xsd="http://www.w3.org/2001/XMLSchema" xmlns:xs="http://www.w3.org/2001/XMLSchema" xmlns:p="http://schemas.microsoft.com/office/2006/metadata/properties" xmlns:ns1="http://schemas.microsoft.com/sharepoint/v3" xmlns:ns2="2141874a-7344-4690-a1b7-db667561c324" xmlns:ns3="2c6690ed-c63b-442b-aa0a-5f8632841f94" targetNamespace="http://schemas.microsoft.com/office/2006/metadata/properties" ma:root="true" ma:fieldsID="fad789ee356f49e247512b6ef95e82ba" ns1:_="" ns2:_="" ns3:_="">
    <xsd:import namespace="http://schemas.microsoft.com/sharepoint/v3"/>
    <xsd:import namespace="2141874a-7344-4690-a1b7-db667561c324"/>
    <xsd:import namespace="2c6690ed-c63b-442b-aa0a-5f8632841f9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1:_ip_UnifiedCompliancePolicyProperties" minOccurs="0"/>
                <xsd:element ref="ns1:_ip_UnifiedCompliancePolicyUIAction" minOccurs="0"/>
                <xsd:element ref="ns3:MediaServiceObjectDetectorVersion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SearchProperties"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2" nillable="true" ma:displayName="Unified Compliance Policy Properties" ma:hidden="true" ma:internalName="_ip_UnifiedCompliancePolicyProperties">
      <xsd:simpleType>
        <xsd:restriction base="dms:Note"/>
      </xsd:simpleType>
    </xsd:element>
    <xsd:element name="_ip_UnifiedCompliancePolicyUIAction" ma:index="1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141874a-7344-4690-a1b7-db667561c32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7" nillable="true" ma:displayName="Taxonomy Catch All Column" ma:hidden="true" ma:list="{6bc7b69d-03b2-46b3-a234-15193299610e}" ma:internalName="TaxCatchAll" ma:showField="CatchAllData" ma:web="2141874a-7344-4690-a1b7-db667561c32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c6690ed-c63b-442b-aa0a-5f8632841f9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6c3282b9-7e5c-4006-bd6f-6aea32a4344e"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DateTaken" ma:index="22"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E107CEE-6C73-4FCF-8255-8ABAB0A8DF5E}">
  <ds:schemaRefs>
    <ds:schemaRef ds:uri="http://schemas.microsoft.com/sharepoint/v3/contenttype/forms"/>
  </ds:schemaRefs>
</ds:datastoreItem>
</file>

<file path=customXml/itemProps2.xml><?xml version="1.0" encoding="utf-8"?>
<ds:datastoreItem xmlns:ds="http://schemas.openxmlformats.org/officeDocument/2006/customXml" ds:itemID="{8D091217-0D74-41A8-BEAB-C49208E20C24}">
  <ds:schemaRefs>
    <ds:schemaRef ds:uri="http://schemas.microsoft.com/office/2006/metadata/properties"/>
    <ds:schemaRef ds:uri="http://schemas.microsoft.com/office/infopath/2007/PartnerControls"/>
    <ds:schemaRef ds:uri="http://schemas.microsoft.com/sharepoint/v3"/>
    <ds:schemaRef ds:uri="2c6690ed-c63b-442b-aa0a-5f8632841f94"/>
    <ds:schemaRef ds:uri="2141874a-7344-4690-a1b7-db667561c324"/>
  </ds:schemaRefs>
</ds:datastoreItem>
</file>

<file path=customXml/itemProps3.xml><?xml version="1.0" encoding="utf-8"?>
<ds:datastoreItem xmlns:ds="http://schemas.openxmlformats.org/officeDocument/2006/customXml" ds:itemID="{D256EB0C-0704-46B6-8383-AB75EC2D5D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141874a-7344-4690-a1b7-db667561c324"/>
    <ds:schemaRef ds:uri="2c6690ed-c63b-442b-aa0a-5f8632841f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Index</vt:lpstr>
      <vt:lpstr>Final Results</vt:lpstr>
      <vt:lpstr>Proto Costing</vt:lpstr>
      <vt:lpstr>Airside Component Costs</vt:lpstr>
      <vt:lpstr>Plant Equipment Costs</vt:lpstr>
      <vt:lpstr>AGIC</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John A NORESCO</dc:creator>
  <cp:keywords/>
  <dc:description/>
  <cp:lastModifiedBy>Tsan, Bach@Energy</cp:lastModifiedBy>
  <cp:revision/>
  <dcterms:created xsi:type="dcterms:W3CDTF">2022-10-25T17:00:52Z</dcterms:created>
  <dcterms:modified xsi:type="dcterms:W3CDTF">2024-09-03T22:34:58Z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7864bb8-b671-4bed-ba85-9478127ab5e9_Enabled">
    <vt:lpwstr>true</vt:lpwstr>
  </property>
  <property fmtid="{D5CDD505-2E9C-101B-9397-08002B2CF9AE}" pid="3" name="MSIP_Label_b7864bb8-b671-4bed-ba85-9478127ab5e9_SetDate">
    <vt:lpwstr>2024-07-23T20:55:47Z</vt:lpwstr>
  </property>
  <property fmtid="{D5CDD505-2E9C-101B-9397-08002B2CF9AE}" pid="4" name="MSIP_Label_b7864bb8-b671-4bed-ba85-9478127ab5e9_Method">
    <vt:lpwstr>Standard</vt:lpwstr>
  </property>
  <property fmtid="{D5CDD505-2E9C-101B-9397-08002B2CF9AE}" pid="5" name="MSIP_Label_b7864bb8-b671-4bed-ba85-9478127ab5e9_Name">
    <vt:lpwstr>Confidential – 2023</vt:lpwstr>
  </property>
  <property fmtid="{D5CDD505-2E9C-101B-9397-08002B2CF9AE}" pid="6" name="MSIP_Label_b7864bb8-b671-4bed-ba85-9478127ab5e9_SiteId">
    <vt:lpwstr>36839a65-7f3f-4bac-9ea4-f571f10a9a03</vt:lpwstr>
  </property>
  <property fmtid="{D5CDD505-2E9C-101B-9397-08002B2CF9AE}" pid="7" name="MSIP_Label_b7864bb8-b671-4bed-ba85-9478127ab5e9_ActionId">
    <vt:lpwstr>7ab551d2-26cb-4153-b81b-afe997a036c7</vt:lpwstr>
  </property>
  <property fmtid="{D5CDD505-2E9C-101B-9397-08002B2CF9AE}" pid="8" name="MSIP_Label_b7864bb8-b671-4bed-ba85-9478127ab5e9_ContentBits">
    <vt:lpwstr>0</vt:lpwstr>
  </property>
  <property fmtid="{D5CDD505-2E9C-101B-9397-08002B2CF9AE}" pid="9" name="ContentTypeId">
    <vt:lpwstr>0x0101008D55D9BF9F340A44B9C1B3B80CF6A570</vt:lpwstr>
  </property>
  <property fmtid="{D5CDD505-2E9C-101B-9397-08002B2CF9AE}" pid="10" name="MediaServiceImageTags">
    <vt:lpwstr/>
  </property>
</Properties>
</file>