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ragon\Desktop\New folder\"/>
    </mc:Choice>
  </mc:AlternateContent>
  <bookViews>
    <workbookView xWindow="-15" yWindow="6450" windowWidth="18300" windowHeight="6105" tabRatio="936" activeTab="1"/>
  </bookViews>
  <sheets>
    <sheet name="Cover sheet" sheetId="48" r:id="rId1"/>
    <sheet name="1a-Operational RE" sheetId="69" r:id="rId2"/>
    <sheet name="1b. InStateRPSCOD by 12-31-15" sheetId="40" r:id="rId3"/>
    <sheet name="1b.2. InState COD by 2015 &lt;1" sheetId="74" r:id="rId4"/>
    <sheet name="1d.InState RPS COD 2016" sheetId="61" r:id="rId5"/>
    <sheet name="1x. OOS RPS REC Only12-31-2015" sheetId="77" r:id="rId6"/>
    <sheet name="Sheet2" sheetId="76" state="hidden" r:id="rId7"/>
    <sheet name="1c. In State Small Hydro" sheetId="55" r:id="rId8"/>
    <sheet name="Sheet1" sheetId="66" state="hidden" r:id="rId9"/>
    <sheet name="1e.OOS RPS COD 12-31-15" sheetId="31" r:id="rId10"/>
    <sheet name="1f.OOS RPS COD 2016" sheetId="41" r:id="rId11"/>
    <sheet name="1ff.OOS RPS COD 2017" sheetId="81" r:id="rId12"/>
    <sheet name="1d.InState RPS COD 2017" sheetId="80" r:id="rId13"/>
    <sheet name="1g. Expiring OOS Contracts" sheetId="62" r:id="rId14"/>
    <sheet name="2016 Removed" sheetId="75" r:id="rId15"/>
  </sheets>
  <externalReferences>
    <externalReference r:id="rId16"/>
    <externalReference r:id="rId17"/>
  </externalReferences>
  <definedNames>
    <definedName name="__IntlFixup" hidden="1">TRUE</definedName>
    <definedName name="_xlnm._FilterDatabase" localSheetId="2" hidden="1">'1b. InStateRPSCOD by 12-31-15'!$A$2:$V$614</definedName>
    <definedName name="_xlnm._FilterDatabase" localSheetId="3" hidden="1">'1b.2. InState COD by 2015 &lt;1'!$A$2:$IT$120</definedName>
    <definedName name="_xlnm._FilterDatabase" localSheetId="7" hidden="1">'1c. In State Small Hydro'!$A$2:$AQ$275</definedName>
    <definedName name="_xlnm._FilterDatabase" localSheetId="4" hidden="1">'1d.InState RPS COD 2016'!$A$2:$Q$66</definedName>
    <definedName name="_xlnm._FilterDatabase" localSheetId="12" hidden="1">'1d.InState RPS COD 2017'!$A$2:$Q$70</definedName>
    <definedName name="_xlnm._FilterDatabase" localSheetId="9" hidden="1">'1e.OOS RPS COD 12-31-15'!$A$2:$U$102</definedName>
    <definedName name="_xlnm._FilterDatabase" localSheetId="10" hidden="1">'1f.OOS RPS COD 2016'!$A$2:$L$2</definedName>
    <definedName name="_xlnm._FilterDatabase" localSheetId="11" hidden="1">'1ff.OOS RPS COD 2017'!$A$2:$L$2</definedName>
    <definedName name="_xlnm._FilterDatabase" localSheetId="5" hidden="1">'1x. OOS RPS REC Only12-31-2015'!$A$2:$N$932</definedName>
    <definedName name="_xlnm._FilterDatabase" localSheetId="6" hidden="1">Sheet2!#REF!</definedName>
    <definedName name="_Order1" hidden="1">255</definedName>
    <definedName name="_Order2" hidden="1">255</definedName>
    <definedName name="ab" localSheetId="1" hidden="1">[1]MASTER!#REF!</definedName>
    <definedName name="ab" localSheetId="3" hidden="1">[1]MASTER!#REF!</definedName>
    <definedName name="ab" localSheetId="12" hidden="1">[1]MASTER!#REF!</definedName>
    <definedName name="ab" localSheetId="11" hidden="1">[1]MASTER!#REF!</definedName>
    <definedName name="ab" localSheetId="5" hidden="1">[1]MASTER!#REF!</definedName>
    <definedName name="ab" hidden="1">[1]MASTER!#REF!</definedName>
    <definedName name="AccessDatabase" hidden="1">"C:\My Documents\MAUI MALL1.mdb"</definedName>
    <definedName name="ACwvu.CapersView." localSheetId="1" hidden="1">[1]MASTER!#REF!</definedName>
    <definedName name="ACwvu.CapersView." localSheetId="2" hidden="1">[1]MASTER!#REF!</definedName>
    <definedName name="ACwvu.CapersView." localSheetId="3" hidden="1">[1]MASTER!#REF!</definedName>
    <definedName name="ACwvu.CapersView." localSheetId="7" hidden="1">[1]MASTER!#REF!</definedName>
    <definedName name="ACwvu.CapersView." localSheetId="4" hidden="1">[1]MASTER!#REF!</definedName>
    <definedName name="ACwvu.CapersView." localSheetId="12" hidden="1">[1]MASTER!#REF!</definedName>
    <definedName name="ACwvu.CapersView." localSheetId="9" hidden="1">[1]MASTER!#REF!</definedName>
    <definedName name="ACwvu.CapersView." localSheetId="10" hidden="1">[1]MASTER!#REF!</definedName>
    <definedName name="ACwvu.CapersView." localSheetId="11" hidden="1">[1]MASTER!#REF!</definedName>
    <definedName name="ACwvu.CapersView." localSheetId="5" hidden="1">[1]MASTER!#REF!</definedName>
    <definedName name="ACwvu.CapersView." hidden="1">[1]MASTER!#REF!</definedName>
    <definedName name="ACwvu.Japan_Capers_Ed_Pub." hidden="1">'[2]THREE VARIABLES'!$N$1:$V$165</definedName>
    <definedName name="ACwvu.KJP_CC." hidden="1">'[2]THREE VARIABLES'!$N$4:$U$165</definedName>
    <definedName name="B" localSheetId="1" hidden="1">{"'PRODUCTIONCOST SHEET'!$B$3:$G$48"}</definedName>
    <definedName name="B" localSheetId="2" hidden="1">{"'PRODUCTIONCOST SHEET'!$B$3:$G$48"}</definedName>
    <definedName name="B" localSheetId="3" hidden="1">{"'PRODUCTIONCOST SHEET'!$B$3:$G$48"}</definedName>
    <definedName name="B" localSheetId="7" hidden="1">{"'PRODUCTIONCOST SHEET'!$B$3:$G$48"}</definedName>
    <definedName name="B" localSheetId="4" hidden="1">{"'PRODUCTIONCOST SHEET'!$B$3:$G$48"}</definedName>
    <definedName name="B" localSheetId="12" hidden="1">{"'PRODUCTIONCOST SHEET'!$B$3:$G$48"}</definedName>
    <definedName name="B" localSheetId="5" hidden="1">{"'PRODUCTIONCOST SHEET'!$B$3:$G$48"}</definedName>
    <definedName name="B" hidden="1">{"'PRODUCTIONCOST SHEET'!$B$3:$G$48"}</definedName>
    <definedName name="Cwvu.CapersView." localSheetId="1" hidden="1">[1]MASTER!#REF!</definedName>
    <definedName name="Cwvu.CapersView." localSheetId="2" hidden="1">[1]MASTER!#REF!</definedName>
    <definedName name="Cwvu.CapersView." localSheetId="3" hidden="1">[1]MASTER!#REF!</definedName>
    <definedName name="Cwvu.CapersView." localSheetId="7" hidden="1">[1]MASTER!#REF!</definedName>
    <definedName name="Cwvu.CapersView." localSheetId="4" hidden="1">[1]MASTER!#REF!</definedName>
    <definedName name="Cwvu.CapersView." localSheetId="12" hidden="1">[1]MASTER!#REF!</definedName>
    <definedName name="Cwvu.CapersView." localSheetId="9" hidden="1">[1]MASTER!#REF!</definedName>
    <definedName name="Cwvu.CapersView." localSheetId="10" hidden="1">[1]MASTER!#REF!</definedName>
    <definedName name="Cwvu.CapersView." localSheetId="11" hidden="1">[1]MASTER!#REF!</definedName>
    <definedName name="Cwvu.CapersView." localSheetId="5" hidden="1">[1]MASTER!#REF!</definedName>
    <definedName name="Cwvu.CapersView." hidden="1">[1]MASTER!#REF!</definedName>
    <definedName name="Cwvu.Japan_Capers_Ed_Pub." localSheetId="1" hidden="1">[1]MASTER!#REF!</definedName>
    <definedName name="Cwvu.Japan_Capers_Ed_Pub." localSheetId="2" hidden="1">[1]MASTER!#REF!</definedName>
    <definedName name="Cwvu.Japan_Capers_Ed_Pub." localSheetId="3" hidden="1">[1]MASTER!#REF!</definedName>
    <definedName name="Cwvu.Japan_Capers_Ed_Pub." localSheetId="7" hidden="1">[1]MASTER!#REF!</definedName>
    <definedName name="Cwvu.Japan_Capers_Ed_Pub." localSheetId="4" hidden="1">[1]MASTER!#REF!</definedName>
    <definedName name="Cwvu.Japan_Capers_Ed_Pub." localSheetId="12" hidden="1">[1]MASTER!#REF!</definedName>
    <definedName name="Cwvu.Japan_Capers_Ed_Pub." localSheetId="9" hidden="1">[1]MASTER!#REF!</definedName>
    <definedName name="Cwvu.Japan_Capers_Ed_Pub." localSheetId="10" hidden="1">[1]MASTER!#REF!</definedName>
    <definedName name="Cwvu.Japan_Capers_Ed_Pub." localSheetId="11" hidden="1">[1]MASTER!#REF!</definedName>
    <definedName name="Cwvu.Japan_Capers_Ed_Pub." localSheetId="5" hidden="1">[1]MASTER!#REF!</definedName>
    <definedName name="Cwvu.Japan_Capers_Ed_Pub." hidden="1">[1]MASTER!#REF!</definedName>
    <definedName name="Cwvu.KJP_CC." localSheetId="1" hidden="1">[1]MASTER!#REF!,[1]MASTER!#REF!,[1]MASTER!#REF!,[1]MASTER!#REF!,[1]MASTER!#REF!,[1]MASTER!#REF!,[1]MASTER!#REF!,[1]MASTER!#REF!,[1]MASTER!#REF!,[1]MASTER!#REF!,[1]MASTER!#REF!,[1]MASTER!#REF!,[1]MASTER!#REF!,[1]MASTER!#REF!,[1]MASTER!#REF!,[1]MASTER!#REF!,[1]MASTER!#REF!,[1]MASTER!#REF!,[1]MASTER!#REF!,[1]MASTER!#REF!</definedName>
    <definedName name="Cwvu.KJP_CC." localSheetId="2" hidden="1">[1]MASTER!#REF!,[1]MASTER!#REF!,[1]MASTER!#REF!,[1]MASTER!#REF!,[1]MASTER!#REF!,[1]MASTER!#REF!,[1]MASTER!#REF!,[1]MASTER!#REF!,[1]MASTER!#REF!,[1]MASTER!#REF!,[1]MASTER!#REF!,[1]MASTER!#REF!,[1]MASTER!#REF!,[1]MASTER!#REF!,[1]MASTER!#REF!,[1]MASTER!#REF!,[1]MASTER!#REF!,[1]MASTER!#REF!,[1]MASTER!#REF!,[1]MASTER!#REF!</definedName>
    <definedName name="Cwvu.KJP_CC." localSheetId="3" hidden="1">[1]MASTER!#REF!,[1]MASTER!#REF!,[1]MASTER!#REF!,[1]MASTER!#REF!,[1]MASTER!#REF!,[1]MASTER!#REF!,[1]MASTER!#REF!,[1]MASTER!#REF!,[1]MASTER!#REF!,[1]MASTER!#REF!,[1]MASTER!#REF!,[1]MASTER!#REF!,[1]MASTER!#REF!,[1]MASTER!#REF!,[1]MASTER!#REF!,[1]MASTER!#REF!,[1]MASTER!#REF!,[1]MASTER!#REF!,[1]MASTER!#REF!,[1]MASTER!#REF!</definedName>
    <definedName name="Cwvu.KJP_CC." localSheetId="7" hidden="1">[1]MASTER!#REF!,[1]MASTER!#REF!,[1]MASTER!#REF!,[1]MASTER!#REF!,[1]MASTER!#REF!,[1]MASTER!#REF!,[1]MASTER!#REF!,[1]MASTER!#REF!,[1]MASTER!#REF!,[1]MASTER!#REF!,[1]MASTER!#REF!,[1]MASTER!#REF!,[1]MASTER!#REF!,[1]MASTER!#REF!,[1]MASTER!#REF!,[1]MASTER!#REF!,[1]MASTER!#REF!,[1]MASTER!#REF!,[1]MASTER!#REF!,[1]MASTER!#REF!</definedName>
    <definedName name="Cwvu.KJP_CC." localSheetId="4" hidden="1">[1]MASTER!#REF!,[1]MASTER!#REF!,[1]MASTER!#REF!,[1]MASTER!#REF!,[1]MASTER!#REF!,[1]MASTER!#REF!,[1]MASTER!#REF!,[1]MASTER!#REF!,[1]MASTER!#REF!,[1]MASTER!#REF!,[1]MASTER!#REF!,[1]MASTER!#REF!,[1]MASTER!#REF!,[1]MASTER!#REF!,[1]MASTER!#REF!,[1]MASTER!#REF!,[1]MASTER!#REF!,[1]MASTER!#REF!,[1]MASTER!#REF!,[1]MASTER!#REF!</definedName>
    <definedName name="Cwvu.KJP_CC." localSheetId="12" hidden="1">[1]MASTER!#REF!,[1]MASTER!#REF!,[1]MASTER!#REF!,[1]MASTER!#REF!,[1]MASTER!#REF!,[1]MASTER!#REF!,[1]MASTER!#REF!,[1]MASTER!#REF!,[1]MASTER!#REF!,[1]MASTER!#REF!,[1]MASTER!#REF!,[1]MASTER!#REF!,[1]MASTER!#REF!,[1]MASTER!#REF!,[1]MASTER!#REF!,[1]MASTER!#REF!,[1]MASTER!#REF!,[1]MASTER!#REF!,[1]MASTER!#REF!,[1]MASTER!#REF!</definedName>
    <definedName name="Cwvu.KJP_CC." localSheetId="9" hidden="1">[1]MASTER!#REF!,[1]MASTER!#REF!,[1]MASTER!#REF!,[1]MASTER!#REF!,[1]MASTER!#REF!,[1]MASTER!#REF!,[1]MASTER!#REF!,[1]MASTER!#REF!,[1]MASTER!#REF!,[1]MASTER!#REF!,[1]MASTER!#REF!,[1]MASTER!#REF!,[1]MASTER!#REF!,[1]MASTER!#REF!,[1]MASTER!#REF!,[1]MASTER!#REF!,[1]MASTER!#REF!,[1]MASTER!#REF!,[1]MASTER!#REF!,[1]MASTER!#REF!</definedName>
    <definedName name="Cwvu.KJP_CC." localSheetId="10" hidden="1">[1]MASTER!#REF!,[1]MASTER!#REF!,[1]MASTER!#REF!,[1]MASTER!#REF!,[1]MASTER!#REF!,[1]MASTER!#REF!,[1]MASTER!#REF!,[1]MASTER!#REF!,[1]MASTER!#REF!,[1]MASTER!#REF!,[1]MASTER!#REF!,[1]MASTER!#REF!,[1]MASTER!#REF!,[1]MASTER!#REF!,[1]MASTER!#REF!,[1]MASTER!#REF!,[1]MASTER!#REF!,[1]MASTER!#REF!,[1]MASTER!#REF!,[1]MASTER!#REF!</definedName>
    <definedName name="Cwvu.KJP_CC." localSheetId="11" hidden="1">[1]MASTER!#REF!,[1]MASTER!#REF!,[1]MASTER!#REF!,[1]MASTER!#REF!,[1]MASTER!#REF!,[1]MASTER!#REF!,[1]MASTER!#REF!,[1]MASTER!#REF!,[1]MASTER!#REF!,[1]MASTER!#REF!,[1]MASTER!#REF!,[1]MASTER!#REF!,[1]MASTER!#REF!,[1]MASTER!#REF!,[1]MASTER!#REF!,[1]MASTER!#REF!,[1]MASTER!#REF!,[1]MASTER!#REF!,[1]MASTER!#REF!,[1]MASTER!#REF!</definedName>
    <definedName name="Cwvu.KJP_CC." localSheetId="5" hidden="1">[1]MASTER!#REF!,[1]MASTER!#REF!,[1]MASTER!#REF!,[1]MASTER!#REF!,[1]MASTER!#REF!,[1]MASTER!#REF!,[1]MASTER!#REF!,[1]MASTER!#REF!,[1]MASTER!#REF!,[1]MASTER!#REF!,[1]MASTER!#REF!,[1]MASTER!#REF!,[1]MASTER!#REF!,[1]MASTER!#REF!,[1]MASTER!#REF!,[1]MASTER!#REF!,[1]MASTER!#REF!,[1]MASTER!#REF!,[1]MASTER!#REF!,[1]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localSheetId="1" hidden="1">{#N/A,#N/A,FALSE,"DI 2 YEAR MASTER SCHEDULE"}</definedName>
    <definedName name="D" localSheetId="2" hidden="1">{#N/A,#N/A,FALSE,"DI 2 YEAR MASTER SCHEDULE"}</definedName>
    <definedName name="D" localSheetId="3" hidden="1">{#N/A,#N/A,FALSE,"DI 2 YEAR MASTER SCHEDULE"}</definedName>
    <definedName name="D" localSheetId="7" hidden="1">{#N/A,#N/A,FALSE,"DI 2 YEAR MASTER SCHEDULE"}</definedName>
    <definedName name="D" localSheetId="4" hidden="1">{#N/A,#N/A,FALSE,"DI 2 YEAR MASTER SCHEDULE"}</definedName>
    <definedName name="D" localSheetId="12" hidden="1">{#N/A,#N/A,FALSE,"DI 2 YEAR MASTER SCHEDULE"}</definedName>
    <definedName name="D" localSheetId="5" hidden="1">{#N/A,#N/A,FALSE,"DI 2 YEAR MASTER SCHEDULE"}</definedName>
    <definedName name="D" hidden="1">{#N/A,#N/A,FALSE,"DI 2 YEAR MASTER SCHEDULE"}</definedName>
    <definedName name="E" localSheetId="1" hidden="1">{#N/A,#N/A,FALSE,"DI 2 YEAR MASTER SCHEDULE"}</definedName>
    <definedName name="E" localSheetId="2" hidden="1">{#N/A,#N/A,FALSE,"DI 2 YEAR MASTER SCHEDULE"}</definedName>
    <definedName name="E" localSheetId="3" hidden="1">{#N/A,#N/A,FALSE,"DI 2 YEAR MASTER SCHEDULE"}</definedName>
    <definedName name="E" localSheetId="7" hidden="1">{#N/A,#N/A,FALSE,"DI 2 YEAR MASTER SCHEDULE"}</definedName>
    <definedName name="E" localSheetId="4" hidden="1">{#N/A,#N/A,FALSE,"DI 2 YEAR MASTER SCHEDULE"}</definedName>
    <definedName name="E" localSheetId="12" hidden="1">{#N/A,#N/A,FALSE,"DI 2 YEAR MASTER SCHEDULE"}</definedName>
    <definedName name="E" localSheetId="5" hidden="1">{#N/A,#N/A,FALSE,"DI 2 YEAR MASTER SCHEDULE"}</definedName>
    <definedName name="E" hidden="1">{#N/A,#N/A,FALSE,"DI 2 YEAR MASTER SCHEDULE"}</definedName>
    <definedName name="F" localSheetId="1" hidden="1">{"Japan_Capers_Ed_Pub",#N/A,FALSE,"DI 2 YEAR MASTER SCHEDULE"}</definedName>
    <definedName name="F" localSheetId="2" hidden="1">{"Japan_Capers_Ed_Pub",#N/A,FALSE,"DI 2 YEAR MASTER SCHEDULE"}</definedName>
    <definedName name="F" localSheetId="3" hidden="1">{"Japan_Capers_Ed_Pub",#N/A,FALSE,"DI 2 YEAR MASTER SCHEDULE"}</definedName>
    <definedName name="F" localSheetId="7" hidden="1">{"Japan_Capers_Ed_Pub",#N/A,FALSE,"DI 2 YEAR MASTER SCHEDULE"}</definedName>
    <definedName name="F" localSheetId="4" hidden="1">{"Japan_Capers_Ed_Pub",#N/A,FALSE,"DI 2 YEAR MASTER SCHEDULE"}</definedName>
    <definedName name="F" localSheetId="12" hidden="1">{"Japan_Capers_Ed_Pub",#N/A,FALSE,"DI 2 YEAR MASTER SCHEDULE"}</definedName>
    <definedName name="F" localSheetId="5" hidden="1">{"Japan_Capers_Ed_Pub",#N/A,FALSE,"DI 2 YEAR MASTER SCHEDULE"}</definedName>
    <definedName name="F" hidden="1">{"Japan_Capers_Ed_Pub",#N/A,FALSE,"DI 2 YEAR MASTER SCHEDULE"}</definedName>
    <definedName name="G" localSheetId="1" hidden="1">{#N/A,#N/A,FALSE,"DI 2 YEAR MASTER SCHEDULE"}</definedName>
    <definedName name="G" localSheetId="2" hidden="1">{#N/A,#N/A,FALSE,"DI 2 YEAR MASTER SCHEDULE"}</definedName>
    <definedName name="G" localSheetId="3" hidden="1">{#N/A,#N/A,FALSE,"DI 2 YEAR MASTER SCHEDULE"}</definedName>
    <definedName name="G" localSheetId="7" hidden="1">{#N/A,#N/A,FALSE,"DI 2 YEAR MASTER SCHEDULE"}</definedName>
    <definedName name="G" localSheetId="4" hidden="1">{#N/A,#N/A,FALSE,"DI 2 YEAR MASTER SCHEDULE"}</definedName>
    <definedName name="G" localSheetId="12" hidden="1">{#N/A,#N/A,FALSE,"DI 2 YEAR MASTER SCHEDULE"}</definedName>
    <definedName name="G" localSheetId="5" hidden="1">{#N/A,#N/A,FALSE,"DI 2 YEAR MASTER SCHEDULE"}</definedName>
    <definedName name="G" hidden="1">{#N/A,#N/A,FALSE,"DI 2 YEAR MASTER SCHEDULE"}</definedName>
    <definedName name="H" localSheetId="1" hidden="1">{#N/A,#N/A,FALSE,"PRJCTED MNTHLY QTY's"}</definedName>
    <definedName name="H" localSheetId="2" hidden="1">{#N/A,#N/A,FALSE,"PRJCTED MNTHLY QTY's"}</definedName>
    <definedName name="H" localSheetId="3" hidden="1">{#N/A,#N/A,FALSE,"PRJCTED MNTHLY QTY's"}</definedName>
    <definedName name="H" localSheetId="7" hidden="1">{#N/A,#N/A,FALSE,"PRJCTED MNTHLY QTY's"}</definedName>
    <definedName name="H" localSheetId="4" hidden="1">{#N/A,#N/A,FALSE,"PRJCTED MNTHLY QTY's"}</definedName>
    <definedName name="H" localSheetId="12" hidden="1">{#N/A,#N/A,FALSE,"PRJCTED MNTHLY QTY's"}</definedName>
    <definedName name="H" localSheetId="5" hidden="1">{#N/A,#N/A,FALSE,"PRJCTED MNTHLY QTY's"}</definedName>
    <definedName name="H" hidden="1">{#N/A,#N/A,FALSE,"PRJCTED MNTHLY QTY's"}</definedName>
    <definedName name="HTML_CodePage" hidden="1">1252</definedName>
    <definedName name="HTML_Control" localSheetId="1" hidden="1">{"'PRODUCTIONCOST SHEET'!$B$3:$G$48"}</definedName>
    <definedName name="HTML_Control" localSheetId="2" hidden="1">{"'PRODUCTIONCOST SHEET'!$B$3:$G$48"}</definedName>
    <definedName name="HTML_Control" localSheetId="3" hidden="1">{"'PRODUCTIONCOST SHEET'!$B$3:$G$48"}</definedName>
    <definedName name="HTML_Control" localSheetId="7" hidden="1">{"'PRODUCTIONCOST SHEET'!$B$3:$G$48"}</definedName>
    <definedName name="HTML_Control" localSheetId="4" hidden="1">{"'PRODUCTIONCOST SHEET'!$B$3:$G$48"}</definedName>
    <definedName name="HTML_Control" localSheetId="12" hidden="1">{"'PRODUCTIONCOST SHEET'!$B$3:$G$48"}</definedName>
    <definedName name="HTML_Control" localSheetId="5"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localSheetId="1" hidden="1">{#N/A,#N/A,FALSE,"PRJCTED QTRLY $'s"}</definedName>
    <definedName name="I" localSheetId="2" hidden="1">{#N/A,#N/A,FALSE,"PRJCTED QTRLY $'s"}</definedName>
    <definedName name="I" localSheetId="3" hidden="1">{#N/A,#N/A,FALSE,"PRJCTED QTRLY $'s"}</definedName>
    <definedName name="I" localSheetId="7" hidden="1">{#N/A,#N/A,FALSE,"PRJCTED QTRLY $'s"}</definedName>
    <definedName name="I" localSheetId="4" hidden="1">{#N/A,#N/A,FALSE,"PRJCTED QTRLY $'s"}</definedName>
    <definedName name="I" localSheetId="12" hidden="1">{#N/A,#N/A,FALSE,"PRJCTED QTRLY $'s"}</definedName>
    <definedName name="I" localSheetId="5" hidden="1">{#N/A,#N/A,FALSE,"PRJCTED QTRLY $'s"}</definedName>
    <definedName name="I" hidden="1">{#N/A,#N/A,FALSE,"PRJCTED QTRLY $'s"}</definedName>
    <definedName name="J" localSheetId="1" hidden="1">{#N/A,#N/A,FALSE,"PRJCTED QTRLY QTY's"}</definedName>
    <definedName name="J" localSheetId="2" hidden="1">{#N/A,#N/A,FALSE,"PRJCTED QTRLY QTY's"}</definedName>
    <definedName name="J" localSheetId="3" hidden="1">{#N/A,#N/A,FALSE,"PRJCTED QTRLY QTY's"}</definedName>
    <definedName name="J" localSheetId="7" hidden="1">{#N/A,#N/A,FALSE,"PRJCTED QTRLY QTY's"}</definedName>
    <definedName name="J" localSheetId="4" hidden="1">{#N/A,#N/A,FALSE,"PRJCTED QTRLY QTY's"}</definedName>
    <definedName name="J" localSheetId="12" hidden="1">{#N/A,#N/A,FALSE,"PRJCTED QTRLY QTY's"}</definedName>
    <definedName name="J" localSheetId="5" hidden="1">{#N/A,#N/A,FALSE,"PRJCTED QTRLY QTY's"}</definedName>
    <definedName name="J" hidden="1">{#N/A,#N/A,FALSE,"PRJCTED QTRLY QTY's"}</definedName>
    <definedName name="K" localSheetId="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7"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4"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1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localSheetId="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7"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4"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1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localSheetId="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7"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4"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1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localSheetId="1"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7"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localSheetId="12" hidden="1">{#N/A,#N/A,TRUE,"Section6";#N/A,#N/A,TRUE,"OHcycles";#N/A,#N/A,TRUE,"OHtiming";#N/A,#N/A,TRUE,"OHcosts";#N/A,#N/A,TRUE,"GTdegradation";#N/A,#N/A,TRUE,"GTperformance";#N/A,#N/A,TRUE,"GraphEquip"}</definedName>
    <definedName name="new" localSheetId="5"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Rwvu.CapersView." hidden="1">'[2]THREE VARIABLES'!$A$1:$M$65536</definedName>
    <definedName name="Rwvu.Japan_Capers_Ed_Pub." hidden="1">'[2]THREE VARIABLES'!$A$1:$M$65536</definedName>
    <definedName name="Rwvu.KJP_CC." hidden="1">'[2]THREE VARIABLES'!$A$1:$M$65536</definedName>
    <definedName name="Swvu.CapersView." localSheetId="1" hidden="1">[1]MASTER!#REF!</definedName>
    <definedName name="Swvu.CapersView." localSheetId="2" hidden="1">[1]MASTER!#REF!</definedName>
    <definedName name="Swvu.CapersView." localSheetId="3" hidden="1">[1]MASTER!#REF!</definedName>
    <definedName name="Swvu.CapersView." localSheetId="7" hidden="1">[1]MASTER!#REF!</definedName>
    <definedName name="Swvu.CapersView." localSheetId="4" hidden="1">[1]MASTER!#REF!</definedName>
    <definedName name="Swvu.CapersView." localSheetId="12" hidden="1">[1]MASTER!#REF!</definedName>
    <definedName name="Swvu.CapersView." localSheetId="9" hidden="1">[1]MASTER!#REF!</definedName>
    <definedName name="Swvu.CapersView." localSheetId="10" hidden="1">[1]MASTER!#REF!</definedName>
    <definedName name="Swvu.CapersView." localSheetId="11" hidden="1">[1]MASTER!#REF!</definedName>
    <definedName name="Swvu.CapersView." localSheetId="5" hidden="1">[1]MASTER!#REF!</definedName>
    <definedName name="Swvu.CapersView." hidden="1">[1]MASTER!#REF!</definedName>
    <definedName name="Swvu.Japan_Capers_Ed_Pub." hidden="1">'[2]THREE VARIABLES'!$N$1:$V$165</definedName>
    <definedName name="Swvu.KJP_CC." hidden="1">'[2]THREE VARIABLES'!$N$4:$U$165</definedName>
    <definedName name="wrn.CapersPlotter." localSheetId="1" hidden="1">{#N/A,#N/A,FALSE,"DI 2 YEAR MASTER SCHEDULE"}</definedName>
    <definedName name="wrn.CapersPlotter." localSheetId="2" hidden="1">{#N/A,#N/A,FALSE,"DI 2 YEAR MASTER SCHEDULE"}</definedName>
    <definedName name="wrn.CapersPlotter." localSheetId="3" hidden="1">{#N/A,#N/A,FALSE,"DI 2 YEAR MASTER SCHEDULE"}</definedName>
    <definedName name="wrn.CapersPlotter." localSheetId="7" hidden="1">{#N/A,#N/A,FALSE,"DI 2 YEAR MASTER SCHEDULE"}</definedName>
    <definedName name="wrn.CapersPlotter." localSheetId="4" hidden="1">{#N/A,#N/A,FALSE,"DI 2 YEAR MASTER SCHEDULE"}</definedName>
    <definedName name="wrn.CapersPlotter." localSheetId="12" hidden="1">{#N/A,#N/A,FALSE,"DI 2 YEAR MASTER SCHEDULE"}</definedName>
    <definedName name="wrn.CapersPlotter." localSheetId="5" hidden="1">{#N/A,#N/A,FALSE,"DI 2 YEAR MASTER SCHEDULE"}</definedName>
    <definedName name="wrn.CapersPlotter." hidden="1">{#N/A,#N/A,FALSE,"DI 2 YEAR MASTER SCHEDULE"}</definedName>
    <definedName name="wrn.Cover." localSheetId="1" hidden="1">{#N/A,#N/A,TRUE,"Cover";#N/A,#N/A,TRUE,"Contents"}</definedName>
    <definedName name="wrn.Cover." localSheetId="2" hidden="1">{#N/A,#N/A,TRUE,"Cover";#N/A,#N/A,TRUE,"Contents"}</definedName>
    <definedName name="wrn.Cover." localSheetId="3" hidden="1">{#N/A,#N/A,TRUE,"Cover";#N/A,#N/A,TRUE,"Contents"}</definedName>
    <definedName name="wrn.Cover." localSheetId="7" hidden="1">{#N/A,#N/A,TRUE,"Cover";#N/A,#N/A,TRUE,"Contents"}</definedName>
    <definedName name="wrn.Cover." localSheetId="4" hidden="1">{#N/A,#N/A,TRUE,"Cover";#N/A,#N/A,TRUE,"Contents"}</definedName>
    <definedName name="wrn.Cover." localSheetId="12" hidden="1">{#N/A,#N/A,TRUE,"Cover";#N/A,#N/A,TRUE,"Contents"}</definedName>
    <definedName name="wrn.Cover." localSheetId="5" hidden="1">{#N/A,#N/A,TRUE,"Cover";#N/A,#N/A,TRUE,"Contents"}</definedName>
    <definedName name="wrn.Cover." hidden="1">{#N/A,#N/A,TRUE,"Cover";#N/A,#N/A,TRUE,"Contents"}</definedName>
    <definedName name="wrn.CoverContents." localSheetId="1" hidden="1">{#N/A,#N/A,FALSE,"Cover";#N/A,#N/A,FALSE,"Contents"}</definedName>
    <definedName name="wrn.CoverContents." localSheetId="2" hidden="1">{#N/A,#N/A,FALSE,"Cover";#N/A,#N/A,FALSE,"Contents"}</definedName>
    <definedName name="wrn.CoverContents." localSheetId="3" hidden="1">{#N/A,#N/A,FALSE,"Cover";#N/A,#N/A,FALSE,"Contents"}</definedName>
    <definedName name="wrn.CoverContents." localSheetId="7" hidden="1">{#N/A,#N/A,FALSE,"Cover";#N/A,#N/A,FALSE,"Contents"}</definedName>
    <definedName name="wrn.CoverContents." localSheetId="4" hidden="1">{#N/A,#N/A,FALSE,"Cover";#N/A,#N/A,FALSE,"Contents"}</definedName>
    <definedName name="wrn.CoverContents." localSheetId="12" hidden="1">{#N/A,#N/A,FALSE,"Cover";#N/A,#N/A,FALSE,"Contents"}</definedName>
    <definedName name="wrn.CoverContents." localSheetId="5" hidden="1">{#N/A,#N/A,FALSE,"Cover";#N/A,#N/A,FALSE,"Contents"}</definedName>
    <definedName name="wrn.CoverContents." hidden="1">{#N/A,#N/A,FALSE,"Cover";#N/A,#N/A,FALSE,"Contents"}</definedName>
    <definedName name="wrn.Edutainment._.Priority._.List." localSheetId="1" hidden="1">{#N/A,#N/A,FALSE,"DI 2 YEAR MASTER SCHEDULE"}</definedName>
    <definedName name="wrn.Edutainment._.Priority._.List." localSheetId="2" hidden="1">{#N/A,#N/A,FALSE,"DI 2 YEAR MASTER SCHEDULE"}</definedName>
    <definedName name="wrn.Edutainment._.Priority._.List." localSheetId="3" hidden="1">{#N/A,#N/A,FALSE,"DI 2 YEAR MASTER SCHEDULE"}</definedName>
    <definedName name="wrn.Edutainment._.Priority._.List." localSheetId="7" hidden="1">{#N/A,#N/A,FALSE,"DI 2 YEAR MASTER SCHEDULE"}</definedName>
    <definedName name="wrn.Edutainment._.Priority._.List." localSheetId="4" hidden="1">{#N/A,#N/A,FALSE,"DI 2 YEAR MASTER SCHEDULE"}</definedName>
    <definedName name="wrn.Edutainment._.Priority._.List." localSheetId="12" hidden="1">{#N/A,#N/A,FALSE,"DI 2 YEAR MASTER SCHEDULE"}</definedName>
    <definedName name="wrn.Edutainment._.Priority._.List." localSheetId="5" hidden="1">{#N/A,#N/A,FALSE,"DI 2 YEAR MASTER SCHEDULE"}</definedName>
    <definedName name="wrn.Edutainment._.Priority._.List." hidden="1">{#N/A,#N/A,FALSE,"DI 2 YEAR MASTER SCHEDULE"}</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7"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localSheetId="12" hidden="1">{#N/A,#N/A,TRUE,"EPEsum";#N/A,#N/A,TRUE,"Approve1";#N/A,#N/A,TRUE,"Approve2";#N/A,#N/A,TRUE,"Approve3";#N/A,#N/A,TRUE,"EPE1";#N/A,#N/A,TRUE,"EPE2";#N/A,#N/A,TRUE,"CashCompare";#N/A,#N/A,TRUE,"XIRR";#N/A,#N/A,TRUE,"EPEloan";#N/A,#N/A,TRUE,"GraphEPE";#N/A,#N/A,TRUE,"OrgChart";#N/A,#N/A,TRUE,"SA08B"}</definedName>
    <definedName name="wrn.El._.Paso._.Offshore." localSheetId="5"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localSheetId="1" hidden="1">{"Japan_Capers_Ed_Pub",#N/A,FALSE,"DI 2 YEAR MASTER SCHEDULE"}</definedName>
    <definedName name="wrn.Japan_Capers_Ed._.Pub." localSheetId="2" hidden="1">{"Japan_Capers_Ed_Pub",#N/A,FALSE,"DI 2 YEAR MASTER SCHEDULE"}</definedName>
    <definedName name="wrn.Japan_Capers_Ed._.Pub." localSheetId="3" hidden="1">{"Japan_Capers_Ed_Pub",#N/A,FALSE,"DI 2 YEAR MASTER SCHEDULE"}</definedName>
    <definedName name="wrn.Japan_Capers_Ed._.Pub." localSheetId="7" hidden="1">{"Japan_Capers_Ed_Pub",#N/A,FALSE,"DI 2 YEAR MASTER SCHEDULE"}</definedName>
    <definedName name="wrn.Japan_Capers_Ed._.Pub." localSheetId="4" hidden="1">{"Japan_Capers_Ed_Pub",#N/A,FALSE,"DI 2 YEAR MASTER SCHEDULE"}</definedName>
    <definedName name="wrn.Japan_Capers_Ed._.Pub." localSheetId="12" hidden="1">{"Japan_Capers_Ed_Pub",#N/A,FALSE,"DI 2 YEAR MASTER SCHEDULE"}</definedName>
    <definedName name="wrn.Japan_Capers_Ed._.Pub." localSheetId="5" hidden="1">{"Japan_Capers_Ed_Pub",#N/A,FALSE,"DI 2 YEAR MASTER SCHEDULE"}</definedName>
    <definedName name="wrn.Japan_Capers_Ed._.Pub." hidden="1">{"Japan_Capers_Ed_Pub",#N/A,FALSE,"DI 2 YEAR MASTER SCHEDULE"}</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7"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1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5"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7"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localSheetId="12" hidden="1">{#N/A,#N/A,FALSE,"Cover";#N/A,#N/A,FALSE,"ProjectSelector";#N/A,#N/A,FALSE,"ProjectTable";#N/A,#N/A,FALSE,"SanGorgonio";#N/A,#N/A,FALSE,"Tehachapi";#N/A,#N/A,FALSE,"Results";#N/A,#N/A,FALSE,"ReplaceForecast"}</definedName>
    <definedName name="wrn.PrintOther." localSheetId="5"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ority._.list." localSheetId="1" hidden="1">{#N/A,#N/A,FALSE,"DI 2 YEAR MASTER SCHEDULE"}</definedName>
    <definedName name="wrn.Priority._.list." localSheetId="2" hidden="1">{#N/A,#N/A,FALSE,"DI 2 YEAR MASTER SCHEDULE"}</definedName>
    <definedName name="wrn.Priority._.list." localSheetId="3" hidden="1">{#N/A,#N/A,FALSE,"DI 2 YEAR MASTER SCHEDULE"}</definedName>
    <definedName name="wrn.Priority._.list." localSheetId="7" hidden="1">{#N/A,#N/A,FALSE,"DI 2 YEAR MASTER SCHEDULE"}</definedName>
    <definedName name="wrn.Priority._.list." localSheetId="4" hidden="1">{#N/A,#N/A,FALSE,"DI 2 YEAR MASTER SCHEDULE"}</definedName>
    <definedName name="wrn.Priority._.list." localSheetId="12" hidden="1">{#N/A,#N/A,FALSE,"DI 2 YEAR MASTER SCHEDULE"}</definedName>
    <definedName name="wrn.Priority._.list." localSheetId="5" hidden="1">{#N/A,#N/A,FALSE,"DI 2 YEAR MASTER SCHEDULE"}</definedName>
    <definedName name="wrn.Priority._.list." hidden="1">{#N/A,#N/A,FALSE,"DI 2 YEAR MASTER SCHEDULE"}</definedName>
    <definedName name="wrn.Prjcted._.Mnthly._.Qtys." localSheetId="1" hidden="1">{#N/A,#N/A,FALSE,"PRJCTED MNTHLY QTY's"}</definedName>
    <definedName name="wrn.Prjcted._.Mnthly._.Qtys." localSheetId="2" hidden="1">{#N/A,#N/A,FALSE,"PRJCTED MNTHLY QTY's"}</definedName>
    <definedName name="wrn.Prjcted._.Mnthly._.Qtys." localSheetId="3" hidden="1">{#N/A,#N/A,FALSE,"PRJCTED MNTHLY QTY's"}</definedName>
    <definedName name="wrn.Prjcted._.Mnthly._.Qtys." localSheetId="7" hidden="1">{#N/A,#N/A,FALSE,"PRJCTED MNTHLY QTY's"}</definedName>
    <definedName name="wrn.Prjcted._.Mnthly._.Qtys." localSheetId="4" hidden="1">{#N/A,#N/A,FALSE,"PRJCTED MNTHLY QTY's"}</definedName>
    <definedName name="wrn.Prjcted._.Mnthly._.Qtys." localSheetId="12" hidden="1">{#N/A,#N/A,FALSE,"PRJCTED MNTHLY QTY's"}</definedName>
    <definedName name="wrn.Prjcted._.Mnthly._.Qtys." localSheetId="5" hidden="1">{#N/A,#N/A,FALSE,"PRJCTED MNTHLY QTY's"}</definedName>
    <definedName name="wrn.Prjcted._.Mnthly._.Qtys." hidden="1">{#N/A,#N/A,FALSE,"PRJCTED MNTHLY QTY's"}</definedName>
    <definedName name="wrn.Prjcted._.Qtrly._.Dollars." localSheetId="1" hidden="1">{#N/A,#N/A,FALSE,"PRJCTED QTRLY $'s"}</definedName>
    <definedName name="wrn.Prjcted._.Qtrly._.Dollars." localSheetId="2" hidden="1">{#N/A,#N/A,FALSE,"PRJCTED QTRLY $'s"}</definedName>
    <definedName name="wrn.Prjcted._.Qtrly._.Dollars." localSheetId="3" hidden="1">{#N/A,#N/A,FALSE,"PRJCTED QTRLY $'s"}</definedName>
    <definedName name="wrn.Prjcted._.Qtrly._.Dollars." localSheetId="7" hidden="1">{#N/A,#N/A,FALSE,"PRJCTED QTRLY $'s"}</definedName>
    <definedName name="wrn.Prjcted._.Qtrly._.Dollars." localSheetId="4" hidden="1">{#N/A,#N/A,FALSE,"PRJCTED QTRLY $'s"}</definedName>
    <definedName name="wrn.Prjcted._.Qtrly._.Dollars." localSheetId="12" hidden="1">{#N/A,#N/A,FALSE,"PRJCTED QTRLY $'s"}</definedName>
    <definedName name="wrn.Prjcted._.Qtrly._.Dollars." localSheetId="5" hidden="1">{#N/A,#N/A,FALSE,"PRJCTED QTRLY $'s"}</definedName>
    <definedName name="wrn.Prjcted._.Qtrly._.Dollars." hidden="1">{#N/A,#N/A,FALSE,"PRJCTED QTRLY $'s"}</definedName>
    <definedName name="wrn.Prjcted._.Qtrly._.Qtys." localSheetId="1" hidden="1">{#N/A,#N/A,FALSE,"PRJCTED QTRLY QTY's"}</definedName>
    <definedName name="wrn.Prjcted._.Qtrly._.Qtys." localSheetId="2" hidden="1">{#N/A,#N/A,FALSE,"PRJCTED QTRLY QTY's"}</definedName>
    <definedName name="wrn.Prjcted._.Qtrly._.Qtys." localSheetId="3" hidden="1">{#N/A,#N/A,FALSE,"PRJCTED QTRLY QTY's"}</definedName>
    <definedName name="wrn.Prjcted._.Qtrly._.Qtys." localSheetId="7" hidden="1">{#N/A,#N/A,FALSE,"PRJCTED QTRLY QTY's"}</definedName>
    <definedName name="wrn.Prjcted._.Qtrly._.Qtys." localSheetId="4" hidden="1">{#N/A,#N/A,FALSE,"PRJCTED QTRLY QTY's"}</definedName>
    <definedName name="wrn.Prjcted._.Qtrly._.Qtys." localSheetId="12" hidden="1">{#N/A,#N/A,FALSE,"PRJCTED QTRLY QTY's"}</definedName>
    <definedName name="wrn.Prjcted._.Qtrly._.Qtys." localSheetId="5" hidden="1">{#N/A,#N/A,FALSE,"PRJCTED QTRLY QTY's"}</definedName>
    <definedName name="wrn.Prjcted._.Qtrly._.Qtys." hidden="1">{#N/A,#N/A,FALSE,"PRJCTED QTRLY QTY's"}</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7"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localSheetId="12" hidden="1">{#N/A,#N/A,TRUE,"Section1";"SavingsTop",#N/A,TRUE,"SumSavings";#N/A,#N/A,TRUE,"GraphSum";"SavingsAll",#N/A,TRUE,"SumSavings";#N/A,#N/A,TRUE,"Inputs";#N/A,#N/A,TRUE,"Scenarios";#N/A,#N/A,TRUE,"LineLoss";#N/A,#N/A,TRUE,"Summary";#N/A,#N/A,TRUE,"TermSummary";#N/A,#N/A,TRUE,"NetRates";#N/A,#N/A,TRUE,"PPAtypes"}</definedName>
    <definedName name="wrn.Section1." localSheetId="5"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7"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localSheetId="12" hidden="1">{#N/A,#N/A,TRUE,"Section1";#N/A,#N/A,TRUE,"SumF";#N/A,#N/A,TRUE,"FigExchange";#N/A,#N/A,TRUE,"Escalation";#N/A,#N/A,TRUE,"GraphEscalate";#N/A,#N/A,TRUE,"Scenarios"}</definedName>
    <definedName name="wrn.Section1Summaries." localSheetId="5"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7"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localSheetId="12" hidden="1">{#N/A,#N/A,TRUE,"Section2";#N/A,#N/A,TRUE,"OverPymt";#N/A,#N/A,TRUE,"Energy";#N/A,#N/A,TRUE,"EnergyDiff1";#N/A,#N/A,TRUE,"EnergyDiff2";#N/A,#N/A,TRUE,"CapPerformance";#N/A,#N/A,TRUE,"BonusPerformance";#N/A,#N/A,TRUE,"BonusFormula";#N/A,#N/A,TRUE,"GraphPymt"}</definedName>
    <definedName name="wrn.Section2." localSheetId="5"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7"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localSheetId="12" hidden="1">{#N/A,#N/A,TRUE,"Section2";#N/A,#N/A,TRUE,"TPCestimate";#N/A,#N/A,TRUE,"SumTPC";#N/A,#N/A,TRUE,"ConstrLoan";#N/A,#N/A,TRUE,"FigBalance";#N/A,#N/A,TRUE,"DEV27air";#N/A,#N/A,TRUE,"Graph27air";#N/A,#N/A,TRUE,"PreOp"}</definedName>
    <definedName name="wrn.Section2TotalProjectCost." localSheetId="5"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7"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localSheetId="12" hidden="1">{#N/A,#N/A,TRUE,"Section3";#N/A,#N/A,TRUE,"BaseYear";#N/A,#N/A,TRUE,"GenHistory";#N/A,#N/A,TRUE,"GenGraph";#N/A,#N/A,TRUE,"MonthCompare";#N/A,#N/A,TRUE,"HourHistory";#N/A,#N/A,TRUE,"PayHistory";#N/A,#N/A,TRUE,"PayGraphs";#N/A,#N/A,TRUE,"ReplaceForecast";#N/A,#N/A,TRUE,"PPAforecast";#N/A,#N/A,TRUE,"OLSier"}</definedName>
    <definedName name="wrn.Section3." localSheetId="5"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7"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localSheetId="12" hidden="1">{#N/A,#N/A,TRUE,"Section3";#N/A,#N/A,TRUE,"Tax";#N/A,#N/A,TRUE,"Dividend";#N/A,#N/A,TRUE,"Depreciation";#N/A,#N/A,TRUE,"Balance";#N/A,#N/A,TRUE,"SaleGain";#N/A,#N/A,TRUE,"RevExp";#N/A,#N/A,TRUE,"PIG";#N/A,#N/A,TRUE,"GraphPlant"}</definedName>
    <definedName name="wrn.Section3PowerPlantCompany." localSheetId="5"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7"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localSheetId="12" hidden="1">{#N/A,#N/A,TRUE,"Section4";#N/A,#N/A,TRUE,"Tariffwksht";#N/A,#N/A,TRUE,"TariffINFO";#N/A,#N/A,TRUE,"Generation";#N/A,#N/A,TRUE,"PPAsum";#N/A,#N/A,TRUE,"PPApayments";#N/A,#N/A,TRUE,"RevExp";#N/A,#N/A,TRUE,"GraphRevenue";#N/A,#N/A,TRUE,"GraphRevExp"}</definedName>
    <definedName name="wrn.Section4." localSheetId="5"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7"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localSheetId="12" hidden="1">{#N/A,#N/A,TRUE,"Section4";#N/A,#N/A,TRUE,"PPAtable";#N/A,#N/A,TRUE,"RFPtable";#N/A,#N/A,TRUE,"RevCap";#N/A,#N/A,TRUE,"RevOther";#N/A,#N/A,TRUE,"RevGas";#N/A,#N/A,TRUE,"GraphRev"}</definedName>
    <definedName name="wrn.Section4Revenue." localSheetId="5"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7"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localSheetId="12" hidden="1">{#N/A,#N/A,TRUE,"Section5";#N/A,#N/A,TRUE,"Coal";#N/A,#N/A,TRUE,"Fuel";#N/A,#N/A,TRUE,"OMwksht";#N/A,#N/A,TRUE,"VOM";#N/A,#N/A,TRUE,"FOM";#N/A,#N/A,TRUE,"Debt";#N/A,#N/A,TRUE,"LoanSchedules";#N/A,#N/A,TRUE,"GraphExp";#N/A,#N/A,TRUE,"Conversions"}</definedName>
    <definedName name="wrn.Section5." localSheetId="5"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7"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localSheetId="12" hidden="1">{#N/A,#N/A,TRUE,"Section6";#N/A,#N/A,TRUE,"OHcycles";#N/A,#N/A,TRUE,"OHtiming";#N/A,#N/A,TRUE,"OHcosts";#N/A,#N/A,TRUE,"GTdegradation";#N/A,#N/A,TRUE,"GTperformance";#N/A,#N/A,TRUE,"GraphEquip"}</definedName>
    <definedName name="wrn.Section6Equipment." localSheetId="5"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7" hidden="1">{#N/A,#N/A,TRUE,"Section7";#N/A,#N/A,TRUE,"DebtService";#N/A,#N/A,TRUE,"LoanSchedules";#N/A,#N/A,TRUE,"GraphDebt"}</definedName>
    <definedName name="wrn.Section7DebtService." localSheetId="4" hidden="1">{#N/A,#N/A,TRUE,"Section7";#N/A,#N/A,TRUE,"DebtService";#N/A,#N/A,TRUE,"LoanSchedules";#N/A,#N/A,TRUE,"GraphDebt"}</definedName>
    <definedName name="wrn.Section7DebtService." localSheetId="12" hidden="1">{#N/A,#N/A,TRUE,"Section7";#N/A,#N/A,TRUE,"DebtService";#N/A,#N/A,TRUE,"LoanSchedules";#N/A,#N/A,TRUE,"GraphDebt"}</definedName>
    <definedName name="wrn.Section7DebtService." localSheetId="5" hidden="1">{#N/A,#N/A,TRUE,"Section7";#N/A,#N/A,TRUE,"DebtService";#N/A,#N/A,TRUE,"LoanSchedules";#N/A,#N/A,TRUE,"GraphDebt"}</definedName>
    <definedName name="wrn.Section7DebtService." hidden="1">{#N/A,#N/A,TRUE,"Section7";#N/A,#N/A,TRUE,"DebtService";#N/A,#N/A,TRUE,"LoanSchedules";#N/A,#N/A,TRUE,"GraphDebt"}</definedName>
    <definedName name="wrn.SponsorSection." localSheetId="1"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7"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localSheetId="12" hidden="1">{#N/A,#N/A,TRUE,"Cover";#N/A,#N/A,TRUE,"Contents";#N/A,#N/A,TRUE,"Organization";#N/A,#N/A,TRUE,"SumSponsor";#N/A,#N/A,TRUE,"Plant1";#N/A,#N/A,TRUE,"Plant2";#N/A,#N/A,TRUE,"Sponsors";#N/A,#N/A,TRUE,"ElPaso1";#N/A,#N/A,TRUE,"GraphSponsor"}</definedName>
    <definedName name="wrn.SponsorSection." localSheetId="5"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mary." localSheetId="1" hidden="1">{"Table A",#N/A,FALSE,"Summary";"Table D",#N/A,FALSE,"Summary";"Table E",#N/A,FALSE,"Summary"}</definedName>
    <definedName name="wrn.Summary." localSheetId="2" hidden="1">{"Table A",#N/A,FALSE,"Summary";"Table D",#N/A,FALSE,"Summary";"Table E",#N/A,FALSE,"Summary"}</definedName>
    <definedName name="wrn.Summary." localSheetId="3" hidden="1">{"Table A",#N/A,FALSE,"Summary";"Table D",#N/A,FALSE,"Summary";"Table E",#N/A,FALSE,"Summary"}</definedName>
    <definedName name="wrn.Summary." localSheetId="7" hidden="1">{"Table A",#N/A,FALSE,"Summary";"Table D",#N/A,FALSE,"Summary";"Table E",#N/A,FALSE,"Summary"}</definedName>
    <definedName name="wrn.Summary." localSheetId="4" hidden="1">{"Table A",#N/A,FALSE,"Summary";"Table D",#N/A,FALSE,"Summary";"Table E",#N/A,FALSE,"Summary"}</definedName>
    <definedName name="wrn.Summary." localSheetId="12" hidden="1">{"Table A",#N/A,FALSE,"Summary";"Table D",#N/A,FALSE,"Summary";"Table E",#N/A,FALSE,"Summary"}</definedName>
    <definedName name="wrn.Summary." localSheetId="5" hidden="1">{"Table A",#N/A,FALSE,"Summary";"Table D",#N/A,FALSE,"Summary";"Table E",#N/A,FALSE,"Summary"}</definedName>
    <definedName name="wrn.Summary." hidden="1">{"Table A",#N/A,FALSE,"Summary";"Table D",#N/A,FALSE,"Summary";"Table E",#N/A,FALSE,"Summary"}</definedName>
    <definedName name="wrn.Total._.Summary." localSheetId="1" hidden="1">{"Total Summary",#N/A,FALSE,"Summary"}</definedName>
    <definedName name="wrn.Total._.Summary." localSheetId="2" hidden="1">{"Total Summary",#N/A,FALSE,"Summary"}</definedName>
    <definedName name="wrn.Total._.Summary." localSheetId="3" hidden="1">{"Total Summary",#N/A,FALSE,"Summary"}</definedName>
    <definedName name="wrn.Total._.Summary." localSheetId="7" hidden="1">{"Total Summary",#N/A,FALSE,"Summary"}</definedName>
    <definedName name="wrn.Total._.Summary." localSheetId="4" hidden="1">{"Total Summary",#N/A,FALSE,"Summary"}</definedName>
    <definedName name="wrn.Total._.Summary." localSheetId="12" hidden="1">{"Total Summary",#N/A,FALSE,"Summary"}</definedName>
    <definedName name="wrn.Total._.Summary." localSheetId="5" hidden="1">{"Total Summary",#N/A,FALSE,"Summary"}</definedName>
    <definedName name="wrn.Total._.Summary." hidden="1">{"Total Summary",#N/A,FALSE,"Summary"}</definedName>
    <definedName name="wvu.CapersView." localSheetId="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7"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4"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1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7"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4"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1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7"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4"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1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localSheetId="1" hidden="1">[1]MASTER!#REF!,[1]MASTER!#REF!,[1]MASTER!#REF!,[1]MASTER!#REF!,[1]MASTER!#REF!,[1]MASTER!#REF!,[1]MASTER!#REF!,[1]MASTER!$A$98:$IV$272</definedName>
    <definedName name="Z_9A428CE1_B4D9_11D0_A8AA_0000C071AEE7_.wvu.Rows" localSheetId="2" hidden="1">[1]MASTER!#REF!,[1]MASTER!#REF!,[1]MASTER!#REF!,[1]MASTER!#REF!,[1]MASTER!#REF!,[1]MASTER!#REF!,[1]MASTER!#REF!,[1]MASTER!$A$98:$IV$272</definedName>
    <definedName name="Z_9A428CE1_B4D9_11D0_A8AA_0000C071AEE7_.wvu.Rows" localSheetId="3" hidden="1">[1]MASTER!#REF!,[1]MASTER!#REF!,[1]MASTER!#REF!,[1]MASTER!#REF!,[1]MASTER!#REF!,[1]MASTER!#REF!,[1]MASTER!#REF!,[1]MASTER!$A$98:$IV$272</definedName>
    <definedName name="Z_9A428CE1_B4D9_11D0_A8AA_0000C071AEE7_.wvu.Rows" localSheetId="7" hidden="1">[1]MASTER!#REF!,[1]MASTER!#REF!,[1]MASTER!#REF!,[1]MASTER!#REF!,[1]MASTER!#REF!,[1]MASTER!#REF!,[1]MASTER!#REF!,[1]MASTER!$A$98:$IV$272</definedName>
    <definedName name="Z_9A428CE1_B4D9_11D0_A8AA_0000C071AEE7_.wvu.Rows" localSheetId="4" hidden="1">[1]MASTER!#REF!,[1]MASTER!#REF!,[1]MASTER!#REF!,[1]MASTER!#REF!,[1]MASTER!#REF!,[1]MASTER!#REF!,[1]MASTER!#REF!,[1]MASTER!$A$98:$IV$272</definedName>
    <definedName name="Z_9A428CE1_B4D9_11D0_A8AA_0000C071AEE7_.wvu.Rows" localSheetId="12" hidden="1">[1]MASTER!#REF!,[1]MASTER!#REF!,[1]MASTER!#REF!,[1]MASTER!#REF!,[1]MASTER!#REF!,[1]MASTER!#REF!,[1]MASTER!#REF!,[1]MASTER!$A$98:$IV$272</definedName>
    <definedName name="Z_9A428CE1_B4D9_11D0_A8AA_0000C071AEE7_.wvu.Rows" localSheetId="9" hidden="1">[1]MASTER!#REF!,[1]MASTER!#REF!,[1]MASTER!#REF!,[1]MASTER!#REF!,[1]MASTER!#REF!,[1]MASTER!#REF!,[1]MASTER!#REF!,[1]MASTER!$A$98:$IV$272</definedName>
    <definedName name="Z_9A428CE1_B4D9_11D0_A8AA_0000C071AEE7_.wvu.Rows" localSheetId="10" hidden="1">[1]MASTER!#REF!,[1]MASTER!#REF!,[1]MASTER!#REF!,[1]MASTER!#REF!,[1]MASTER!#REF!,[1]MASTER!#REF!,[1]MASTER!#REF!,[1]MASTER!$A$98:$IV$272</definedName>
    <definedName name="Z_9A428CE1_B4D9_11D0_A8AA_0000C071AEE7_.wvu.Rows" localSheetId="11" hidden="1">[1]MASTER!#REF!,[1]MASTER!#REF!,[1]MASTER!#REF!,[1]MASTER!#REF!,[1]MASTER!#REF!,[1]MASTER!#REF!,[1]MASTER!#REF!,[1]MASTER!$A$98:$IV$272</definedName>
    <definedName name="Z_9A428CE1_B4D9_11D0_A8AA_0000C071AEE7_.wvu.Rows" localSheetId="5" hidden="1">[1]MASTER!#REF!,[1]MASTER!#REF!,[1]MASTER!#REF!,[1]MASTER!#REF!,[1]MASTER!#REF!,[1]MASTER!#REF!,[1]MASTER!#REF!,[1]MASTER!$A$98:$IV$272</definedName>
    <definedName name="Z_9A428CE1_B4D9_11D0_A8AA_0000C071AEE7_.wvu.Rows" hidden="1">[1]MASTER!#REF!,[1]MASTER!#REF!,[1]MASTER!#REF!,[1]MASTER!#REF!,[1]MASTER!#REF!,[1]MASTER!#REF!,[1]MASTER!#REF!,[1]MASTER!$A$98:$IV$272</definedName>
  </definedNames>
  <calcPr calcId="162913" calcMode="manual"/>
</workbook>
</file>

<file path=xl/calcChain.xml><?xml version="1.0" encoding="utf-8"?>
<calcChain xmlns="http://schemas.openxmlformats.org/spreadsheetml/2006/main">
  <c r="M54" i="61" l="1"/>
  <c r="N54" i="61" s="1"/>
  <c r="M53" i="61"/>
  <c r="N53" i="61" s="1"/>
  <c r="M50" i="61"/>
  <c r="N50" i="61" s="1"/>
  <c r="M9" i="80"/>
  <c r="N9" i="80" s="1"/>
  <c r="M19" i="80"/>
  <c r="N19" i="80" s="1"/>
  <c r="M61" i="61"/>
  <c r="N61" i="61" s="1"/>
  <c r="M21" i="61"/>
  <c r="N21" i="61" s="1"/>
  <c r="M52" i="61" l="1"/>
  <c r="N52" i="61" s="1"/>
  <c r="V4" i="55" l="1"/>
  <c r="V5" i="55"/>
  <c r="V6" i="55"/>
  <c r="V7" i="55"/>
  <c r="V8" i="55"/>
  <c r="V9" i="55"/>
  <c r="V10" i="55"/>
  <c r="V11" i="55"/>
  <c r="V12" i="55"/>
  <c r="V13" i="55"/>
  <c r="V14" i="55"/>
  <c r="V15" i="55"/>
  <c r="V16" i="55"/>
  <c r="V17" i="55"/>
  <c r="V18" i="55"/>
  <c r="V19" i="55"/>
  <c r="V20" i="55"/>
  <c r="V21" i="55"/>
  <c r="V22" i="55"/>
  <c r="V23" i="55"/>
  <c r="V24" i="55"/>
  <c r="V25" i="55"/>
  <c r="V26" i="55"/>
  <c r="V27" i="55"/>
  <c r="V28" i="55"/>
  <c r="V29" i="55"/>
  <c r="V30" i="55"/>
  <c r="V32" i="55"/>
  <c r="V33" i="55"/>
  <c r="V34" i="55"/>
  <c r="V35" i="55"/>
  <c r="V36" i="55"/>
  <c r="V37" i="55"/>
  <c r="V38" i="55"/>
  <c r="V39" i="55"/>
  <c r="V40" i="55"/>
  <c r="V41" i="55"/>
  <c r="V42" i="55"/>
  <c r="V43" i="55"/>
  <c r="V44" i="55"/>
  <c r="V45" i="55"/>
  <c r="V46" i="55"/>
  <c r="V47" i="55"/>
  <c r="V48" i="55"/>
  <c r="V49" i="55"/>
  <c r="V50" i="55"/>
  <c r="V51" i="55"/>
  <c r="V52" i="55"/>
  <c r="V53" i="55"/>
  <c r="V54" i="55"/>
  <c r="V55" i="55"/>
  <c r="V56" i="55"/>
  <c r="V57" i="55"/>
  <c r="V58" i="55"/>
  <c r="V59" i="55"/>
  <c r="V60" i="55"/>
  <c r="V61" i="55"/>
  <c r="V62" i="55"/>
  <c r="V63" i="55"/>
  <c r="V64" i="55"/>
  <c r="V65" i="55"/>
  <c r="V66" i="55"/>
  <c r="V67" i="55"/>
  <c r="V68" i="55"/>
  <c r="V69" i="55"/>
  <c r="V70" i="55"/>
  <c r="V71" i="55"/>
  <c r="V72" i="55"/>
  <c r="V73" i="55"/>
  <c r="V74" i="55"/>
  <c r="V75" i="55"/>
  <c r="V76" i="55"/>
  <c r="V77" i="55"/>
  <c r="V78" i="55"/>
  <c r="V80" i="55"/>
  <c r="V81" i="55"/>
  <c r="V82" i="55"/>
  <c r="V83" i="55"/>
  <c r="V84" i="55"/>
  <c r="V85" i="55"/>
  <c r="V86" i="55"/>
  <c r="V87" i="55"/>
  <c r="V88" i="55"/>
  <c r="V89" i="55"/>
  <c r="V90" i="55"/>
  <c r="V91" i="55"/>
  <c r="V92" i="55"/>
  <c r="V93" i="55"/>
  <c r="V94" i="55"/>
  <c r="V95" i="55"/>
  <c r="V96" i="55"/>
  <c r="V97" i="55"/>
  <c r="V98" i="55"/>
  <c r="V99" i="55"/>
  <c r="V100" i="55"/>
  <c r="V101" i="55"/>
  <c r="V102" i="55"/>
  <c r="V103" i="55"/>
  <c r="V104" i="55"/>
  <c r="V105" i="55"/>
  <c r="V106" i="55"/>
  <c r="V107" i="55"/>
  <c r="V108" i="55"/>
  <c r="V109" i="55"/>
  <c r="V110" i="55"/>
  <c r="V111" i="55"/>
  <c r="V112" i="55"/>
  <c r="V113" i="55"/>
  <c r="V114" i="55"/>
  <c r="V115" i="55"/>
  <c r="V116" i="55"/>
  <c r="V117" i="55"/>
  <c r="V118" i="55"/>
  <c r="V119" i="55"/>
  <c r="V120" i="55"/>
  <c r="V121" i="55"/>
  <c r="V122" i="55"/>
  <c r="V123" i="55"/>
  <c r="V124" i="55"/>
  <c r="V125" i="55"/>
  <c r="V126" i="55"/>
  <c r="V127" i="55"/>
  <c r="V128" i="55"/>
  <c r="V129" i="55"/>
  <c r="V130" i="55"/>
  <c r="V131" i="55"/>
  <c r="V132" i="55"/>
  <c r="V133" i="55"/>
  <c r="V134" i="55"/>
  <c r="V135" i="55"/>
  <c r="V136" i="55"/>
  <c r="V137" i="55"/>
  <c r="V138" i="55"/>
  <c r="V139" i="55"/>
  <c r="V140" i="55"/>
  <c r="V141" i="55"/>
  <c r="V142" i="55"/>
  <c r="V143" i="55"/>
  <c r="V144" i="55"/>
  <c r="V145" i="55"/>
  <c r="V146" i="55"/>
  <c r="V147" i="55"/>
  <c r="V148" i="55"/>
  <c r="V149" i="55"/>
  <c r="V150" i="55"/>
  <c r="V151" i="55"/>
  <c r="V152" i="55"/>
  <c r="V153" i="55"/>
  <c r="V154" i="55"/>
  <c r="V155" i="55"/>
  <c r="V156" i="55"/>
  <c r="V157" i="55"/>
  <c r="V158" i="55"/>
  <c r="V159" i="55"/>
  <c r="V160" i="55"/>
  <c r="V161" i="55"/>
  <c r="V162" i="55"/>
  <c r="V163" i="55"/>
  <c r="V164" i="55"/>
  <c r="V165" i="55"/>
  <c r="V166" i="55"/>
  <c r="V167" i="55"/>
  <c r="V168" i="55"/>
  <c r="V169" i="55"/>
  <c r="V170" i="55"/>
  <c r="V171" i="55"/>
  <c r="V172" i="55"/>
  <c r="V173" i="55"/>
  <c r="V174" i="55"/>
  <c r="V175" i="55"/>
  <c r="V176" i="55"/>
  <c r="V177" i="55"/>
  <c r="V178" i="55"/>
  <c r="V179" i="55"/>
  <c r="V180" i="55"/>
  <c r="V181" i="55"/>
  <c r="V182" i="55"/>
  <c r="V183" i="55"/>
  <c r="V184" i="55"/>
  <c r="V185" i="55"/>
  <c r="V186" i="55"/>
  <c r="V187" i="55"/>
  <c r="V188" i="55"/>
  <c r="V189" i="55"/>
  <c r="V190" i="55"/>
  <c r="V191" i="55"/>
  <c r="V192" i="55"/>
  <c r="V193" i="55"/>
  <c r="V194" i="55"/>
  <c r="V195" i="55"/>
  <c r="V196" i="55"/>
  <c r="V197" i="55"/>
  <c r="V198" i="55"/>
  <c r="V199" i="55"/>
  <c r="V200" i="55"/>
  <c r="V201" i="55"/>
  <c r="V202" i="55"/>
  <c r="V203" i="55"/>
  <c r="V204" i="55"/>
  <c r="V205" i="55"/>
  <c r="V206" i="55"/>
  <c r="V207" i="55"/>
  <c r="V208" i="55"/>
  <c r="V209" i="55"/>
  <c r="V210" i="55"/>
  <c r="V211" i="55"/>
  <c r="V212" i="55"/>
  <c r="V213" i="55"/>
  <c r="V214" i="55"/>
  <c r="V215" i="55"/>
  <c r="V216" i="55"/>
  <c r="V217" i="55"/>
  <c r="V218" i="55"/>
  <c r="V219" i="55"/>
  <c r="V220" i="55"/>
  <c r="V221" i="55"/>
  <c r="V222" i="55"/>
  <c r="V223" i="55"/>
  <c r="V224" i="55"/>
  <c r="V225" i="55"/>
  <c r="V226" i="55"/>
  <c r="V227" i="55"/>
  <c r="V228" i="55"/>
  <c r="V229" i="55"/>
  <c r="V230" i="55"/>
  <c r="V231" i="55"/>
  <c r="V232" i="55"/>
  <c r="V233" i="55"/>
  <c r="V234" i="55"/>
  <c r="V235" i="55"/>
  <c r="V236" i="55"/>
  <c r="V237" i="55"/>
  <c r="V238" i="55"/>
  <c r="V239" i="55"/>
  <c r="V240" i="55"/>
  <c r="V241" i="55"/>
  <c r="V242" i="55"/>
  <c r="V243" i="55"/>
  <c r="V244" i="55"/>
  <c r="V245" i="55"/>
  <c r="V246" i="55"/>
  <c r="V247" i="55"/>
  <c r="V248" i="55"/>
  <c r="V249" i="55"/>
  <c r="V250" i="55"/>
  <c r="V251" i="55"/>
  <c r="V252" i="55"/>
  <c r="V253" i="55"/>
  <c r="V254" i="55"/>
  <c r="V255" i="55"/>
  <c r="V256" i="55"/>
  <c r="V257" i="55"/>
  <c r="V258" i="55"/>
  <c r="V259" i="55"/>
  <c r="V260" i="55"/>
  <c r="V261" i="55"/>
  <c r="V262" i="55"/>
  <c r="V263" i="55"/>
  <c r="V264" i="55"/>
  <c r="V265" i="55"/>
  <c r="V266" i="55"/>
  <c r="V267" i="55"/>
  <c r="V268" i="55"/>
  <c r="V269" i="55"/>
  <c r="V270" i="55"/>
  <c r="V271" i="55"/>
  <c r="V272" i="55"/>
  <c r="W38" i="55"/>
  <c r="W39" i="55"/>
  <c r="W40" i="55"/>
  <c r="W41" i="55"/>
  <c r="W42" i="55"/>
  <c r="W43" i="55"/>
  <c r="W44" i="55"/>
  <c r="W45" i="55"/>
  <c r="W46" i="55"/>
  <c r="W47" i="55"/>
  <c r="W48" i="55"/>
  <c r="W49" i="55"/>
  <c r="W50" i="55"/>
  <c r="W51" i="55"/>
  <c r="W52" i="55"/>
  <c r="W53" i="55"/>
  <c r="W54" i="55"/>
  <c r="W55" i="55"/>
  <c r="W56" i="55"/>
  <c r="W57" i="55"/>
  <c r="W58" i="55"/>
  <c r="W59" i="55"/>
  <c r="W60" i="55"/>
  <c r="W61" i="55"/>
  <c r="W63" i="55"/>
  <c r="W64" i="55"/>
  <c r="W65" i="55"/>
  <c r="W66" i="55"/>
  <c r="W67" i="55"/>
  <c r="W68" i="55"/>
  <c r="W69" i="55"/>
  <c r="W70" i="55"/>
  <c r="W71" i="55"/>
  <c r="W72" i="55"/>
  <c r="W73" i="55"/>
  <c r="W74" i="55"/>
  <c r="W75" i="55"/>
  <c r="W76" i="55"/>
  <c r="W77" i="55"/>
  <c r="W78" i="55"/>
  <c r="W80" i="55"/>
  <c r="W81" i="55"/>
  <c r="W82" i="55"/>
  <c r="W83" i="55"/>
  <c r="W84" i="55"/>
  <c r="W85" i="55"/>
  <c r="W86" i="55"/>
  <c r="W87" i="55"/>
  <c r="W88" i="55"/>
  <c r="W89" i="55"/>
  <c r="W90" i="55"/>
  <c r="W91" i="55"/>
  <c r="W92" i="55"/>
  <c r="W93" i="55"/>
  <c r="W94" i="55"/>
  <c r="W95" i="55"/>
  <c r="W96" i="55"/>
  <c r="W97" i="55"/>
  <c r="W98" i="55"/>
  <c r="W99" i="55"/>
  <c r="W100" i="55"/>
  <c r="W101" i="55"/>
  <c r="W102" i="55"/>
  <c r="W103" i="55"/>
  <c r="W104" i="55"/>
  <c r="W105" i="55"/>
  <c r="W106" i="55"/>
  <c r="W107" i="55"/>
  <c r="W108" i="55"/>
  <c r="W109" i="55"/>
  <c r="W110" i="55"/>
  <c r="W111" i="55"/>
  <c r="W112" i="55"/>
  <c r="W113" i="55"/>
  <c r="W114" i="55"/>
  <c r="W115" i="55"/>
  <c r="W116" i="55"/>
  <c r="W117" i="55"/>
  <c r="W118" i="55"/>
  <c r="W119" i="55"/>
  <c r="W120" i="55"/>
  <c r="W121" i="55"/>
  <c r="W122" i="55"/>
  <c r="W123" i="55"/>
  <c r="W124" i="55"/>
  <c r="W125" i="55"/>
  <c r="W126" i="55"/>
  <c r="W127" i="55"/>
  <c r="W128" i="55"/>
  <c r="W129" i="55"/>
  <c r="W130" i="55"/>
  <c r="W131" i="55"/>
  <c r="W132" i="55"/>
  <c r="W133" i="55"/>
  <c r="W134" i="55"/>
  <c r="W135" i="55"/>
  <c r="W136" i="55"/>
  <c r="W137" i="55"/>
  <c r="W138" i="55"/>
  <c r="W139" i="55"/>
  <c r="W140" i="55"/>
  <c r="W141" i="55"/>
  <c r="W142" i="55"/>
  <c r="W143" i="55"/>
  <c r="W144" i="55"/>
  <c r="W145" i="55"/>
  <c r="W146" i="55"/>
  <c r="W147" i="55"/>
  <c r="W148" i="55"/>
  <c r="W149" i="55"/>
  <c r="W150" i="55"/>
  <c r="W151" i="55"/>
  <c r="W152" i="55"/>
  <c r="W153" i="55"/>
  <c r="W155" i="55"/>
  <c r="W156" i="55"/>
  <c r="W157" i="55"/>
  <c r="W158" i="55"/>
  <c r="W159" i="55"/>
  <c r="W160" i="55"/>
  <c r="W161" i="55"/>
  <c r="W162" i="55"/>
  <c r="W163" i="55"/>
  <c r="W164" i="55"/>
  <c r="W165" i="55"/>
  <c r="W166" i="55"/>
  <c r="W167" i="55"/>
  <c r="W168" i="55"/>
  <c r="W169" i="55"/>
  <c r="W170" i="55"/>
  <c r="W171" i="55"/>
  <c r="W172" i="55"/>
  <c r="W173" i="55"/>
  <c r="W174" i="55"/>
  <c r="W175" i="55"/>
  <c r="W176" i="55"/>
  <c r="W177" i="55"/>
  <c r="W178" i="55"/>
  <c r="W179" i="55"/>
  <c r="W180" i="55"/>
  <c r="W181" i="55"/>
  <c r="W182" i="55"/>
  <c r="W183" i="55"/>
  <c r="W184" i="55"/>
  <c r="W185" i="55"/>
  <c r="W186" i="55"/>
  <c r="W187" i="55"/>
  <c r="W188" i="55"/>
  <c r="W189" i="55"/>
  <c r="W190" i="55"/>
  <c r="W191" i="55"/>
  <c r="W192" i="55"/>
  <c r="W193" i="55"/>
  <c r="W194" i="55"/>
  <c r="W195" i="55"/>
  <c r="W196" i="55"/>
  <c r="W197" i="55"/>
  <c r="W198" i="55"/>
  <c r="W199" i="55"/>
  <c r="W200" i="55"/>
  <c r="W201" i="55"/>
  <c r="W202" i="55"/>
  <c r="W203" i="55"/>
  <c r="W204" i="55"/>
  <c r="W205" i="55"/>
  <c r="W206" i="55"/>
  <c r="W207" i="55"/>
  <c r="W208" i="55"/>
  <c r="W209" i="55"/>
  <c r="W210" i="55"/>
  <c r="W211" i="55"/>
  <c r="W212" i="55"/>
  <c r="W213" i="55"/>
  <c r="W214" i="55"/>
  <c r="W215" i="55"/>
  <c r="W216" i="55"/>
  <c r="W217" i="55"/>
  <c r="W218" i="55"/>
  <c r="W219" i="55"/>
  <c r="W220" i="55"/>
  <c r="W221" i="55"/>
  <c r="W222" i="55"/>
  <c r="W223" i="55"/>
  <c r="W224" i="55"/>
  <c r="W225" i="55"/>
  <c r="W226" i="55"/>
  <c r="W227" i="55"/>
  <c r="W228" i="55"/>
  <c r="W229" i="55"/>
  <c r="W230" i="55"/>
  <c r="W231" i="55"/>
  <c r="W232" i="55"/>
  <c r="W233" i="55"/>
  <c r="W234" i="55"/>
  <c r="W235" i="55"/>
  <c r="W236" i="55"/>
  <c r="W237" i="55"/>
  <c r="W238" i="55"/>
  <c r="W239" i="55"/>
  <c r="W240" i="55"/>
  <c r="W241" i="55"/>
  <c r="W242" i="55"/>
  <c r="W243" i="55"/>
  <c r="W244" i="55"/>
  <c r="W245" i="55"/>
  <c r="W246" i="55"/>
  <c r="W247" i="55"/>
  <c r="W248" i="55"/>
  <c r="W249" i="55"/>
  <c r="W250" i="55"/>
  <c r="W251" i="55"/>
  <c r="W252" i="55"/>
  <c r="W253" i="55"/>
  <c r="W254" i="55"/>
  <c r="W255" i="55"/>
  <c r="W256" i="55"/>
  <c r="W257" i="55"/>
  <c r="W258" i="55"/>
  <c r="W259" i="55"/>
  <c r="W260" i="55"/>
  <c r="W261" i="55"/>
  <c r="W262" i="55"/>
  <c r="W263" i="55"/>
  <c r="W264" i="55"/>
  <c r="W265" i="55"/>
  <c r="W266" i="55"/>
  <c r="W267" i="55"/>
  <c r="W268" i="55"/>
  <c r="W269" i="55"/>
  <c r="W270" i="55"/>
  <c r="W271" i="55"/>
  <c r="W272" i="55"/>
  <c r="W37" i="55"/>
  <c r="W34" i="55"/>
  <c r="W35" i="55"/>
  <c r="W36" i="55"/>
  <c r="W6" i="55"/>
  <c r="W7" i="55"/>
  <c r="W8" i="55"/>
  <c r="W9" i="55"/>
  <c r="W10" i="55"/>
  <c r="W11" i="55"/>
  <c r="W12" i="55"/>
  <c r="W13" i="55"/>
  <c r="W14" i="55"/>
  <c r="W15" i="55"/>
  <c r="W16" i="55"/>
  <c r="W17" i="55"/>
  <c r="W18" i="55"/>
  <c r="W19" i="55"/>
  <c r="W20" i="55"/>
  <c r="W21" i="55"/>
  <c r="W22" i="55"/>
  <c r="W23" i="55"/>
  <c r="W24" i="55"/>
  <c r="W25" i="55"/>
  <c r="W26" i="55"/>
  <c r="W27" i="55"/>
  <c r="W28" i="55"/>
  <c r="W29" i="55"/>
  <c r="W30" i="55"/>
  <c r="W32" i="55"/>
  <c r="W33" i="55"/>
  <c r="W5" i="55"/>
  <c r="W4" i="55"/>
  <c r="W2" i="55"/>
  <c r="W3" i="55"/>
  <c r="V3" i="55"/>
  <c r="T5" i="40"/>
  <c r="T7" i="40"/>
  <c r="T8" i="40"/>
  <c r="T9" i="40"/>
  <c r="T10" i="40"/>
  <c r="T11" i="40"/>
  <c r="T12" i="40"/>
  <c r="T13" i="40"/>
  <c r="T14" i="40"/>
  <c r="T15" i="40"/>
  <c r="T16" i="40"/>
  <c r="T17" i="40"/>
  <c r="T18" i="40"/>
  <c r="T19" i="40"/>
  <c r="T20" i="40"/>
  <c r="T21" i="40"/>
  <c r="T22" i="40"/>
  <c r="T23" i="40"/>
  <c r="T24" i="40"/>
  <c r="T25" i="40"/>
  <c r="T26" i="40"/>
  <c r="T27" i="40"/>
  <c r="T28" i="40"/>
  <c r="T29" i="40"/>
  <c r="T30" i="40"/>
  <c r="T31" i="40"/>
  <c r="T32" i="40"/>
  <c r="T33" i="40"/>
  <c r="T34" i="40"/>
  <c r="T35" i="40"/>
  <c r="T36" i="40"/>
  <c r="T37" i="40"/>
  <c r="T38" i="40"/>
  <c r="T39" i="40"/>
  <c r="T40" i="40"/>
  <c r="T41" i="40"/>
  <c r="T42" i="40"/>
  <c r="T43" i="40"/>
  <c r="T44" i="40"/>
  <c r="T45" i="40"/>
  <c r="T46" i="40"/>
  <c r="T47" i="40"/>
  <c r="T48" i="40"/>
  <c r="T49" i="40"/>
  <c r="T50" i="40"/>
  <c r="T54" i="40"/>
  <c r="T55" i="40"/>
  <c r="T56" i="40"/>
  <c r="T57" i="40"/>
  <c r="T58" i="40"/>
  <c r="T59" i="40"/>
  <c r="T60" i="40"/>
  <c r="T61" i="40"/>
  <c r="T62" i="40"/>
  <c r="T63" i="40"/>
  <c r="T64" i="40"/>
  <c r="T65" i="40"/>
  <c r="T66" i="40"/>
  <c r="T67" i="40"/>
  <c r="T68" i="40"/>
  <c r="T69" i="40"/>
  <c r="T70" i="40"/>
  <c r="T71" i="40"/>
  <c r="T72" i="40"/>
  <c r="T73" i="40"/>
  <c r="T74" i="40"/>
  <c r="T75" i="40"/>
  <c r="T76" i="40"/>
  <c r="T77" i="40"/>
  <c r="T78" i="40"/>
  <c r="T79" i="40"/>
  <c r="T80" i="40"/>
  <c r="T81" i="40"/>
  <c r="T82" i="40"/>
  <c r="T83" i="40"/>
  <c r="T84" i="40"/>
  <c r="T85" i="40"/>
  <c r="T86" i="40"/>
  <c r="T87" i="40"/>
  <c r="T88" i="40"/>
  <c r="T89" i="40"/>
  <c r="T90" i="40"/>
  <c r="T91" i="40"/>
  <c r="T92" i="40"/>
  <c r="T93" i="40"/>
  <c r="T94" i="40"/>
  <c r="T95" i="40"/>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T123" i="40"/>
  <c r="T124" i="40"/>
  <c r="T125" i="40"/>
  <c r="T126" i="40"/>
  <c r="T127" i="40"/>
  <c r="T128" i="40"/>
  <c r="T129" i="40"/>
  <c r="T130" i="40"/>
  <c r="T131" i="40"/>
  <c r="T132" i="40"/>
  <c r="T133" i="40"/>
  <c r="T134" i="40"/>
  <c r="T135" i="40"/>
  <c r="T137" i="40"/>
  <c r="T138" i="40"/>
  <c r="T139" i="40"/>
  <c r="T140" i="40"/>
  <c r="T141" i="40"/>
  <c r="T142" i="40"/>
  <c r="T143" i="40"/>
  <c r="T144" i="40"/>
  <c r="T145" i="40"/>
  <c r="T146" i="40"/>
  <c r="T147" i="40"/>
  <c r="T148" i="40"/>
  <c r="T149" i="40"/>
  <c r="T150" i="40"/>
  <c r="T151" i="40"/>
  <c r="T152" i="40"/>
  <c r="T153" i="40"/>
  <c r="T154" i="40"/>
  <c r="T155" i="40"/>
  <c r="T156" i="40"/>
  <c r="T157" i="40"/>
  <c r="T158" i="40"/>
  <c r="T159" i="40"/>
  <c r="T160" i="40"/>
  <c r="T161" i="40"/>
  <c r="T162" i="40"/>
  <c r="T163" i="40"/>
  <c r="T164" i="40"/>
  <c r="T165" i="40"/>
  <c r="T166" i="40"/>
  <c r="T167" i="40"/>
  <c r="T168" i="40"/>
  <c r="T169" i="40"/>
  <c r="T170" i="40"/>
  <c r="T171" i="40"/>
  <c r="T172" i="40"/>
  <c r="T173" i="40"/>
  <c r="T174" i="40"/>
  <c r="T175" i="40"/>
  <c r="T176" i="40"/>
  <c r="T177" i="40"/>
  <c r="T178" i="40"/>
  <c r="T179" i="40"/>
  <c r="T180" i="40"/>
  <c r="T181" i="40"/>
  <c r="T182" i="40"/>
  <c r="T183" i="40"/>
  <c r="T184" i="40"/>
  <c r="T185" i="40"/>
  <c r="T186" i="40"/>
  <c r="T187" i="40"/>
  <c r="T188" i="40"/>
  <c r="T189" i="40"/>
  <c r="T190" i="40"/>
  <c r="T191" i="40"/>
  <c r="T192" i="40"/>
  <c r="T193" i="40"/>
  <c r="T194" i="40"/>
  <c r="T195" i="40"/>
  <c r="T196" i="40"/>
  <c r="T197" i="40"/>
  <c r="T198" i="40"/>
  <c r="T199" i="40"/>
  <c r="T200" i="40"/>
  <c r="T201" i="40"/>
  <c r="T202" i="40"/>
  <c r="T203" i="40"/>
  <c r="T204" i="40"/>
  <c r="T205" i="40"/>
  <c r="T206" i="40"/>
  <c r="T207" i="40"/>
  <c r="T208" i="40"/>
  <c r="T209" i="40"/>
  <c r="T210" i="40"/>
  <c r="T211" i="40"/>
  <c r="T212" i="40"/>
  <c r="T213" i="40"/>
  <c r="T214" i="40"/>
  <c r="T215" i="40"/>
  <c r="T216" i="40"/>
  <c r="T217" i="40"/>
  <c r="T218" i="40"/>
  <c r="T219" i="40"/>
  <c r="T220" i="40"/>
  <c r="T221" i="40"/>
  <c r="T222" i="40"/>
  <c r="T223" i="40"/>
  <c r="T224" i="40"/>
  <c r="T225" i="40"/>
  <c r="T226" i="40"/>
  <c r="T227" i="40"/>
  <c r="T228" i="40"/>
  <c r="T229" i="40"/>
  <c r="T230" i="40"/>
  <c r="T231" i="40"/>
  <c r="T232" i="40"/>
  <c r="T233" i="40"/>
  <c r="T234" i="40"/>
  <c r="T235" i="40"/>
  <c r="T236" i="40"/>
  <c r="T237" i="40"/>
  <c r="T238" i="40"/>
  <c r="T239" i="40"/>
  <c r="T240" i="40"/>
  <c r="T241" i="40"/>
  <c r="T242" i="40"/>
  <c r="T243" i="40"/>
  <c r="T244" i="40"/>
  <c r="T245" i="40"/>
  <c r="T246" i="40"/>
  <c r="T247" i="40"/>
  <c r="T248" i="40"/>
  <c r="T249" i="40"/>
  <c r="T250" i="40"/>
  <c r="T251" i="40"/>
  <c r="T252" i="40"/>
  <c r="T253" i="40"/>
  <c r="T254" i="40"/>
  <c r="T255" i="40"/>
  <c r="T256" i="40"/>
  <c r="T257" i="40"/>
  <c r="T258" i="40"/>
  <c r="T259" i="40"/>
  <c r="T260" i="40"/>
  <c r="T261" i="40"/>
  <c r="T262" i="40"/>
  <c r="T263" i="40"/>
  <c r="T264" i="40"/>
  <c r="T265" i="40"/>
  <c r="T266" i="40"/>
  <c r="T267" i="40"/>
  <c r="T268" i="40"/>
  <c r="T269" i="40"/>
  <c r="T270" i="40"/>
  <c r="T271" i="40"/>
  <c r="T272" i="40"/>
  <c r="T273" i="40"/>
  <c r="T274" i="40"/>
  <c r="T275" i="40"/>
  <c r="T276" i="40"/>
  <c r="T277" i="40"/>
  <c r="T278" i="40"/>
  <c r="T279" i="40"/>
  <c r="T280" i="40"/>
  <c r="T281" i="40"/>
  <c r="T282" i="40"/>
  <c r="T283" i="40"/>
  <c r="T284" i="40"/>
  <c r="T285" i="40"/>
  <c r="T286" i="40"/>
  <c r="T287" i="40"/>
  <c r="T288" i="40"/>
  <c r="T289" i="40"/>
  <c r="T290" i="40"/>
  <c r="T291" i="40"/>
  <c r="T292" i="40"/>
  <c r="T293" i="40"/>
  <c r="T294" i="40"/>
  <c r="T295" i="40"/>
  <c r="T296" i="40"/>
  <c r="T297" i="40"/>
  <c r="T298" i="40"/>
  <c r="T299" i="40"/>
  <c r="T300" i="40"/>
  <c r="T301" i="40"/>
  <c r="T302" i="40"/>
  <c r="T303" i="40"/>
  <c r="T304" i="40"/>
  <c r="T305" i="40"/>
  <c r="T306" i="40"/>
  <c r="T307" i="40"/>
  <c r="T308" i="40"/>
  <c r="T309" i="40"/>
  <c r="T310" i="40"/>
  <c r="T311" i="40"/>
  <c r="T312" i="40"/>
  <c r="T313" i="40"/>
  <c r="T314" i="40"/>
  <c r="T315" i="40"/>
  <c r="T316" i="40"/>
  <c r="T317" i="40"/>
  <c r="T318" i="40"/>
  <c r="T319" i="40"/>
  <c r="T320" i="40"/>
  <c r="T321" i="40"/>
  <c r="T322" i="40"/>
  <c r="T323" i="40"/>
  <c r="T324" i="40"/>
  <c r="T325" i="40"/>
  <c r="T326" i="40"/>
  <c r="T327" i="40"/>
  <c r="T328" i="40"/>
  <c r="T329" i="40"/>
  <c r="T330" i="40"/>
  <c r="T331" i="40"/>
  <c r="T332" i="40"/>
  <c r="T333" i="40"/>
  <c r="T334" i="40"/>
  <c r="T335" i="40"/>
  <c r="T336" i="40"/>
  <c r="T337" i="40"/>
  <c r="T338" i="40"/>
  <c r="T339" i="40"/>
  <c r="T340" i="40"/>
  <c r="T341" i="40"/>
  <c r="T342" i="40"/>
  <c r="T343" i="40"/>
  <c r="T344" i="40"/>
  <c r="T345" i="40"/>
  <c r="T346" i="40"/>
  <c r="T347" i="40"/>
  <c r="T348" i="40"/>
  <c r="T349" i="40"/>
  <c r="T350" i="40"/>
  <c r="T351" i="40"/>
  <c r="T352" i="40"/>
  <c r="T353" i="40"/>
  <c r="T354" i="40"/>
  <c r="T355" i="40"/>
  <c r="T356" i="40"/>
  <c r="T357" i="40"/>
  <c r="T358" i="40"/>
  <c r="T359" i="40"/>
  <c r="T360" i="40"/>
  <c r="T361" i="40"/>
  <c r="T362" i="40"/>
  <c r="T363" i="40"/>
  <c r="T364" i="40"/>
  <c r="T365" i="40"/>
  <c r="T366" i="40"/>
  <c r="T367" i="40"/>
  <c r="T368" i="40"/>
  <c r="T369" i="40"/>
  <c r="T370" i="40"/>
  <c r="T371" i="40"/>
  <c r="T372" i="40"/>
  <c r="T373" i="40"/>
  <c r="T374" i="40"/>
  <c r="T375" i="40"/>
  <c r="T376" i="40"/>
  <c r="T377" i="40"/>
  <c r="T378" i="40"/>
  <c r="T379" i="40"/>
  <c r="T380" i="40"/>
  <c r="T381" i="40"/>
  <c r="T382" i="40"/>
  <c r="T384" i="40"/>
  <c r="T385" i="40"/>
  <c r="T386" i="40"/>
  <c r="T387" i="40"/>
  <c r="T388" i="40"/>
  <c r="T389" i="40"/>
  <c r="T390" i="40"/>
  <c r="T391" i="40"/>
  <c r="T392" i="40"/>
  <c r="T393" i="40"/>
  <c r="T394" i="40"/>
  <c r="T395" i="40"/>
  <c r="T396" i="40"/>
  <c r="T397" i="40"/>
  <c r="T398" i="40"/>
  <c r="T399" i="40"/>
  <c r="T400" i="40"/>
  <c r="T401" i="40"/>
  <c r="T402" i="40"/>
  <c r="T403" i="40"/>
  <c r="T404" i="40"/>
  <c r="T405" i="40"/>
  <c r="T406" i="40"/>
  <c r="T407" i="40"/>
  <c r="T408" i="40"/>
  <c r="T409" i="40"/>
  <c r="T410" i="40"/>
  <c r="T411" i="40"/>
  <c r="T412" i="40"/>
  <c r="T413" i="40"/>
  <c r="T414" i="40"/>
  <c r="T415" i="40"/>
  <c r="T416" i="40"/>
  <c r="T417" i="40"/>
  <c r="T418" i="40"/>
  <c r="T419" i="40"/>
  <c r="T420" i="40"/>
  <c r="T421" i="40"/>
  <c r="T422" i="40"/>
  <c r="T423" i="40"/>
  <c r="T424" i="40"/>
  <c r="T425" i="40"/>
  <c r="T426" i="40"/>
  <c r="T427" i="40"/>
  <c r="T428" i="40"/>
  <c r="T429" i="40"/>
  <c r="T430" i="40"/>
  <c r="T431" i="40"/>
  <c r="T432" i="40"/>
  <c r="T433" i="40"/>
  <c r="T434" i="40"/>
  <c r="T435" i="40"/>
  <c r="T436" i="40"/>
  <c r="T437" i="40"/>
  <c r="T438" i="40"/>
  <c r="T439" i="40"/>
  <c r="T440" i="40"/>
  <c r="T441" i="40"/>
  <c r="T442" i="40"/>
  <c r="T443" i="40"/>
  <c r="T444" i="40"/>
  <c r="T445" i="40"/>
  <c r="T446" i="40"/>
  <c r="T447" i="40"/>
  <c r="T448" i="40"/>
  <c r="T449" i="40"/>
  <c r="T450" i="40"/>
  <c r="T451" i="40"/>
  <c r="T452" i="40"/>
  <c r="T453" i="40"/>
  <c r="T454" i="40"/>
  <c r="T455" i="40"/>
  <c r="T456" i="40"/>
  <c r="T457" i="40"/>
  <c r="T458" i="40"/>
  <c r="T459" i="40"/>
  <c r="T460" i="40"/>
  <c r="T461" i="40"/>
  <c r="T462" i="40"/>
  <c r="T463" i="40"/>
  <c r="T464" i="40"/>
  <c r="T465" i="40"/>
  <c r="T466" i="40"/>
  <c r="T467" i="40"/>
  <c r="T468" i="40"/>
  <c r="T469" i="40"/>
  <c r="T470" i="40"/>
  <c r="T471" i="40"/>
  <c r="T472" i="40"/>
  <c r="T473" i="40"/>
  <c r="T474" i="40"/>
  <c r="T475" i="40"/>
  <c r="T476" i="40"/>
  <c r="T477" i="40"/>
  <c r="T478" i="40"/>
  <c r="T479" i="40"/>
  <c r="T480" i="40"/>
  <c r="T481" i="40"/>
  <c r="T482" i="40"/>
  <c r="T483" i="40"/>
  <c r="T484" i="40"/>
  <c r="T485" i="40"/>
  <c r="T486" i="40"/>
  <c r="T487" i="40"/>
  <c r="T488" i="40"/>
  <c r="T489" i="40"/>
  <c r="T490" i="40"/>
  <c r="T491" i="40"/>
  <c r="T492" i="40"/>
  <c r="T493" i="40"/>
  <c r="T494" i="40"/>
  <c r="T495" i="40"/>
  <c r="T496" i="40"/>
  <c r="T497" i="40"/>
  <c r="T498" i="40"/>
  <c r="T499" i="40"/>
  <c r="T500" i="40"/>
  <c r="T501" i="40"/>
  <c r="T502" i="40"/>
  <c r="T503" i="40"/>
  <c r="T504" i="40"/>
  <c r="T505" i="40"/>
  <c r="T506" i="40"/>
  <c r="T507" i="40"/>
  <c r="T508" i="40"/>
  <c r="T509" i="40"/>
  <c r="T510" i="40"/>
  <c r="T511" i="40"/>
  <c r="T512" i="40"/>
  <c r="T513" i="40"/>
  <c r="T514" i="40"/>
  <c r="T515" i="40"/>
  <c r="T516" i="40"/>
  <c r="T517" i="40"/>
  <c r="T518" i="40"/>
  <c r="T519" i="40"/>
  <c r="T520" i="40"/>
  <c r="T521" i="40"/>
  <c r="T522" i="40"/>
  <c r="T523" i="40"/>
  <c r="T524" i="40"/>
  <c r="T525" i="40"/>
  <c r="T526" i="40"/>
  <c r="T527" i="40"/>
  <c r="T528" i="40"/>
  <c r="T529" i="40"/>
  <c r="T530" i="40"/>
  <c r="T531" i="40"/>
  <c r="T532" i="40"/>
  <c r="T533" i="40"/>
  <c r="T534" i="40"/>
  <c r="T535" i="40"/>
  <c r="T536" i="40"/>
  <c r="T537" i="40"/>
  <c r="T538" i="40"/>
  <c r="T539" i="40"/>
  <c r="T540" i="40"/>
  <c r="T541" i="40"/>
  <c r="T542" i="40"/>
  <c r="T543" i="40"/>
  <c r="T544" i="40"/>
  <c r="T545" i="40"/>
  <c r="T546" i="40"/>
  <c r="T547" i="40"/>
  <c r="T548" i="40"/>
  <c r="T549" i="40"/>
  <c r="T550" i="40"/>
  <c r="T551" i="40"/>
  <c r="T552" i="40"/>
  <c r="T553" i="40"/>
  <c r="T554" i="40"/>
  <c r="T555" i="40"/>
  <c r="T556" i="40"/>
  <c r="T557" i="40"/>
  <c r="T558" i="40"/>
  <c r="T559" i="40"/>
  <c r="T560" i="40"/>
  <c r="T561" i="40"/>
  <c r="T562" i="40"/>
  <c r="T563" i="40"/>
  <c r="T564" i="40"/>
  <c r="T565" i="40"/>
  <c r="T566" i="40"/>
  <c r="T567" i="40"/>
  <c r="T568" i="40"/>
  <c r="T569" i="40"/>
  <c r="T570" i="40"/>
  <c r="T571" i="40"/>
  <c r="T572" i="40"/>
  <c r="T573" i="40"/>
  <c r="T574" i="40"/>
  <c r="T575" i="40"/>
  <c r="T576" i="40"/>
  <c r="T577" i="40"/>
  <c r="T578" i="40"/>
  <c r="T579" i="40"/>
  <c r="T580" i="40"/>
  <c r="T581" i="40"/>
  <c r="T582" i="40"/>
  <c r="T583" i="40"/>
  <c r="T584" i="40"/>
  <c r="T585" i="40"/>
  <c r="T586" i="40"/>
  <c r="T587" i="40"/>
  <c r="T588" i="40"/>
  <c r="T589" i="40"/>
  <c r="T590" i="40"/>
  <c r="T591" i="40"/>
  <c r="T592" i="40"/>
  <c r="T593" i="40"/>
  <c r="T594" i="40"/>
  <c r="T595" i="40"/>
  <c r="T596" i="40"/>
  <c r="T597" i="40"/>
  <c r="T598" i="40"/>
  <c r="T599" i="40"/>
  <c r="T600" i="40"/>
  <c r="T601" i="40"/>
  <c r="T602" i="40"/>
  <c r="T603" i="40"/>
  <c r="T604" i="40"/>
  <c r="T605" i="40"/>
  <c r="T606" i="40"/>
  <c r="T607" i="40"/>
  <c r="T608" i="40"/>
  <c r="T609" i="40"/>
  <c r="T610" i="40"/>
  <c r="T611" i="40"/>
  <c r="T612" i="40"/>
  <c r="T613" i="40"/>
  <c r="T4" i="40"/>
  <c r="T3" i="40"/>
  <c r="M3" i="61" l="1"/>
  <c r="N3" i="61" s="1"/>
  <c r="T4" i="31" l="1"/>
  <c r="T5" i="31"/>
  <c r="T6" i="31"/>
  <c r="T7" i="31"/>
  <c r="T8" i="31"/>
  <c r="T10" i="31"/>
  <c r="T11" i="31"/>
  <c r="T12" i="31"/>
  <c r="T13" i="31"/>
  <c r="T14" i="31"/>
  <c r="T15" i="31"/>
  <c r="T17" i="31"/>
  <c r="T18" i="31"/>
  <c r="T20" i="31"/>
  <c r="T21" i="31"/>
  <c r="T22" i="31"/>
  <c r="T23" i="31"/>
  <c r="T25" i="31"/>
  <c r="T26" i="31"/>
  <c r="T27" i="31"/>
  <c r="T28" i="31"/>
  <c r="T29" i="31"/>
  <c r="T31" i="31"/>
  <c r="T33" i="31"/>
  <c r="T34" i="31"/>
  <c r="T35" i="31"/>
  <c r="T36" i="31"/>
  <c r="T37" i="31"/>
  <c r="T38" i="31"/>
  <c r="T39" i="31"/>
  <c r="T40" i="31"/>
  <c r="T42" i="31"/>
  <c r="T43" i="31"/>
  <c r="T44" i="31"/>
  <c r="T45" i="31"/>
  <c r="T47" i="31"/>
  <c r="T48" i="31"/>
  <c r="T49" i="31"/>
  <c r="T50" i="31"/>
  <c r="T51" i="31"/>
  <c r="T52" i="31"/>
  <c r="T53" i="31"/>
  <c r="T54" i="31"/>
  <c r="T55" i="31"/>
  <c r="T56" i="31"/>
  <c r="T57" i="31"/>
  <c r="T58" i="31"/>
  <c r="T59" i="31"/>
  <c r="T60" i="31"/>
  <c r="T62" i="31"/>
  <c r="T63" i="31"/>
  <c r="T64" i="31"/>
  <c r="T66" i="31"/>
  <c r="T67" i="31"/>
  <c r="T68" i="31"/>
  <c r="T69" i="31"/>
  <c r="T71" i="31"/>
  <c r="T72" i="31"/>
  <c r="T73" i="31"/>
  <c r="T74" i="31"/>
  <c r="T75" i="31"/>
  <c r="T76" i="31"/>
  <c r="T77" i="31"/>
  <c r="T78" i="31"/>
  <c r="T79" i="31"/>
  <c r="T80" i="31"/>
  <c r="T84" i="31"/>
  <c r="T85" i="31"/>
  <c r="T86" i="31"/>
  <c r="T88" i="31"/>
  <c r="T89" i="31"/>
  <c r="T90" i="31"/>
  <c r="T91" i="31"/>
  <c r="T92" i="31"/>
  <c r="T95" i="31"/>
  <c r="T96" i="31"/>
  <c r="T97" i="31"/>
  <c r="T99" i="31"/>
  <c r="T100" i="31"/>
  <c r="T101" i="31"/>
  <c r="T3" i="31"/>
  <c r="M19" i="31" l="1"/>
  <c r="M102" i="31" l="1"/>
  <c r="T19" i="31"/>
  <c r="N121" i="74"/>
  <c r="O121" i="74"/>
  <c r="P121" i="74"/>
  <c r="Q121" i="74"/>
  <c r="K121" i="74"/>
  <c r="R63" i="74"/>
  <c r="R64" i="74"/>
  <c r="R65" i="74"/>
  <c r="R66" i="74"/>
  <c r="R67" i="74"/>
  <c r="R68" i="74"/>
  <c r="R69" i="74"/>
  <c r="R71" i="74"/>
  <c r="R72" i="74"/>
  <c r="R73" i="74"/>
  <c r="R74" i="74"/>
  <c r="R75" i="74"/>
  <c r="R76" i="74"/>
  <c r="R77" i="74"/>
  <c r="R78" i="74"/>
  <c r="R79" i="74"/>
  <c r="R80" i="74"/>
  <c r="R81" i="74"/>
  <c r="R82" i="74"/>
  <c r="R83" i="74"/>
  <c r="R84" i="74"/>
  <c r="R85" i="74"/>
  <c r="R86" i="74"/>
  <c r="R87" i="74"/>
  <c r="R88" i="74"/>
  <c r="R89" i="74"/>
  <c r="R90" i="74"/>
  <c r="R91" i="74"/>
  <c r="R97" i="74"/>
  <c r="R98" i="74"/>
  <c r="R99" i="74"/>
  <c r="R100" i="74"/>
  <c r="R101" i="74"/>
  <c r="R103" i="74"/>
  <c r="R104" i="74"/>
  <c r="R105" i="74"/>
  <c r="R108" i="74"/>
  <c r="R109" i="74"/>
  <c r="R110" i="74"/>
  <c r="R112" i="74"/>
  <c r="R113" i="74"/>
  <c r="R114" i="74"/>
  <c r="R115" i="74"/>
  <c r="R116" i="74"/>
  <c r="R117" i="74"/>
  <c r="R118" i="74"/>
  <c r="R119" i="74"/>
  <c r="R4" i="74"/>
  <c r="R5" i="74"/>
  <c r="R6" i="74"/>
  <c r="R7" i="74"/>
  <c r="R8" i="74"/>
  <c r="R9" i="74"/>
  <c r="R11" i="74"/>
  <c r="R12" i="74"/>
  <c r="R13" i="74"/>
  <c r="R14" i="74"/>
  <c r="R15" i="74"/>
  <c r="R16" i="74"/>
  <c r="R17" i="74"/>
  <c r="R18" i="74"/>
  <c r="R19" i="74"/>
  <c r="R20" i="74"/>
  <c r="R24" i="74"/>
  <c r="R26" i="74"/>
  <c r="R28" i="74"/>
  <c r="R29" i="74"/>
  <c r="R31" i="74"/>
  <c r="R32" i="74"/>
  <c r="R33" i="74"/>
  <c r="R35" i="74"/>
  <c r="R36" i="74"/>
  <c r="R39" i="74"/>
  <c r="R40" i="74"/>
  <c r="R41" i="74"/>
  <c r="R46" i="74"/>
  <c r="R47" i="74"/>
  <c r="R48" i="74"/>
  <c r="R49" i="74"/>
  <c r="R50" i="74"/>
  <c r="R51" i="74"/>
  <c r="R52" i="74"/>
  <c r="R55" i="74"/>
  <c r="R57" i="74"/>
  <c r="R59" i="74"/>
  <c r="R3" i="74"/>
  <c r="K3" i="41" l="1"/>
  <c r="K6" i="41"/>
  <c r="J13" i="81"/>
  <c r="K13" i="81"/>
  <c r="N4" i="61" l="1"/>
  <c r="N10" i="61"/>
  <c r="N12" i="61"/>
  <c r="N27" i="61"/>
  <c r="N46" i="61"/>
  <c r="M9" i="61"/>
  <c r="N9" i="61" s="1"/>
  <c r="M40" i="61"/>
  <c r="N40" i="61" s="1"/>
  <c r="M29" i="61"/>
  <c r="N29" i="61" s="1"/>
  <c r="M30" i="61"/>
  <c r="N30" i="61" s="1"/>
  <c r="M15" i="61"/>
  <c r="N15" i="61" s="1"/>
  <c r="M23" i="61"/>
  <c r="N23" i="61" s="1"/>
  <c r="M62" i="61"/>
  <c r="N62" i="61" s="1"/>
  <c r="M22" i="61"/>
  <c r="N22" i="61" s="1"/>
  <c r="M51" i="61"/>
  <c r="N51" i="61" s="1"/>
  <c r="M48" i="61"/>
  <c r="N48" i="61" s="1"/>
  <c r="M55" i="61"/>
  <c r="N55" i="61" s="1"/>
  <c r="M41" i="61"/>
  <c r="N41" i="61" s="1"/>
  <c r="M5" i="61"/>
  <c r="N5" i="61" s="1"/>
  <c r="M59" i="61"/>
  <c r="N59" i="61" s="1"/>
  <c r="M60" i="61"/>
  <c r="N60" i="61" s="1"/>
  <c r="M8" i="61"/>
  <c r="N8" i="61" s="1"/>
  <c r="M6" i="61"/>
  <c r="N6" i="61" s="1"/>
  <c r="M34" i="61"/>
  <c r="N34" i="61" s="1"/>
  <c r="M24" i="61"/>
  <c r="N24" i="61" s="1"/>
  <c r="M42" i="61"/>
  <c r="N42" i="61" s="1"/>
  <c r="M17" i="61"/>
  <c r="N17" i="61" s="1"/>
  <c r="M20" i="61"/>
  <c r="N20" i="61" s="1"/>
  <c r="M31" i="61"/>
  <c r="N31" i="61" s="1"/>
  <c r="M39" i="61"/>
  <c r="N39" i="61" s="1"/>
  <c r="M38" i="61"/>
  <c r="N38" i="61" s="1"/>
  <c r="M14" i="61"/>
  <c r="N14" i="61" s="1"/>
  <c r="M18" i="61"/>
  <c r="N18" i="61" s="1"/>
  <c r="M56" i="61"/>
  <c r="N56" i="61" s="1"/>
  <c r="M11" i="61"/>
  <c r="N11" i="61" s="1"/>
  <c r="N68" i="80"/>
  <c r="M68" i="80"/>
  <c r="L68" i="80"/>
  <c r="L111" i="74" l="1"/>
  <c r="R111" i="74" s="1"/>
  <c r="L107" i="74"/>
  <c r="R107" i="74" s="1"/>
  <c r="L94" i="74"/>
  <c r="R94" i="74" s="1"/>
  <c r="L93" i="74"/>
  <c r="R93" i="74" s="1"/>
  <c r="L92" i="74"/>
  <c r="R92" i="74" s="1"/>
  <c r="L62" i="74"/>
  <c r="R62" i="74" s="1"/>
  <c r="L60" i="74"/>
  <c r="R60" i="74" s="1"/>
  <c r="L58" i="74"/>
  <c r="R58" i="74" s="1"/>
  <c r="L23" i="74"/>
  <c r="R23" i="74" s="1"/>
  <c r="L70" i="74"/>
  <c r="R70" i="74" s="1"/>
  <c r="L54" i="74"/>
  <c r="R54" i="74" s="1"/>
  <c r="L43" i="74"/>
  <c r="R43" i="74" s="1"/>
  <c r="L37" i="74"/>
  <c r="R37" i="74" s="1"/>
  <c r="L22" i="74"/>
  <c r="R22" i="74" s="1"/>
  <c r="L21" i="74"/>
  <c r="R21" i="74" s="1"/>
  <c r="L10" i="74"/>
  <c r="S4" i="40"/>
  <c r="S5" i="40"/>
  <c r="S6" i="40"/>
  <c r="S7" i="40"/>
  <c r="S8" i="40"/>
  <c r="S9" i="40"/>
  <c r="S10" i="40"/>
  <c r="S11" i="40"/>
  <c r="S12" i="40"/>
  <c r="S13" i="40"/>
  <c r="S14" i="40"/>
  <c r="S15" i="40"/>
  <c r="S16" i="40"/>
  <c r="S17" i="40"/>
  <c r="S18" i="40"/>
  <c r="S19" i="40"/>
  <c r="S20" i="40"/>
  <c r="S21" i="40"/>
  <c r="S22" i="40"/>
  <c r="S23" i="40"/>
  <c r="S24" i="40"/>
  <c r="S25" i="40"/>
  <c r="S26" i="40"/>
  <c r="S27" i="40"/>
  <c r="S28" i="40"/>
  <c r="S29" i="40"/>
  <c r="S30" i="40"/>
  <c r="S31" i="40"/>
  <c r="S32" i="40"/>
  <c r="S33" i="40"/>
  <c r="S34" i="40"/>
  <c r="S35" i="40"/>
  <c r="S36" i="40"/>
  <c r="S37" i="40"/>
  <c r="S38" i="40"/>
  <c r="S39" i="40"/>
  <c r="S40" i="40"/>
  <c r="S41" i="40"/>
  <c r="S42" i="40"/>
  <c r="S43" i="40"/>
  <c r="S44" i="40"/>
  <c r="S45" i="40"/>
  <c r="S46" i="40"/>
  <c r="S47" i="40"/>
  <c r="S48" i="40"/>
  <c r="S49" i="40"/>
  <c r="S50" i="40"/>
  <c r="S54" i="40"/>
  <c r="S55" i="40"/>
  <c r="S56" i="40"/>
  <c r="S57" i="40"/>
  <c r="S58" i="40"/>
  <c r="S59" i="40"/>
  <c r="S60" i="40"/>
  <c r="S61" i="40"/>
  <c r="S62" i="40"/>
  <c r="S63" i="40"/>
  <c r="S64" i="40"/>
  <c r="S65" i="40"/>
  <c r="S66" i="40"/>
  <c r="S67" i="40"/>
  <c r="S68" i="40"/>
  <c r="S69" i="40"/>
  <c r="S70" i="40"/>
  <c r="S71" i="40"/>
  <c r="S72" i="40"/>
  <c r="S73" i="40"/>
  <c r="S74" i="40"/>
  <c r="S75" i="40"/>
  <c r="S76" i="40"/>
  <c r="S77" i="40"/>
  <c r="S78" i="40"/>
  <c r="S79" i="40"/>
  <c r="S80" i="40"/>
  <c r="S81" i="40"/>
  <c r="S82" i="40"/>
  <c r="S83" i="40"/>
  <c r="S84" i="40"/>
  <c r="S85" i="40"/>
  <c r="S86" i="40"/>
  <c r="S87" i="40"/>
  <c r="S88" i="40"/>
  <c r="S89" i="40"/>
  <c r="S90" i="40"/>
  <c r="S91" i="40"/>
  <c r="S92" i="40"/>
  <c r="S93" i="40"/>
  <c r="S94" i="40"/>
  <c r="S95" i="40"/>
  <c r="S96" i="40"/>
  <c r="S97" i="40"/>
  <c r="S98" i="40"/>
  <c r="S99" i="40"/>
  <c r="S100" i="40"/>
  <c r="S101" i="40"/>
  <c r="S102" i="40"/>
  <c r="S103" i="40"/>
  <c r="S104" i="40"/>
  <c r="S105" i="40"/>
  <c r="S106" i="40"/>
  <c r="S107" i="40"/>
  <c r="S108" i="40"/>
  <c r="S109" i="40"/>
  <c r="S110" i="40"/>
  <c r="S111" i="40"/>
  <c r="S112" i="40"/>
  <c r="S113" i="40"/>
  <c r="S114" i="40"/>
  <c r="S115" i="40"/>
  <c r="S116" i="40"/>
  <c r="S117" i="40"/>
  <c r="S118" i="40"/>
  <c r="S119" i="40"/>
  <c r="S120" i="40"/>
  <c r="S121" i="40"/>
  <c r="S122" i="40"/>
  <c r="S123" i="40"/>
  <c r="S124" i="40"/>
  <c r="S125" i="40"/>
  <c r="S126" i="40"/>
  <c r="S127" i="40"/>
  <c r="S128" i="40"/>
  <c r="S129" i="40"/>
  <c r="S130" i="40"/>
  <c r="S131" i="40"/>
  <c r="S132" i="40"/>
  <c r="S133" i="40"/>
  <c r="S134" i="40"/>
  <c r="S135" i="40"/>
  <c r="S137" i="40"/>
  <c r="S138" i="40"/>
  <c r="S139" i="40"/>
  <c r="S140" i="40"/>
  <c r="S141" i="40"/>
  <c r="S142" i="40"/>
  <c r="S143" i="40"/>
  <c r="S144" i="40"/>
  <c r="S145" i="40"/>
  <c r="S146" i="40"/>
  <c r="S147" i="40"/>
  <c r="S148" i="40"/>
  <c r="S149" i="40"/>
  <c r="S150" i="40"/>
  <c r="S151" i="40"/>
  <c r="S152" i="40"/>
  <c r="S153" i="40"/>
  <c r="S154" i="40"/>
  <c r="S155" i="40"/>
  <c r="S156" i="40"/>
  <c r="S157" i="40"/>
  <c r="S158" i="40"/>
  <c r="S159" i="40"/>
  <c r="S160" i="40"/>
  <c r="S161" i="40"/>
  <c r="S162" i="40"/>
  <c r="S163" i="40"/>
  <c r="S164" i="40"/>
  <c r="S165" i="40"/>
  <c r="S166" i="40"/>
  <c r="S167" i="40"/>
  <c r="S168" i="40"/>
  <c r="S169" i="40"/>
  <c r="S170" i="40"/>
  <c r="S171" i="40"/>
  <c r="S172" i="40"/>
  <c r="S173" i="40"/>
  <c r="S174" i="40"/>
  <c r="S175" i="40"/>
  <c r="S176" i="40"/>
  <c r="S177" i="40"/>
  <c r="S178" i="40"/>
  <c r="S179" i="40"/>
  <c r="S180" i="40"/>
  <c r="S181" i="40"/>
  <c r="S182" i="40"/>
  <c r="S183" i="40"/>
  <c r="S184" i="40"/>
  <c r="S185" i="40"/>
  <c r="S186" i="40"/>
  <c r="S187" i="40"/>
  <c r="S188" i="40"/>
  <c r="S189" i="40"/>
  <c r="S190" i="40"/>
  <c r="S191" i="40"/>
  <c r="S192" i="40"/>
  <c r="S193" i="40"/>
  <c r="S194" i="40"/>
  <c r="S195" i="40"/>
  <c r="S196" i="40"/>
  <c r="S197" i="40"/>
  <c r="S198" i="40"/>
  <c r="S199" i="40"/>
  <c r="S200" i="40"/>
  <c r="S201" i="40"/>
  <c r="S202" i="40"/>
  <c r="S203" i="40"/>
  <c r="S204" i="40"/>
  <c r="S205" i="40"/>
  <c r="S206" i="40"/>
  <c r="S207" i="40"/>
  <c r="S208" i="40"/>
  <c r="S209" i="40"/>
  <c r="S210" i="40"/>
  <c r="S211" i="40"/>
  <c r="S212" i="40"/>
  <c r="S213" i="40"/>
  <c r="S214" i="40"/>
  <c r="S215" i="40"/>
  <c r="S216" i="40"/>
  <c r="S217" i="40"/>
  <c r="S218" i="40"/>
  <c r="S219" i="40"/>
  <c r="S220" i="40"/>
  <c r="S221" i="40"/>
  <c r="S222" i="40"/>
  <c r="S223" i="40"/>
  <c r="S224" i="40"/>
  <c r="S225" i="40"/>
  <c r="S226" i="40"/>
  <c r="S227" i="40"/>
  <c r="S228" i="40"/>
  <c r="S229" i="40"/>
  <c r="S230" i="40"/>
  <c r="S231" i="40"/>
  <c r="S232" i="40"/>
  <c r="S233" i="40"/>
  <c r="S234" i="40"/>
  <c r="S235" i="40"/>
  <c r="S236" i="40"/>
  <c r="S237" i="40"/>
  <c r="S238" i="40"/>
  <c r="S239" i="40"/>
  <c r="S240" i="40"/>
  <c r="S241" i="40"/>
  <c r="S242" i="40"/>
  <c r="S243" i="40"/>
  <c r="S244" i="40"/>
  <c r="S245" i="40"/>
  <c r="S246" i="40"/>
  <c r="S247" i="40"/>
  <c r="S248" i="40"/>
  <c r="S249" i="40"/>
  <c r="S250" i="40"/>
  <c r="S251" i="40"/>
  <c r="S252" i="40"/>
  <c r="S253" i="40"/>
  <c r="S254" i="40"/>
  <c r="S255" i="40"/>
  <c r="S256" i="40"/>
  <c r="S257" i="40"/>
  <c r="S258" i="40"/>
  <c r="S259" i="40"/>
  <c r="S260" i="40"/>
  <c r="S261" i="40"/>
  <c r="S262" i="40"/>
  <c r="S263" i="40"/>
  <c r="S264" i="40"/>
  <c r="S265" i="40"/>
  <c r="S266" i="40"/>
  <c r="S267" i="40"/>
  <c r="S268" i="40"/>
  <c r="S269" i="40"/>
  <c r="S270" i="40"/>
  <c r="S271" i="40"/>
  <c r="S272" i="40"/>
  <c r="S273" i="40"/>
  <c r="S274" i="40"/>
  <c r="S275" i="40"/>
  <c r="S276" i="40"/>
  <c r="S277" i="40"/>
  <c r="S278" i="40"/>
  <c r="S279" i="40"/>
  <c r="S280" i="40"/>
  <c r="S282" i="40"/>
  <c r="S283" i="40"/>
  <c r="S284" i="40"/>
  <c r="S285" i="40"/>
  <c r="S286" i="40"/>
  <c r="S287" i="40"/>
  <c r="S288" i="40"/>
  <c r="S289" i="40"/>
  <c r="S290" i="40"/>
  <c r="S291" i="40"/>
  <c r="S292" i="40"/>
  <c r="S293" i="40"/>
  <c r="S294" i="40"/>
  <c r="S295" i="40"/>
  <c r="S296" i="40"/>
  <c r="S297" i="40"/>
  <c r="S298" i="40"/>
  <c r="S299" i="40"/>
  <c r="S300" i="40"/>
  <c r="S301" i="40"/>
  <c r="S302" i="40"/>
  <c r="S303" i="40"/>
  <c r="S304" i="40"/>
  <c r="S305" i="40"/>
  <c r="S306" i="40"/>
  <c r="S307" i="40"/>
  <c r="S308" i="40"/>
  <c r="S309" i="40"/>
  <c r="S310" i="40"/>
  <c r="S311" i="40"/>
  <c r="S312" i="40"/>
  <c r="S313" i="40"/>
  <c r="S314" i="40"/>
  <c r="S315" i="40"/>
  <c r="S316" i="40"/>
  <c r="S317" i="40"/>
  <c r="S318" i="40"/>
  <c r="S319" i="40"/>
  <c r="S320" i="40"/>
  <c r="S321" i="40"/>
  <c r="S322" i="40"/>
  <c r="S323" i="40"/>
  <c r="S324" i="40"/>
  <c r="S325" i="40"/>
  <c r="S326" i="40"/>
  <c r="S327" i="40"/>
  <c r="S328" i="40"/>
  <c r="S329" i="40"/>
  <c r="S330" i="40"/>
  <c r="S331" i="40"/>
  <c r="S332" i="40"/>
  <c r="S333" i="40"/>
  <c r="S334" i="40"/>
  <c r="S335" i="40"/>
  <c r="S336" i="40"/>
  <c r="S337" i="40"/>
  <c r="S338" i="40"/>
  <c r="S339" i="40"/>
  <c r="S340" i="40"/>
  <c r="S341" i="40"/>
  <c r="S342" i="40"/>
  <c r="S343" i="40"/>
  <c r="S344" i="40"/>
  <c r="S345" i="40"/>
  <c r="S346" i="40"/>
  <c r="S347" i="40"/>
  <c r="S348" i="40"/>
  <c r="S349" i="40"/>
  <c r="S350" i="40"/>
  <c r="S351" i="40"/>
  <c r="S352" i="40"/>
  <c r="S353" i="40"/>
  <c r="S354" i="40"/>
  <c r="S355" i="40"/>
  <c r="S356" i="40"/>
  <c r="S357" i="40"/>
  <c r="S358" i="40"/>
  <c r="S359" i="40"/>
  <c r="S360" i="40"/>
  <c r="S361" i="40"/>
  <c r="S362" i="40"/>
  <c r="S363" i="40"/>
  <c r="S364" i="40"/>
  <c r="S365" i="40"/>
  <c r="S366" i="40"/>
  <c r="S367" i="40"/>
  <c r="S368" i="40"/>
  <c r="S369" i="40"/>
  <c r="S370" i="40"/>
  <c r="S371" i="40"/>
  <c r="S372" i="40"/>
  <c r="S373" i="40"/>
  <c r="S374" i="40"/>
  <c r="S375" i="40"/>
  <c r="S376" i="40"/>
  <c r="S377" i="40"/>
  <c r="S378" i="40"/>
  <c r="S379" i="40"/>
  <c r="S380" i="40"/>
  <c r="S381" i="40"/>
  <c r="S382" i="40"/>
  <c r="S384" i="40"/>
  <c r="S385" i="40"/>
  <c r="S386" i="40"/>
  <c r="S387" i="40"/>
  <c r="S388" i="40"/>
  <c r="S389" i="40"/>
  <c r="S390" i="40"/>
  <c r="S391" i="40"/>
  <c r="S392" i="40"/>
  <c r="S393" i="40"/>
  <c r="S394" i="40"/>
  <c r="S395" i="40"/>
  <c r="S396" i="40"/>
  <c r="S397" i="40"/>
  <c r="S398" i="40"/>
  <c r="S399" i="40"/>
  <c r="S400" i="40"/>
  <c r="S401" i="40"/>
  <c r="S402" i="40"/>
  <c r="S403" i="40"/>
  <c r="S404" i="40"/>
  <c r="S405" i="40"/>
  <c r="S406" i="40"/>
  <c r="S407" i="40"/>
  <c r="S408" i="40"/>
  <c r="S409" i="40"/>
  <c r="S410" i="40"/>
  <c r="S411" i="40"/>
  <c r="S412" i="40"/>
  <c r="S413" i="40"/>
  <c r="S414" i="40"/>
  <c r="S415" i="40"/>
  <c r="S416" i="40"/>
  <c r="S417" i="40"/>
  <c r="S418" i="40"/>
  <c r="S419" i="40"/>
  <c r="S420" i="40"/>
  <c r="S421" i="40"/>
  <c r="S422" i="40"/>
  <c r="S423" i="40"/>
  <c r="S424" i="40"/>
  <c r="S425" i="40"/>
  <c r="S426" i="40"/>
  <c r="S427" i="40"/>
  <c r="S428" i="40"/>
  <c r="S429" i="40"/>
  <c r="S430" i="40"/>
  <c r="S431" i="40"/>
  <c r="S432" i="40"/>
  <c r="S433" i="40"/>
  <c r="S434" i="40"/>
  <c r="S435" i="40"/>
  <c r="S436" i="40"/>
  <c r="S437" i="40"/>
  <c r="S438" i="40"/>
  <c r="S439" i="40"/>
  <c r="S440" i="40"/>
  <c r="S441" i="40"/>
  <c r="S442" i="40"/>
  <c r="S443" i="40"/>
  <c r="S444" i="40"/>
  <c r="S445" i="40"/>
  <c r="S446" i="40"/>
  <c r="S447" i="40"/>
  <c r="S448" i="40"/>
  <c r="S449" i="40"/>
  <c r="S450" i="40"/>
  <c r="S451" i="40"/>
  <c r="S452" i="40"/>
  <c r="S453" i="40"/>
  <c r="S454" i="40"/>
  <c r="S455" i="40"/>
  <c r="S456" i="40"/>
  <c r="S457" i="40"/>
  <c r="S458" i="40"/>
  <c r="S459" i="40"/>
  <c r="S460" i="40"/>
  <c r="S461" i="40"/>
  <c r="S462" i="40"/>
  <c r="S463" i="40"/>
  <c r="S464" i="40"/>
  <c r="S465" i="40"/>
  <c r="S466" i="40"/>
  <c r="S467" i="40"/>
  <c r="S468" i="40"/>
  <c r="S469" i="40"/>
  <c r="S470" i="40"/>
  <c r="S471" i="40"/>
  <c r="S472" i="40"/>
  <c r="S473" i="40"/>
  <c r="S474" i="40"/>
  <c r="S475" i="40"/>
  <c r="S476" i="40"/>
  <c r="S477" i="40"/>
  <c r="S478" i="40"/>
  <c r="S479" i="40"/>
  <c r="S480" i="40"/>
  <c r="S481" i="40"/>
  <c r="S482" i="40"/>
  <c r="S483" i="40"/>
  <c r="S484" i="40"/>
  <c r="S485" i="40"/>
  <c r="S486" i="40"/>
  <c r="S487" i="40"/>
  <c r="S488" i="40"/>
  <c r="S489" i="40"/>
  <c r="S490" i="40"/>
  <c r="S491" i="40"/>
  <c r="S492" i="40"/>
  <c r="S493" i="40"/>
  <c r="S494" i="40"/>
  <c r="S495" i="40"/>
  <c r="S496" i="40"/>
  <c r="S497" i="40"/>
  <c r="S498" i="40"/>
  <c r="S499" i="40"/>
  <c r="S500" i="40"/>
  <c r="S501" i="40"/>
  <c r="S502" i="40"/>
  <c r="S503" i="40"/>
  <c r="S504" i="40"/>
  <c r="S505" i="40"/>
  <c r="S506" i="40"/>
  <c r="S507" i="40"/>
  <c r="S508" i="40"/>
  <c r="S509" i="40"/>
  <c r="S510" i="40"/>
  <c r="S511" i="40"/>
  <c r="S512" i="40"/>
  <c r="S513" i="40"/>
  <c r="S514" i="40"/>
  <c r="S515" i="40"/>
  <c r="S516" i="40"/>
  <c r="S517" i="40"/>
  <c r="S518" i="40"/>
  <c r="S519" i="40"/>
  <c r="S520" i="40"/>
  <c r="S521" i="40"/>
  <c r="S522" i="40"/>
  <c r="S523" i="40"/>
  <c r="S524" i="40"/>
  <c r="S525" i="40"/>
  <c r="S526" i="40"/>
  <c r="S527" i="40"/>
  <c r="S528" i="40"/>
  <c r="S529" i="40"/>
  <c r="S530" i="40"/>
  <c r="S531" i="40"/>
  <c r="S532" i="40"/>
  <c r="S533" i="40"/>
  <c r="S534" i="40"/>
  <c r="S535" i="40"/>
  <c r="S536" i="40"/>
  <c r="S537" i="40"/>
  <c r="S538" i="40"/>
  <c r="S539" i="40"/>
  <c r="S540" i="40"/>
  <c r="S541" i="40"/>
  <c r="S542" i="40"/>
  <c r="S543" i="40"/>
  <c r="S544" i="40"/>
  <c r="S545" i="40"/>
  <c r="S546" i="40"/>
  <c r="S547" i="40"/>
  <c r="S548" i="40"/>
  <c r="S549" i="40"/>
  <c r="S550" i="40"/>
  <c r="S551" i="40"/>
  <c r="S552" i="40"/>
  <c r="S553" i="40"/>
  <c r="S554" i="40"/>
  <c r="S555" i="40"/>
  <c r="S556" i="40"/>
  <c r="S557" i="40"/>
  <c r="S558" i="40"/>
  <c r="S559" i="40"/>
  <c r="S560" i="40"/>
  <c r="S561" i="40"/>
  <c r="S562" i="40"/>
  <c r="S563" i="40"/>
  <c r="S564" i="40"/>
  <c r="S565" i="40"/>
  <c r="S566" i="40"/>
  <c r="S567" i="40"/>
  <c r="S568" i="40"/>
  <c r="S569" i="40"/>
  <c r="S570" i="40"/>
  <c r="S571" i="40"/>
  <c r="S572" i="40"/>
  <c r="S573" i="40"/>
  <c r="S574" i="40"/>
  <c r="S575" i="40"/>
  <c r="S576" i="40"/>
  <c r="S577" i="40"/>
  <c r="S578" i="40"/>
  <c r="S579" i="40"/>
  <c r="S580" i="40"/>
  <c r="S581" i="40"/>
  <c r="S582" i="40"/>
  <c r="S583" i="40"/>
  <c r="S584" i="40"/>
  <c r="S585" i="40"/>
  <c r="S586" i="40"/>
  <c r="S587" i="40"/>
  <c r="S588" i="40"/>
  <c r="S589" i="40"/>
  <c r="S590" i="40"/>
  <c r="S591" i="40"/>
  <c r="S592" i="40"/>
  <c r="S593" i="40"/>
  <c r="S594" i="40"/>
  <c r="S595" i="40"/>
  <c r="S596" i="40"/>
  <c r="S597" i="40"/>
  <c r="S598" i="40"/>
  <c r="S599" i="40"/>
  <c r="S600" i="40"/>
  <c r="S601" i="40"/>
  <c r="S602" i="40"/>
  <c r="S603" i="40"/>
  <c r="S604" i="40"/>
  <c r="S605" i="40"/>
  <c r="S606" i="40"/>
  <c r="S607" i="40"/>
  <c r="S608" i="40"/>
  <c r="S609" i="40"/>
  <c r="S610" i="40"/>
  <c r="S611" i="40"/>
  <c r="S612" i="40"/>
  <c r="S613" i="40"/>
  <c r="S3" i="40"/>
  <c r="M614" i="40"/>
  <c r="C3" i="69" s="1"/>
  <c r="O614" i="40"/>
  <c r="P614" i="40"/>
  <c r="Q614" i="40"/>
  <c r="R614" i="40"/>
  <c r="S56" i="61"/>
  <c r="L34" i="74"/>
  <c r="R34" i="74" s="1"/>
  <c r="R10" i="74" l="1"/>
  <c r="M25" i="74"/>
  <c r="M53" i="74"/>
  <c r="L53" i="74" s="1"/>
  <c r="R53" i="74" s="1"/>
  <c r="M27" i="74"/>
  <c r="L27" i="74" s="1"/>
  <c r="R27" i="74" s="1"/>
  <c r="M61" i="74"/>
  <c r="L61" i="74" s="1"/>
  <c r="R61" i="74" s="1"/>
  <c r="M30" i="74"/>
  <c r="R30" i="74" s="1"/>
  <c r="M106" i="74"/>
  <c r="L106" i="74" s="1"/>
  <c r="R106" i="74" s="1"/>
  <c r="M102" i="74"/>
  <c r="L102" i="74" s="1"/>
  <c r="R102" i="74" s="1"/>
  <c r="M96" i="74"/>
  <c r="L96" i="74" s="1"/>
  <c r="R96" i="74" s="1"/>
  <c r="M95" i="74"/>
  <c r="L95" i="74" s="1"/>
  <c r="R95" i="74" s="1"/>
  <c r="M45" i="74"/>
  <c r="L45" i="74" s="1"/>
  <c r="R45" i="74" s="1"/>
  <c r="M44" i="74"/>
  <c r="L44" i="74" s="1"/>
  <c r="R44" i="74" s="1"/>
  <c r="M38" i="74"/>
  <c r="L38" i="74" s="1"/>
  <c r="R38" i="74" s="1"/>
  <c r="M42" i="74"/>
  <c r="L42" i="74" s="1"/>
  <c r="R42" i="74" s="1"/>
  <c r="L25" i="74" l="1"/>
  <c r="S18" i="75"/>
  <c r="S292" i="75"/>
  <c r="S291" i="75"/>
  <c r="S290" i="75"/>
  <c r="S289" i="75"/>
  <c r="S288" i="75"/>
  <c r="S287" i="75"/>
  <c r="S286" i="75"/>
  <c r="S285" i="75"/>
  <c r="S284" i="75"/>
  <c r="S283" i="75"/>
  <c r="S282" i="75"/>
  <c r="S281" i="75"/>
  <c r="S280" i="75"/>
  <c r="S279" i="75"/>
  <c r="S278" i="75"/>
  <c r="S277" i="75"/>
  <c r="S276" i="75"/>
  <c r="S275" i="75"/>
  <c r="S274" i="75"/>
  <c r="S273" i="75"/>
  <c r="S272" i="75"/>
  <c r="S271" i="75"/>
  <c r="S270" i="75"/>
  <c r="S269" i="75"/>
  <c r="S268" i="75"/>
  <c r="S267" i="75"/>
  <c r="S266" i="75"/>
  <c r="S265" i="75"/>
  <c r="S264" i="75"/>
  <c r="S263" i="75"/>
  <c r="S262" i="75"/>
  <c r="S261" i="75"/>
  <c r="S260" i="75"/>
  <c r="S259" i="75"/>
  <c r="S258" i="75"/>
  <c r="S257" i="75"/>
  <c r="S256" i="75"/>
  <c r="S255" i="75"/>
  <c r="S254" i="75"/>
  <c r="S253" i="75"/>
  <c r="S252" i="75"/>
  <c r="S251" i="75"/>
  <c r="S250" i="75"/>
  <c r="S249" i="75"/>
  <c r="S248" i="75"/>
  <c r="S247" i="75"/>
  <c r="S246" i="75"/>
  <c r="S245" i="75"/>
  <c r="S244" i="75"/>
  <c r="S243" i="75"/>
  <c r="S242" i="75"/>
  <c r="S241" i="75"/>
  <c r="S240" i="75"/>
  <c r="S239" i="75"/>
  <c r="S238" i="75"/>
  <c r="S237" i="75"/>
  <c r="S236" i="75"/>
  <c r="S235" i="75"/>
  <c r="S234" i="75"/>
  <c r="S233" i="75"/>
  <c r="S232" i="75"/>
  <c r="S231" i="75"/>
  <c r="S230" i="75"/>
  <c r="S229" i="75"/>
  <c r="S228" i="75"/>
  <c r="S227" i="75"/>
  <c r="S226" i="75"/>
  <c r="S225" i="75"/>
  <c r="S224" i="75"/>
  <c r="S223" i="75"/>
  <c r="S222" i="75"/>
  <c r="S221" i="75"/>
  <c r="S220" i="75"/>
  <c r="S219" i="75"/>
  <c r="S218" i="75"/>
  <c r="S217" i="75"/>
  <c r="S216" i="75"/>
  <c r="S215" i="75"/>
  <c r="S214" i="75"/>
  <c r="S213" i="75"/>
  <c r="S212" i="75"/>
  <c r="S211" i="75"/>
  <c r="S210" i="75"/>
  <c r="S209" i="75"/>
  <c r="S208" i="75"/>
  <c r="S207" i="75"/>
  <c r="S206" i="75"/>
  <c r="S205" i="75"/>
  <c r="S204" i="75"/>
  <c r="S203" i="75"/>
  <c r="S202" i="75"/>
  <c r="S201" i="75"/>
  <c r="S200" i="75"/>
  <c r="S199" i="75"/>
  <c r="S198" i="75"/>
  <c r="S197" i="75"/>
  <c r="S196" i="75"/>
  <c r="S195" i="75"/>
  <c r="S194" i="75"/>
  <c r="S193" i="75"/>
  <c r="S192" i="75"/>
  <c r="S191" i="75"/>
  <c r="S190" i="75"/>
  <c r="S189" i="75"/>
  <c r="S188" i="75"/>
  <c r="S187" i="75"/>
  <c r="S186" i="75"/>
  <c r="S185" i="75"/>
  <c r="S184" i="75"/>
  <c r="S183" i="75"/>
  <c r="S182" i="75"/>
  <c r="S181" i="75"/>
  <c r="S180" i="75"/>
  <c r="S179" i="75"/>
  <c r="S178" i="75"/>
  <c r="S177" i="75"/>
  <c r="S176" i="75"/>
  <c r="S175" i="75"/>
  <c r="S174" i="75"/>
  <c r="S173" i="75"/>
  <c r="S172" i="75"/>
  <c r="S171" i="75"/>
  <c r="S170" i="75"/>
  <c r="S169" i="75"/>
  <c r="S168" i="75"/>
  <c r="S167" i="75"/>
  <c r="S166" i="75"/>
  <c r="S165" i="75"/>
  <c r="S164" i="75"/>
  <c r="S163" i="75"/>
  <c r="S162" i="75"/>
  <c r="S161" i="75"/>
  <c r="S160" i="75"/>
  <c r="S159" i="75"/>
  <c r="S158" i="75"/>
  <c r="S157" i="75"/>
  <c r="S156" i="75"/>
  <c r="S155" i="75"/>
  <c r="S154" i="75"/>
  <c r="S153" i="75"/>
  <c r="S152" i="75"/>
  <c r="S151" i="75"/>
  <c r="S150" i="75"/>
  <c r="S149" i="75"/>
  <c r="S148" i="75"/>
  <c r="S147" i="75"/>
  <c r="S146" i="75"/>
  <c r="S145" i="75"/>
  <c r="S144" i="75"/>
  <c r="S143" i="75"/>
  <c r="S142" i="75"/>
  <c r="S141" i="75"/>
  <c r="S140" i="75"/>
  <c r="S139" i="75"/>
  <c r="S138" i="75"/>
  <c r="S137" i="75"/>
  <c r="S136" i="75"/>
  <c r="S135" i="75"/>
  <c r="S134" i="75"/>
  <c r="S133" i="75"/>
  <c r="S132" i="75"/>
  <c r="S131" i="75"/>
  <c r="S130" i="75"/>
  <c r="S129" i="75"/>
  <c r="S128" i="75"/>
  <c r="S127" i="75"/>
  <c r="S126" i="75"/>
  <c r="S125" i="75"/>
  <c r="S124" i="75"/>
  <c r="S122" i="75"/>
  <c r="S123" i="75"/>
  <c r="N53" i="40"/>
  <c r="N52" i="40"/>
  <c r="N51" i="40"/>
  <c r="T51" i="40" s="1"/>
  <c r="S52" i="40" l="1"/>
  <c r="T52" i="40"/>
  <c r="S53" i="40"/>
  <c r="T53" i="40"/>
  <c r="R25" i="74"/>
  <c r="S51" i="40"/>
  <c r="L56" i="74"/>
  <c r="L121" i="74" l="1"/>
  <c r="C4" i="69" s="1"/>
  <c r="N932" i="77"/>
  <c r="M932" i="77"/>
  <c r="M16" i="61" l="1"/>
  <c r="N16" i="61" l="1"/>
  <c r="N64" i="61" s="1"/>
  <c r="C8" i="69" s="1"/>
  <c r="M64" i="61"/>
  <c r="D8" i="69" s="1"/>
  <c r="N16" i="75"/>
  <c r="M16" i="75"/>
  <c r="N14" i="75"/>
  <c r="N13" i="75"/>
  <c r="N12" i="75"/>
  <c r="M12" i="75"/>
  <c r="N11" i="75"/>
  <c r="N383" i="40" l="1"/>
  <c r="J5" i="41"/>
  <c r="S383" i="40" l="1"/>
  <c r="T383" i="40"/>
  <c r="L6" i="40"/>
  <c r="T6" i="40" s="1"/>
  <c r="M10" i="75" l="1"/>
  <c r="M9" i="75" l="1"/>
  <c r="J31" i="55"/>
  <c r="L16" i="61"/>
  <c r="L64" i="61" s="1"/>
  <c r="M8" i="75"/>
  <c r="J273" i="55" l="1"/>
  <c r="W31" i="55"/>
  <c r="V31" i="55"/>
  <c r="L273" i="55"/>
  <c r="N273" i="55"/>
  <c r="O273" i="55"/>
  <c r="P273" i="55"/>
  <c r="Q273" i="55"/>
  <c r="L375" i="40" l="1"/>
  <c r="L34" i="40"/>
  <c r="L78" i="40"/>
  <c r="L81" i="40"/>
  <c r="L100" i="40"/>
  <c r="L126" i="40"/>
  <c r="L281" i="40"/>
  <c r="L347" i="40"/>
  <c r="L469" i="40"/>
  <c r="L552" i="40"/>
  <c r="L445" i="40"/>
  <c r="K4" i="41"/>
  <c r="M56" i="74"/>
  <c r="N9" i="31"/>
  <c r="N16" i="31"/>
  <c r="T16" i="31" s="1"/>
  <c r="O16" i="31"/>
  <c r="P24" i="31"/>
  <c r="Q24" i="31"/>
  <c r="Q30" i="31"/>
  <c r="T30" i="31" s="1"/>
  <c r="N32" i="31"/>
  <c r="T32" i="31" s="1"/>
  <c r="Q41" i="31"/>
  <c r="R41" i="31"/>
  <c r="S41" i="31"/>
  <c r="Q46" i="31"/>
  <c r="P46" i="31"/>
  <c r="Q61" i="31"/>
  <c r="R61" i="31"/>
  <c r="Q65" i="31"/>
  <c r="R65" i="31"/>
  <c r="S65" i="31"/>
  <c r="Q70" i="31"/>
  <c r="R70" i="31"/>
  <c r="S70" i="31"/>
  <c r="P70" i="31"/>
  <c r="P81" i="31"/>
  <c r="T81" i="31" s="1"/>
  <c r="P82" i="31"/>
  <c r="T82" i="31" s="1"/>
  <c r="P83" i="31"/>
  <c r="T83" i="31" s="1"/>
  <c r="R87" i="31"/>
  <c r="P87" i="31"/>
  <c r="O93" i="31"/>
  <c r="P94" i="31"/>
  <c r="T94" i="31" s="1"/>
  <c r="O98" i="31"/>
  <c r="T98" i="31" s="1"/>
  <c r="W289" i="55"/>
  <c r="W290" i="55"/>
  <c r="R62" i="55"/>
  <c r="S62" i="55"/>
  <c r="M79" i="55"/>
  <c r="W291" i="55"/>
  <c r="W292" i="55"/>
  <c r="W293" i="55"/>
  <c r="R154" i="55"/>
  <c r="W154" i="55" s="1"/>
  <c r="S154" i="55"/>
  <c r="T154" i="55"/>
  <c r="T273" i="55" s="1"/>
  <c r="U154" i="55"/>
  <c r="U273" i="55" s="1"/>
  <c r="W294" i="55"/>
  <c r="N281" i="40"/>
  <c r="S281" i="40" s="1"/>
  <c r="N136" i="40"/>
  <c r="T136" i="40" s="1"/>
  <c r="T614" i="40" s="1"/>
  <c r="D3" i="69" s="1"/>
  <c r="K8" i="41"/>
  <c r="K27" i="62"/>
  <c r="M10" i="62"/>
  <c r="O10" i="62" s="1"/>
  <c r="L10" i="62"/>
  <c r="N10" i="62" s="1"/>
  <c r="P10" i="62" s="1"/>
  <c r="L4" i="62"/>
  <c r="M4" i="62" s="1"/>
  <c r="N4" i="62" s="1"/>
  <c r="O4" i="62" s="1"/>
  <c r="P4" i="62" s="1"/>
  <c r="Q4" i="62" s="1"/>
  <c r="R4" i="62" s="1"/>
  <c r="S4" i="62" s="1"/>
  <c r="T4" i="62"/>
  <c r="U4" i="62"/>
  <c r="V4" i="62"/>
  <c r="W4" i="62"/>
  <c r="L5" i="62"/>
  <c r="M5" i="62" s="1"/>
  <c r="N5" i="62" s="1"/>
  <c r="O5" i="62" s="1"/>
  <c r="P5" i="62" s="1"/>
  <c r="Q5" i="62" s="1"/>
  <c r="R5" i="62" s="1"/>
  <c r="S5" i="62" s="1"/>
  <c r="T5" i="62" s="1"/>
  <c r="U5" i="62" s="1"/>
  <c r="V5" i="62"/>
  <c r="W5" i="62"/>
  <c r="L6" i="62"/>
  <c r="M6" i="62" s="1"/>
  <c r="N6" i="62" s="1"/>
  <c r="O6" i="62" s="1"/>
  <c r="P6" i="62"/>
  <c r="Q6" i="62"/>
  <c r="R6" i="62"/>
  <c r="S6" i="62"/>
  <c r="T6" i="62"/>
  <c r="U6" i="62"/>
  <c r="V6" i="62"/>
  <c r="W6" i="62"/>
  <c r="L7" i="62"/>
  <c r="M7" i="62" s="1"/>
  <c r="N7" i="62" s="1"/>
  <c r="O7" i="62" s="1"/>
  <c r="P7" i="62" s="1"/>
  <c r="Q7" i="62" s="1"/>
  <c r="R7" i="62" s="1"/>
  <c r="S7" i="62" s="1"/>
  <c r="T7" i="62" s="1"/>
  <c r="U7" i="62" s="1"/>
  <c r="V7" i="62"/>
  <c r="W7" i="62"/>
  <c r="L8" i="62"/>
  <c r="M8" i="62" s="1"/>
  <c r="N8" i="62"/>
  <c r="O8" i="62"/>
  <c r="P8" i="62"/>
  <c r="Q8" i="62"/>
  <c r="R8" i="62"/>
  <c r="S8" i="62"/>
  <c r="T8" i="62"/>
  <c r="U8" i="62"/>
  <c r="V8" i="62"/>
  <c r="W8" i="62"/>
  <c r="L9" i="62"/>
  <c r="M9" i="62" s="1"/>
  <c r="N9" i="62" s="1"/>
  <c r="O9" i="62" s="1"/>
  <c r="P9" i="62" s="1"/>
  <c r="Q9" i="62" s="1"/>
  <c r="R9" i="62"/>
  <c r="S9" i="62"/>
  <c r="T9" i="62"/>
  <c r="U9" i="62"/>
  <c r="V9" i="62"/>
  <c r="W9" i="62"/>
  <c r="L11" i="62"/>
  <c r="M11" i="62" s="1"/>
  <c r="N11" i="62"/>
  <c r="O11" i="62" s="1"/>
  <c r="P11" i="62" s="1"/>
  <c r="Q11" i="62" s="1"/>
  <c r="R11" i="62"/>
  <c r="S11" i="62"/>
  <c r="T11" i="62"/>
  <c r="U11" i="62"/>
  <c r="V11" i="62"/>
  <c r="W11" i="62"/>
  <c r="L12" i="62"/>
  <c r="M12" i="62" s="1"/>
  <c r="N12" i="62" s="1"/>
  <c r="O12" i="62" s="1"/>
  <c r="P12" i="62" s="1"/>
  <c r="Q12" i="62" s="1"/>
  <c r="R12" i="62"/>
  <c r="S12" i="62"/>
  <c r="T12" i="62"/>
  <c r="U12" i="62"/>
  <c r="V12" i="62"/>
  <c r="W12" i="62"/>
  <c r="L13" i="62"/>
  <c r="M13" i="62" s="1"/>
  <c r="N13" i="62"/>
  <c r="O13" i="62" s="1"/>
  <c r="P13" i="62" s="1"/>
  <c r="Q13" i="62" s="1"/>
  <c r="R13" i="62" s="1"/>
  <c r="S13" i="62" s="1"/>
  <c r="T13" i="62" s="1"/>
  <c r="U13" i="62" s="1"/>
  <c r="V13" i="62" s="1"/>
  <c r="W13" i="62"/>
  <c r="L14" i="62"/>
  <c r="M14" i="62" s="1"/>
  <c r="N14" i="62" s="1"/>
  <c r="O14" i="62" s="1"/>
  <c r="P14" i="62" s="1"/>
  <c r="Q14" i="62"/>
  <c r="R14" i="62"/>
  <c r="S14" i="62"/>
  <c r="T14" i="62"/>
  <c r="U14" i="62"/>
  <c r="V14" i="62"/>
  <c r="W14" i="62"/>
  <c r="L15" i="62"/>
  <c r="M15" i="62" s="1"/>
  <c r="N15" i="62" s="1"/>
  <c r="O15" i="62" s="1"/>
  <c r="P15" i="62" s="1"/>
  <c r="Q15" i="62" s="1"/>
  <c r="R15" i="62"/>
  <c r="S15" i="62"/>
  <c r="T15" i="62"/>
  <c r="U15" i="62"/>
  <c r="V15" i="62"/>
  <c r="W15" i="62"/>
  <c r="L16" i="62"/>
  <c r="M16" i="62"/>
  <c r="N16" i="62"/>
  <c r="O16" i="62"/>
  <c r="P16" i="62"/>
  <c r="Q16" i="62"/>
  <c r="R16" i="62"/>
  <c r="S16" i="62"/>
  <c r="T16" i="62"/>
  <c r="U16" i="62"/>
  <c r="V16" i="62"/>
  <c r="W16" i="62"/>
  <c r="L17" i="62"/>
  <c r="M17" i="62" s="1"/>
  <c r="N17" i="62"/>
  <c r="O17" i="62" s="1"/>
  <c r="P17" i="62" s="1"/>
  <c r="Q17" i="62" s="1"/>
  <c r="R17" i="62" s="1"/>
  <c r="S17" i="62" s="1"/>
  <c r="T17" i="62" s="1"/>
  <c r="U17" i="62"/>
  <c r="V17" i="62"/>
  <c r="W17" i="62"/>
  <c r="L18" i="62"/>
  <c r="M18" i="62" s="1"/>
  <c r="N18" i="62"/>
  <c r="O18" i="62" s="1"/>
  <c r="P18" i="62"/>
  <c r="Q18" i="62"/>
  <c r="R18" i="62"/>
  <c r="S18" i="62"/>
  <c r="T18" i="62"/>
  <c r="U18" i="62"/>
  <c r="V18" i="62"/>
  <c r="W18" i="62"/>
  <c r="L19" i="62"/>
  <c r="M19" i="62" s="1"/>
  <c r="N19" i="62" s="1"/>
  <c r="O19" i="62"/>
  <c r="P19" i="62" s="1"/>
  <c r="Q19" i="62" s="1"/>
  <c r="R19" i="62"/>
  <c r="S19" i="62"/>
  <c r="T19" i="62"/>
  <c r="U19" i="62"/>
  <c r="V19" i="62"/>
  <c r="W19" i="62"/>
  <c r="L20" i="62"/>
  <c r="M20" i="62" s="1"/>
  <c r="N20" i="62"/>
  <c r="O20" i="62" s="1"/>
  <c r="P20" i="62" s="1"/>
  <c r="Q20" i="62"/>
  <c r="R20" i="62"/>
  <c r="S20" i="62"/>
  <c r="T20" i="62"/>
  <c r="U20" i="62"/>
  <c r="V20" i="62"/>
  <c r="W20" i="62"/>
  <c r="L21" i="62"/>
  <c r="M21" i="62"/>
  <c r="N21" i="62"/>
  <c r="O21" i="62"/>
  <c r="P21" i="62"/>
  <c r="Q21" i="62"/>
  <c r="R21" i="62"/>
  <c r="S21" i="62"/>
  <c r="T21" i="62"/>
  <c r="U21" i="62"/>
  <c r="V21" i="62"/>
  <c r="W21" i="62"/>
  <c r="L22" i="62"/>
  <c r="M22" i="62" s="1"/>
  <c r="N22" i="62"/>
  <c r="O22" i="62" s="1"/>
  <c r="P22" i="62" s="1"/>
  <c r="Q22" i="62" s="1"/>
  <c r="R22" i="62" s="1"/>
  <c r="S22" i="62" s="1"/>
  <c r="T22" i="62" s="1"/>
  <c r="U22" i="62" s="1"/>
  <c r="V22" i="62" s="1"/>
  <c r="W22" i="62" s="1"/>
  <c r="L23" i="62"/>
  <c r="M23" i="62" s="1"/>
  <c r="N23" i="62" s="1"/>
  <c r="O23" i="62" s="1"/>
  <c r="P23" i="62" s="1"/>
  <c r="Q23" i="62"/>
  <c r="R23" i="62"/>
  <c r="S23" i="62"/>
  <c r="T23" i="62"/>
  <c r="U23" i="62"/>
  <c r="V23" i="62"/>
  <c r="W23" i="62"/>
  <c r="L24" i="62"/>
  <c r="M24" i="62" s="1"/>
  <c r="N24" i="62" s="1"/>
  <c r="O24" i="62"/>
  <c r="P24" i="62" s="1"/>
  <c r="Q24" i="62" s="1"/>
  <c r="R24" i="62" s="1"/>
  <c r="S24" i="62"/>
  <c r="T24" i="62"/>
  <c r="U24" i="62"/>
  <c r="V24" i="62"/>
  <c r="W24" i="62"/>
  <c r="L25" i="62"/>
  <c r="M25" i="62" s="1"/>
  <c r="N25" i="62"/>
  <c r="O25" i="62" s="1"/>
  <c r="P25" i="62" s="1"/>
  <c r="Q25" i="62"/>
  <c r="R25" i="62"/>
  <c r="S25" i="62"/>
  <c r="T25" i="62"/>
  <c r="U25" i="62"/>
  <c r="V25" i="62"/>
  <c r="W25" i="62"/>
  <c r="L26" i="62"/>
  <c r="M26" i="62" s="1"/>
  <c r="N26" i="62"/>
  <c r="O26" i="62" s="1"/>
  <c r="P26" i="62" s="1"/>
  <c r="Q26" i="62" s="1"/>
  <c r="R26" i="62" s="1"/>
  <c r="S26" i="62" s="1"/>
  <c r="T26" i="62" s="1"/>
  <c r="U26" i="62" s="1"/>
  <c r="V26" i="62" s="1"/>
  <c r="W26" i="62"/>
  <c r="O3" i="62"/>
  <c r="P3" i="62" s="1"/>
  <c r="Q3" i="62" s="1"/>
  <c r="V3" i="62"/>
  <c r="W3" i="62"/>
  <c r="L3" i="62"/>
  <c r="M3" i="62" s="1"/>
  <c r="N3" i="62" s="1"/>
  <c r="H126" i="55"/>
  <c r="H273" i="55" s="1"/>
  <c r="W295" i="55"/>
  <c r="J8" i="41"/>
  <c r="V290" i="55"/>
  <c r="V291" i="55"/>
  <c r="V292" i="55"/>
  <c r="V293" i="55"/>
  <c r="V294" i="55"/>
  <c r="V295" i="55"/>
  <c r="V289" i="55"/>
  <c r="K273" i="55"/>
  <c r="L102" i="31"/>
  <c r="B3" i="66"/>
  <c r="B4" i="66" s="1"/>
  <c r="B5" i="66"/>
  <c r="B6" i="66" s="1"/>
  <c r="B7" i="66" s="1"/>
  <c r="B8" i="66" s="1"/>
  <c r="B9" i="66" s="1"/>
  <c r="B10" i="66" s="1"/>
  <c r="B11" i="66" s="1"/>
  <c r="B12" i="66" s="1"/>
  <c r="B13" i="66" s="1"/>
  <c r="B14" i="66" s="1"/>
  <c r="B15" i="66" s="1"/>
  <c r="B16" i="66" s="1"/>
  <c r="B17" i="66" s="1"/>
  <c r="B18" i="66" s="1"/>
  <c r="B19" i="66" s="1"/>
  <c r="B20" i="66" s="1"/>
  <c r="B21" i="66" s="1"/>
  <c r="B22" i="66" s="1"/>
  <c r="B23" i="66" s="1"/>
  <c r="B24" i="66" s="1"/>
  <c r="B25" i="66" s="1"/>
  <c r="B26" i="66" s="1"/>
  <c r="B27" i="66" s="1"/>
  <c r="B28" i="66" s="1"/>
  <c r="B29" i="66" s="1"/>
  <c r="B30" i="66" s="1"/>
  <c r="B31" i="66" s="1"/>
  <c r="B32" i="66" s="1"/>
  <c r="B33" i="66" s="1"/>
  <c r="B34" i="66" s="1"/>
  <c r="B35" i="66" s="1"/>
  <c r="B36" i="66" s="1"/>
  <c r="B37" i="66" s="1"/>
  <c r="B38" i="66" s="1"/>
  <c r="B39" i="66" s="1"/>
  <c r="B40" i="66" s="1"/>
  <c r="B41" i="66" s="1"/>
  <c r="B42" i="66" s="1"/>
  <c r="B43" i="66" s="1"/>
  <c r="B44" i="66" s="1"/>
  <c r="B45" i="66" s="1"/>
  <c r="B46" i="66" s="1"/>
  <c r="B47" i="66" s="1"/>
  <c r="B48" i="66" s="1"/>
  <c r="B49" i="66" s="1"/>
  <c r="B50" i="66" s="1"/>
  <c r="B51" i="66" s="1"/>
  <c r="B52" i="66" s="1"/>
  <c r="B53" i="66" s="1"/>
  <c r="B54" i="66" s="1"/>
  <c r="B55" i="66" s="1"/>
  <c r="B56" i="66" s="1"/>
  <c r="B57" i="66" s="1"/>
  <c r="B58" i="66" s="1"/>
  <c r="B59" i="66" s="1"/>
  <c r="B60" i="66" s="1"/>
  <c r="B61" i="66" s="1"/>
  <c r="B62" i="66" s="1"/>
  <c r="B63" i="66" s="1"/>
  <c r="B64" i="66" s="1"/>
  <c r="B65" i="66" s="1"/>
  <c r="B66" i="66" s="1"/>
  <c r="B67" i="66" s="1"/>
  <c r="B68" i="66" s="1"/>
  <c r="B69" i="66" s="1"/>
  <c r="B70" i="66" s="1"/>
  <c r="B71" i="66" s="1"/>
  <c r="B72" i="66" s="1"/>
  <c r="B73" i="66" s="1"/>
  <c r="B74" i="66" s="1"/>
  <c r="B75" i="66" s="1"/>
  <c r="B76" i="66" s="1"/>
  <c r="B77" i="66" s="1"/>
  <c r="B78" i="66" s="1"/>
  <c r="B79" i="66" s="1"/>
  <c r="B80" i="66" s="1"/>
  <c r="B81" i="66" s="1"/>
  <c r="B82" i="66" s="1"/>
  <c r="B83" i="66" s="1"/>
  <c r="B84" i="66" s="1"/>
  <c r="B85" i="66" s="1"/>
  <c r="B86" i="66" s="1"/>
  <c r="B87" i="66" s="1"/>
  <c r="B88" i="66" s="1"/>
  <c r="B89" i="66" s="1"/>
  <c r="B90" i="66" s="1"/>
  <c r="B91" i="66" s="1"/>
  <c r="B92" i="66" s="1"/>
  <c r="B93" i="66" s="1"/>
  <c r="B94" i="66" s="1"/>
  <c r="B95" i="66" s="1"/>
  <c r="B96" i="66" s="1"/>
  <c r="B97" i="66" s="1"/>
  <c r="B98" i="66" s="1"/>
  <c r="B99" i="66" s="1"/>
  <c r="B100" i="66" s="1"/>
  <c r="B101" i="66" s="1"/>
  <c r="B102" i="66" s="1"/>
  <c r="B103" i="66" s="1"/>
  <c r="B104" i="66" s="1"/>
  <c r="B105" i="66" s="1"/>
  <c r="B106" i="66" s="1"/>
  <c r="B107" i="66" s="1"/>
  <c r="B108" i="66" s="1"/>
  <c r="B109" i="66" s="1"/>
  <c r="B110" i="66" s="1"/>
  <c r="B111" i="66" s="1"/>
  <c r="B112" i="66" s="1"/>
  <c r="B113" i="66" s="1"/>
  <c r="B114" i="66" s="1"/>
  <c r="B115" i="66" s="1"/>
  <c r="B116" i="66" s="1"/>
  <c r="B117" i="66" s="1"/>
  <c r="B118" i="66" s="1"/>
  <c r="B119" i="66" s="1"/>
  <c r="B120" i="66" s="1"/>
  <c r="B121" i="66" s="1"/>
  <c r="B122" i="66" s="1"/>
  <c r="B123" i="66" s="1"/>
  <c r="B124" i="66" s="1"/>
  <c r="B125" i="66" s="1"/>
  <c r="B126" i="66" s="1"/>
  <c r="B127" i="66" s="1"/>
  <c r="B128" i="66" s="1"/>
  <c r="B129" i="66" s="1"/>
  <c r="B130" i="66" s="1"/>
  <c r="B131" i="66" s="1"/>
  <c r="B132" i="66" s="1"/>
  <c r="B133" i="66" s="1"/>
  <c r="B134" i="66" s="1"/>
  <c r="B135" i="66" s="1"/>
  <c r="B136" i="66" s="1"/>
  <c r="B137" i="66" s="1"/>
  <c r="B138" i="66" s="1"/>
  <c r="B139" i="66" s="1"/>
  <c r="B140" i="66" s="1"/>
  <c r="B141" i="66" s="1"/>
  <c r="B142" i="66" s="1"/>
  <c r="B143" i="66" s="1"/>
  <c r="B144" i="66" s="1"/>
  <c r="B145" i="66" s="1"/>
  <c r="B146" i="66" s="1"/>
  <c r="B147" i="66" s="1"/>
  <c r="B148" i="66" s="1"/>
  <c r="B149" i="66" s="1"/>
  <c r="B150" i="66" s="1"/>
  <c r="B151" i="66" s="1"/>
  <c r="B152" i="66" s="1"/>
  <c r="B153" i="66" s="1"/>
  <c r="B154" i="66" s="1"/>
  <c r="B155" i="66" s="1"/>
  <c r="B156" i="66" s="1"/>
  <c r="B157" i="66" s="1"/>
  <c r="B158" i="66" s="1"/>
  <c r="B159" i="66" s="1"/>
  <c r="B160" i="66" s="1"/>
  <c r="B161" i="66" s="1"/>
  <c r="B162" i="66" s="1"/>
  <c r="B163" i="66" s="1"/>
  <c r="B164" i="66" s="1"/>
  <c r="B165" i="66" s="1"/>
  <c r="B166" i="66" s="1"/>
  <c r="B167" i="66" s="1"/>
  <c r="B168" i="66" s="1"/>
  <c r="B169" i="66" s="1"/>
  <c r="B170" i="66" s="1"/>
  <c r="B171" i="66" s="1"/>
  <c r="B172" i="66" s="1"/>
  <c r="B173" i="66" s="1"/>
  <c r="B174" i="66" s="1"/>
  <c r="B175" i="66" s="1"/>
  <c r="B176" i="66" s="1"/>
  <c r="B177" i="66" s="1"/>
  <c r="B178" i="66" s="1"/>
  <c r="B179" i="66" s="1"/>
  <c r="B180" i="66" s="1"/>
  <c r="B181" i="66" s="1"/>
  <c r="B182" i="66" s="1"/>
  <c r="B183" i="66" s="1"/>
  <c r="B184" i="66" s="1"/>
  <c r="B185" i="66" s="1"/>
  <c r="B186" i="66" s="1"/>
  <c r="B187" i="66" s="1"/>
  <c r="B188" i="66" s="1"/>
  <c r="B189" i="66" s="1"/>
  <c r="B190" i="66" s="1"/>
  <c r="B191" i="66" s="1"/>
  <c r="B192" i="66" s="1"/>
  <c r="B193" i="66" s="1"/>
  <c r="B194" i="66" s="1"/>
  <c r="B195" i="66" s="1"/>
  <c r="B196" i="66" s="1"/>
  <c r="B197" i="66" s="1"/>
  <c r="B198" i="66" s="1"/>
  <c r="B199" i="66" s="1"/>
  <c r="B200" i="66" s="1"/>
  <c r="B201" i="66" s="1"/>
  <c r="B202" i="66" s="1"/>
  <c r="B203" i="66" s="1"/>
  <c r="B204" i="66" s="1"/>
  <c r="B205" i="66" s="1"/>
  <c r="B206" i="66" s="1"/>
  <c r="B207" i="66" s="1"/>
  <c r="B208" i="66" s="1"/>
  <c r="B209" i="66" s="1"/>
  <c r="B210" i="66" s="1"/>
  <c r="B211" i="66" s="1"/>
  <c r="B212" i="66" s="1"/>
  <c r="B213" i="66" s="1"/>
  <c r="B214" i="66" s="1"/>
  <c r="B215" i="66" s="1"/>
  <c r="B216" i="66" s="1"/>
  <c r="B217" i="66" s="1"/>
  <c r="B218" i="66" s="1"/>
  <c r="B219" i="66" s="1"/>
  <c r="B220" i="66" s="1"/>
  <c r="B221" i="66" s="1"/>
  <c r="B222" i="66" s="1"/>
  <c r="B223" i="66" s="1"/>
  <c r="B224" i="66" s="1"/>
  <c r="B225" i="66" s="1"/>
  <c r="B226" i="66" s="1"/>
  <c r="B227" i="66" s="1"/>
  <c r="B228" i="66" s="1"/>
  <c r="B229" i="66" s="1"/>
  <c r="B230" i="66" s="1"/>
  <c r="B231" i="66" s="1"/>
  <c r="B232" i="66" s="1"/>
  <c r="B233" i="66" s="1"/>
  <c r="B234" i="66" s="1"/>
  <c r="B235" i="66" s="1"/>
  <c r="B236" i="66" s="1"/>
  <c r="B237" i="66" s="1"/>
  <c r="B238" i="66" s="1"/>
  <c r="B239" i="66" s="1"/>
  <c r="B240" i="66" s="1"/>
  <c r="B241" i="66" s="1"/>
  <c r="B242" i="66" s="1"/>
  <c r="B243" i="66" s="1"/>
  <c r="B244" i="66" s="1"/>
  <c r="B245" i="66" s="1"/>
  <c r="B246" i="66" s="1"/>
  <c r="B247" i="66" s="1"/>
  <c r="B248" i="66" s="1"/>
  <c r="B249" i="66" s="1"/>
  <c r="B250" i="66" s="1"/>
  <c r="B251" i="66" s="1"/>
  <c r="B252" i="66" s="1"/>
  <c r="B253" i="66" s="1"/>
  <c r="B254" i="66" s="1"/>
  <c r="B255" i="66" s="1"/>
  <c r="B256" i="66" s="1"/>
  <c r="B257" i="66" s="1"/>
  <c r="B258" i="66" s="1"/>
  <c r="B259" i="66" s="1"/>
  <c r="B260" i="66" s="1"/>
  <c r="B261" i="66" s="1"/>
  <c r="B262" i="66" s="1"/>
  <c r="B263" i="66" s="1"/>
  <c r="B264" i="66" s="1"/>
  <c r="B265" i="66" s="1"/>
  <c r="B266" i="66" s="1"/>
  <c r="B267" i="66" s="1"/>
  <c r="B268" i="66" s="1"/>
  <c r="B269" i="66" s="1"/>
  <c r="B270" i="66" s="1"/>
  <c r="B271" i="66" s="1"/>
  <c r="B272" i="66" s="1"/>
  <c r="B273" i="66" s="1"/>
  <c r="B274" i="66" s="1"/>
  <c r="B275" i="66" s="1"/>
  <c r="B276" i="66" s="1"/>
  <c r="B277" i="66" s="1"/>
  <c r="B278" i="66" s="1"/>
  <c r="B279" i="66" s="1"/>
  <c r="B280" i="66" s="1"/>
  <c r="B281" i="66" s="1"/>
  <c r="B282" i="66" s="1"/>
  <c r="B283" i="66" s="1"/>
  <c r="B284" i="66" s="1"/>
  <c r="B285" i="66" s="1"/>
  <c r="B286" i="66" s="1"/>
  <c r="B287" i="66" s="1"/>
  <c r="B288" i="66" s="1"/>
  <c r="B289" i="66" s="1"/>
  <c r="B290" i="66" s="1"/>
  <c r="B291" i="66" s="1"/>
  <c r="B292" i="66" s="1"/>
  <c r="B293" i="66" s="1"/>
  <c r="B294" i="66" s="1"/>
  <c r="B295" i="66" s="1"/>
  <c r="B296" i="66" s="1"/>
  <c r="B297" i="66" s="1"/>
  <c r="B298" i="66" s="1"/>
  <c r="B299" i="66" s="1"/>
  <c r="B300" i="66" s="1"/>
  <c r="B301" i="66" s="1"/>
  <c r="B302" i="66" s="1"/>
  <c r="B303" i="66" s="1"/>
  <c r="B304" i="66" s="1"/>
  <c r="B305" i="66" s="1"/>
  <c r="B306" i="66" s="1"/>
  <c r="B307" i="66" s="1"/>
  <c r="B308" i="66" s="1"/>
  <c r="B309" i="66" s="1"/>
  <c r="B310" i="66" s="1"/>
  <c r="B311" i="66" s="1"/>
  <c r="B312" i="66" s="1"/>
  <c r="B313" i="66" s="1"/>
  <c r="B314" i="66" s="1"/>
  <c r="B315" i="66" s="1"/>
  <c r="B316" i="66" s="1"/>
  <c r="B317" i="66" s="1"/>
  <c r="B318" i="66" s="1"/>
  <c r="B319" i="66" s="1"/>
  <c r="B320" i="66" s="1"/>
  <c r="B321" i="66" s="1"/>
  <c r="B322" i="66" s="1"/>
  <c r="B323" i="66" s="1"/>
  <c r="B324" i="66" s="1"/>
  <c r="B325" i="66" s="1"/>
  <c r="B326" i="66" s="1"/>
  <c r="B327" i="66" s="1"/>
  <c r="B328" i="66" s="1"/>
  <c r="B329" i="66" s="1"/>
  <c r="B330" i="66" s="1"/>
  <c r="B331" i="66" s="1"/>
  <c r="B332" i="66" s="1"/>
  <c r="B333" i="66" s="1"/>
  <c r="B334" i="66" s="1"/>
  <c r="B335" i="66" s="1"/>
  <c r="B336" i="66" s="1"/>
  <c r="B337" i="66" s="1"/>
  <c r="B338" i="66" s="1"/>
  <c r="B339" i="66" s="1"/>
  <c r="B340" i="66" s="1"/>
  <c r="B341" i="66" s="1"/>
  <c r="B342" i="66" s="1"/>
  <c r="B343" i="66" s="1"/>
  <c r="B344" i="66" s="1"/>
  <c r="B345" i="66" s="1"/>
  <c r="B346" i="66" s="1"/>
  <c r="B347" i="66" s="1"/>
  <c r="B348" i="66" s="1"/>
  <c r="B349" i="66" s="1"/>
  <c r="B350" i="66" s="1"/>
  <c r="B351" i="66" s="1"/>
  <c r="B352" i="66" s="1"/>
  <c r="B353" i="66" s="1"/>
  <c r="B354" i="66" s="1"/>
  <c r="B355" i="66" s="1"/>
  <c r="B356" i="66" s="1"/>
  <c r="B357" i="66" s="1"/>
  <c r="B358" i="66" s="1"/>
  <c r="B359" i="66" s="1"/>
  <c r="B360" i="66" s="1"/>
  <c r="B361" i="66" s="1"/>
  <c r="B362" i="66" s="1"/>
  <c r="B363" i="66" s="1"/>
  <c r="B364" i="66" s="1"/>
  <c r="B365" i="66" s="1"/>
  <c r="B366" i="66" s="1"/>
  <c r="R3" i="62" l="1"/>
  <c r="S3" i="62" s="1"/>
  <c r="T3" i="62" s="1"/>
  <c r="U3" i="62" s="1"/>
  <c r="U27" i="62" s="1"/>
  <c r="Q27" i="62"/>
  <c r="M27" i="62"/>
  <c r="V79" i="55"/>
  <c r="W79" i="55"/>
  <c r="C6" i="69"/>
  <c r="C10" i="69" s="1"/>
  <c r="N27" i="62"/>
  <c r="R27" i="62"/>
  <c r="V27" i="62"/>
  <c r="O27" i="62"/>
  <c r="S27" i="62"/>
  <c r="W27" i="62"/>
  <c r="P27" i="62"/>
  <c r="T27" i="62"/>
  <c r="L27" i="62"/>
  <c r="B9" i="69"/>
  <c r="D9" i="69"/>
  <c r="C9" i="69"/>
  <c r="C11" i="69" s="1"/>
  <c r="W62" i="55"/>
  <c r="M121" i="74"/>
  <c r="R56" i="74"/>
  <c r="R121" i="74" s="1"/>
  <c r="D4" i="69" s="1"/>
  <c r="T87" i="31"/>
  <c r="T46" i="31"/>
  <c r="N102" i="31"/>
  <c r="T9" i="31"/>
  <c r="O102" i="31"/>
  <c r="T93" i="31"/>
  <c r="T65" i="31"/>
  <c r="T61" i="31"/>
  <c r="R102" i="31"/>
  <c r="Q102" i="31"/>
  <c r="T70" i="31"/>
  <c r="S102" i="31"/>
  <c r="T41" i="31"/>
  <c r="P102" i="31"/>
  <c r="T24" i="31"/>
  <c r="T102" i="31" s="1"/>
  <c r="D5" i="69" s="1"/>
  <c r="S136" i="40"/>
  <c r="S614" i="40" s="1"/>
  <c r="N614" i="40"/>
  <c r="L614" i="40"/>
  <c r="B3" i="69"/>
  <c r="S273" i="55"/>
  <c r="M273" i="55"/>
  <c r="V273" i="55" s="1"/>
  <c r="R273" i="55"/>
  <c r="D11" i="69" l="1"/>
  <c r="C12" i="69"/>
  <c r="C14" i="69" s="1"/>
  <c r="B5" i="69"/>
  <c r="B11" i="69" s="1"/>
  <c r="W273" i="55"/>
  <c r="B6" i="69" l="1"/>
  <c r="B10" i="69" s="1"/>
  <c r="B12" i="69" s="1"/>
  <c r="D6" i="69"/>
  <c r="D10" i="69" s="1"/>
  <c r="D12" i="69" s="1"/>
  <c r="D14" i="69" s="1"/>
</calcChain>
</file>

<file path=xl/comments1.xml><?xml version="1.0" encoding="utf-8"?>
<comments xmlns="http://schemas.openxmlformats.org/spreadsheetml/2006/main">
  <authors>
    <author>Garry O'Neill</author>
  </authors>
  <commentList>
    <comment ref="N37" authorId="0" shapeId="0">
      <text>
        <r>
          <rPr>
            <b/>
            <sz val="9"/>
            <color indexed="81"/>
            <rFont val="Tahoma"/>
            <family val="2"/>
          </rPr>
          <t>STAFF:</t>
        </r>
        <r>
          <rPr>
            <sz val="9"/>
            <color indexed="81"/>
            <rFont val="Tahoma"/>
            <family val="2"/>
          </rPr>
          <t xml:space="preserve">
Estimated. 
</t>
        </r>
      </text>
    </comment>
    <comment ref="N128" authorId="0" shapeId="0">
      <text>
        <r>
          <rPr>
            <b/>
            <sz val="9"/>
            <color indexed="81"/>
            <rFont val="Tahoma"/>
            <family val="2"/>
          </rPr>
          <t>STAFF:</t>
        </r>
        <r>
          <rPr>
            <sz val="9"/>
            <color indexed="81"/>
            <rFont val="Tahoma"/>
            <family val="2"/>
          </rPr>
          <t xml:space="preserve">
PSDP SMUD Claim</t>
        </r>
      </text>
    </comment>
    <comment ref="N133" authorId="0" shapeId="0">
      <text>
        <r>
          <rPr>
            <b/>
            <sz val="9"/>
            <color indexed="81"/>
            <rFont val="Tahoma"/>
            <family val="2"/>
          </rPr>
          <t>STAFF:</t>
        </r>
        <r>
          <rPr>
            <sz val="9"/>
            <color indexed="81"/>
            <rFont val="Tahoma"/>
            <family val="2"/>
          </rPr>
          <t xml:space="preserve">
PSDP SMUD Claim</t>
        </r>
      </text>
    </comment>
    <comment ref="B139" authorId="0" shapeId="0">
      <text>
        <r>
          <rPr>
            <b/>
            <sz val="9"/>
            <color indexed="81"/>
            <rFont val="Tahoma"/>
            <family val="2"/>
          </rPr>
          <t>STAFF:</t>
        </r>
        <r>
          <rPr>
            <sz val="9"/>
            <color indexed="81"/>
            <rFont val="Tahoma"/>
            <family val="2"/>
          </rPr>
          <t xml:space="preserve">
AKA Desert Center Solar Farm</t>
        </r>
      </text>
    </comment>
    <comment ref="N199" authorId="0" shapeId="0">
      <text>
        <r>
          <rPr>
            <b/>
            <sz val="9"/>
            <color indexed="81"/>
            <rFont val="Tahoma"/>
            <family val="2"/>
          </rPr>
          <t>STAFF:</t>
        </r>
        <r>
          <rPr>
            <sz val="9"/>
            <color indexed="81"/>
            <rFont val="Tahoma"/>
            <family val="2"/>
          </rPr>
          <t xml:space="preserve">
PSDP Glandal 2014 Claim
</t>
        </r>
      </text>
    </comment>
    <comment ref="G415" authorId="0" shapeId="0">
      <text>
        <r>
          <rPr>
            <b/>
            <sz val="9"/>
            <color indexed="81"/>
            <rFont val="Tahoma"/>
            <family val="2"/>
          </rPr>
          <t>STAFF:</t>
        </r>
        <r>
          <rPr>
            <sz val="9"/>
            <color indexed="81"/>
            <rFont val="Tahoma"/>
            <family val="2"/>
          </rPr>
          <t xml:space="preserve">
SCE contract starts 2019
</t>
        </r>
      </text>
    </comment>
    <comment ref="G417" authorId="0" shapeId="0">
      <text>
        <r>
          <rPr>
            <b/>
            <sz val="9"/>
            <color indexed="81"/>
            <rFont val="Tahoma"/>
            <family val="2"/>
          </rPr>
          <t>STAFF:</t>
        </r>
        <r>
          <rPr>
            <sz val="9"/>
            <color indexed="81"/>
            <rFont val="Tahoma"/>
            <family val="2"/>
          </rPr>
          <t xml:space="preserve">
SCE contract begins 2019
</t>
        </r>
      </text>
    </comment>
    <comment ref="B445" authorId="0" shapeId="0">
      <text>
        <r>
          <rPr>
            <b/>
            <sz val="9"/>
            <color indexed="81"/>
            <rFont val="Tahoma"/>
            <family val="2"/>
          </rPr>
          <t>STAFF:</t>
        </r>
        <r>
          <rPr>
            <sz val="9"/>
            <color indexed="81"/>
            <rFont val="Tahoma"/>
            <family val="2"/>
          </rPr>
          <t xml:space="preserve">
AKA EEL RIVER</t>
        </r>
      </text>
    </comment>
    <comment ref="B494" authorId="0" shapeId="0">
      <text>
        <r>
          <rPr>
            <b/>
            <sz val="9"/>
            <color indexed="81"/>
            <rFont val="Tahoma"/>
            <family val="2"/>
          </rPr>
          <t>STAFF:</t>
        </r>
        <r>
          <rPr>
            <sz val="9"/>
            <color indexed="81"/>
            <rFont val="Tahoma"/>
            <family val="2"/>
          </rPr>
          <t xml:space="preserve">
THIS IS NOT KIARA SOLAR BIOMASS IN ANDERSON.</t>
        </r>
      </text>
    </comment>
    <comment ref="B581" authorId="0" shapeId="0">
      <text>
        <r>
          <rPr>
            <b/>
            <sz val="9"/>
            <color indexed="81"/>
            <rFont val="Tahoma"/>
            <family val="2"/>
          </rPr>
          <t>STAFF:</t>
        </r>
        <r>
          <rPr>
            <sz val="9"/>
            <color indexed="81"/>
            <rFont val="Tahoma"/>
            <family val="2"/>
          </rPr>
          <t xml:space="preserve">
aka FLOWIND 3-4</t>
        </r>
      </text>
    </comment>
  </commentList>
</comments>
</file>

<file path=xl/comments2.xml><?xml version="1.0" encoding="utf-8"?>
<comments xmlns="http://schemas.openxmlformats.org/spreadsheetml/2006/main">
  <authors>
    <author>Garry O'Neill</author>
  </authors>
  <commentList>
    <comment ref="M38" authorId="0" shapeId="0">
      <text>
        <r>
          <rPr>
            <b/>
            <sz val="9"/>
            <color indexed="81"/>
            <rFont val="Tahoma"/>
            <family val="2"/>
          </rPr>
          <t>STAFF:</t>
        </r>
        <r>
          <rPr>
            <sz val="9"/>
            <color indexed="81"/>
            <rFont val="Tahoma"/>
            <family val="2"/>
          </rPr>
          <t xml:space="preserve">
ESTIMATED</t>
        </r>
      </text>
    </comment>
    <comment ref="M42" authorId="0" shapeId="0">
      <text>
        <r>
          <rPr>
            <b/>
            <sz val="9"/>
            <color indexed="81"/>
            <rFont val="Tahoma"/>
            <family val="2"/>
          </rPr>
          <t>STAFF:</t>
        </r>
        <r>
          <rPr>
            <sz val="9"/>
            <color indexed="81"/>
            <rFont val="Tahoma"/>
            <family val="2"/>
          </rPr>
          <t xml:space="preserve">
ESTIMATED</t>
        </r>
      </text>
    </comment>
    <comment ref="M56" authorId="0" shapeId="0">
      <text>
        <r>
          <rPr>
            <b/>
            <sz val="9"/>
            <color indexed="81"/>
            <rFont val="Tahoma"/>
            <family val="2"/>
          </rPr>
          <t>STAFF:</t>
        </r>
        <r>
          <rPr>
            <sz val="9"/>
            <color indexed="81"/>
            <rFont val="Tahoma"/>
            <family val="2"/>
          </rPr>
          <t xml:space="preserve">
ESTIMATED</t>
        </r>
      </text>
    </comment>
    <comment ref="M95" authorId="0" shapeId="0">
      <text>
        <r>
          <rPr>
            <b/>
            <sz val="9"/>
            <color indexed="81"/>
            <rFont val="Tahoma"/>
            <family val="2"/>
          </rPr>
          <t>STAFF:</t>
        </r>
        <r>
          <rPr>
            <sz val="9"/>
            <color indexed="81"/>
            <rFont val="Tahoma"/>
            <family val="2"/>
          </rPr>
          <t xml:space="preserve">
ESTIMATED</t>
        </r>
      </text>
    </comment>
    <comment ref="M96" authorId="0" shapeId="0">
      <text>
        <r>
          <rPr>
            <b/>
            <sz val="9"/>
            <color indexed="81"/>
            <rFont val="Tahoma"/>
            <family val="2"/>
          </rPr>
          <t>STAFF:</t>
        </r>
        <r>
          <rPr>
            <sz val="9"/>
            <color indexed="81"/>
            <rFont val="Tahoma"/>
            <family val="2"/>
          </rPr>
          <t xml:space="preserve">
ESTIMATED</t>
        </r>
      </text>
    </comment>
  </commentList>
</comments>
</file>

<file path=xl/comments3.xml><?xml version="1.0" encoding="utf-8"?>
<comments xmlns="http://schemas.openxmlformats.org/spreadsheetml/2006/main">
  <authors>
    <author>Garry O'Neill</author>
  </authors>
  <commentList>
    <comment ref="B87" authorId="0" shapeId="0">
      <text>
        <r>
          <rPr>
            <b/>
            <sz val="9"/>
            <color indexed="81"/>
            <rFont val="Tahoma"/>
            <family val="2"/>
          </rPr>
          <t>STAFF:</t>
        </r>
        <r>
          <rPr>
            <sz val="9"/>
            <color indexed="81"/>
            <rFont val="Tahoma"/>
            <family val="2"/>
          </rPr>
          <t xml:space="preserve">
US EPA LMOP Shows project still operating.
There is a new unit planned for June of 2016 at the same site. Replacement??</t>
        </r>
      </text>
    </comment>
    <comment ref="H215" authorId="0" shapeId="0">
      <text>
        <r>
          <rPr>
            <b/>
            <sz val="9"/>
            <color indexed="81"/>
            <rFont val="Tahoma"/>
            <family val="2"/>
          </rPr>
          <t>STAFF:</t>
        </r>
        <r>
          <rPr>
            <sz val="9"/>
            <color indexed="81"/>
            <rFont val="Tahoma"/>
            <family val="2"/>
          </rPr>
          <t xml:space="preserve">
CONTRACT EXPIRED
</t>
        </r>
      </text>
    </comment>
    <comment ref="B234" authorId="0" shapeId="0">
      <text>
        <r>
          <rPr>
            <b/>
            <sz val="9"/>
            <color indexed="81"/>
            <rFont val="Tahoma"/>
            <family val="2"/>
          </rPr>
          <t>STAFF:</t>
        </r>
        <r>
          <rPr>
            <sz val="9"/>
            <color indexed="81"/>
            <rFont val="Tahoma"/>
            <family val="2"/>
          </rPr>
          <t xml:space="preserve">
AKA Desert Center Solar Farm</t>
        </r>
      </text>
    </comment>
    <comment ref="H257" authorId="0" shapeId="0">
      <text>
        <r>
          <rPr>
            <b/>
            <sz val="9"/>
            <color indexed="81"/>
            <rFont val="Tahoma"/>
            <family val="2"/>
          </rPr>
          <t>STAFF:</t>
        </r>
        <r>
          <rPr>
            <sz val="9"/>
            <color indexed="81"/>
            <rFont val="Tahoma"/>
            <family val="2"/>
          </rPr>
          <t xml:space="preserve">
CONTRACT TERMINATED</t>
        </r>
      </text>
    </comment>
    <comment ref="H485" authorId="0" shapeId="0">
      <text>
        <r>
          <rPr>
            <b/>
            <sz val="9"/>
            <color indexed="81"/>
            <rFont val="Tahoma"/>
            <family val="2"/>
          </rPr>
          <t>STAFF:</t>
        </r>
        <r>
          <rPr>
            <sz val="9"/>
            <color indexed="81"/>
            <rFont val="Tahoma"/>
            <family val="2"/>
          </rPr>
          <t xml:space="preserve">
SDGE CONTRACT EXPIRED 2013</t>
        </r>
      </text>
    </comment>
    <comment ref="H659" authorId="0" shapeId="0">
      <text>
        <r>
          <rPr>
            <b/>
            <sz val="9"/>
            <color indexed="81"/>
            <rFont val="Tahoma"/>
            <family val="2"/>
          </rPr>
          <t>STAFF:</t>
        </r>
        <r>
          <rPr>
            <sz val="9"/>
            <color indexed="81"/>
            <rFont val="Tahoma"/>
            <family val="2"/>
          </rPr>
          <t xml:space="preserve">
SCE contract starts 2019
</t>
        </r>
      </text>
    </comment>
    <comment ref="H661" authorId="0" shapeId="0">
      <text>
        <r>
          <rPr>
            <b/>
            <sz val="9"/>
            <color indexed="81"/>
            <rFont val="Tahoma"/>
            <family val="2"/>
          </rPr>
          <t>STAFF:</t>
        </r>
        <r>
          <rPr>
            <sz val="9"/>
            <color indexed="81"/>
            <rFont val="Tahoma"/>
            <family val="2"/>
          </rPr>
          <t xml:space="preserve">
SCE contract begins 2019
</t>
        </r>
      </text>
    </comment>
    <comment ref="B702" authorId="0" shapeId="0">
      <text>
        <r>
          <rPr>
            <b/>
            <sz val="9"/>
            <color indexed="81"/>
            <rFont val="Tahoma"/>
            <family val="2"/>
          </rPr>
          <t>STAFF:</t>
        </r>
        <r>
          <rPr>
            <sz val="9"/>
            <color indexed="81"/>
            <rFont val="Tahoma"/>
            <family val="2"/>
          </rPr>
          <t xml:space="preserve">
AKA EEL RIVER</t>
        </r>
      </text>
    </comment>
    <comment ref="B762" authorId="0" shapeId="0">
      <text>
        <r>
          <rPr>
            <b/>
            <sz val="9"/>
            <color indexed="81"/>
            <rFont val="Tahoma"/>
            <family val="2"/>
          </rPr>
          <t>STAFF:</t>
        </r>
        <r>
          <rPr>
            <sz val="9"/>
            <color indexed="81"/>
            <rFont val="Tahoma"/>
            <family val="2"/>
          </rPr>
          <t xml:space="preserve">
THIS IS NOT KIARA SOLAR BIOMASS IN ANDERSON.</t>
        </r>
      </text>
    </comment>
    <comment ref="F876" authorId="0" shapeId="0">
      <text>
        <r>
          <rPr>
            <b/>
            <sz val="9"/>
            <color indexed="81"/>
            <rFont val="Tahoma"/>
            <family val="2"/>
          </rPr>
          <t>STAFF:</t>
        </r>
        <r>
          <rPr>
            <sz val="9"/>
            <color indexed="81"/>
            <rFont val="Tahoma"/>
            <family val="2"/>
          </rPr>
          <t xml:space="preserve">
ISO confirmed online</t>
        </r>
      </text>
    </comment>
    <comment ref="B892" authorId="0" shapeId="0">
      <text>
        <r>
          <rPr>
            <b/>
            <sz val="9"/>
            <color indexed="81"/>
            <rFont val="Tahoma"/>
            <family val="2"/>
          </rPr>
          <t>STAFF:</t>
        </r>
        <r>
          <rPr>
            <sz val="9"/>
            <color indexed="81"/>
            <rFont val="Tahoma"/>
            <family val="2"/>
          </rPr>
          <t xml:space="preserve">
aka FLOWIND 3-4</t>
        </r>
      </text>
    </comment>
    <comment ref="H905" authorId="0" shapeId="0">
      <text>
        <r>
          <rPr>
            <b/>
            <sz val="9"/>
            <color indexed="81"/>
            <rFont val="Tahoma"/>
            <family val="2"/>
          </rPr>
          <t>STAFF:</t>
        </r>
        <r>
          <rPr>
            <sz val="9"/>
            <color indexed="81"/>
            <rFont val="Tahoma"/>
            <family val="2"/>
          </rPr>
          <t xml:space="preserve">
CONTRACTS EXPIRED</t>
        </r>
      </text>
    </comment>
  </commentList>
</comments>
</file>

<file path=xl/comments4.xml><?xml version="1.0" encoding="utf-8"?>
<comments xmlns="http://schemas.openxmlformats.org/spreadsheetml/2006/main">
  <authors>
    <author>Garry O'Neill</author>
  </authors>
  <commentList>
    <comment ref="N9" authorId="0" shapeId="0">
      <text>
        <r>
          <rPr>
            <b/>
            <sz val="9"/>
            <color indexed="81"/>
            <rFont val="Tahoma"/>
            <family val="2"/>
          </rPr>
          <t>STAFF:</t>
        </r>
        <r>
          <rPr>
            <sz val="9"/>
            <color indexed="81"/>
            <rFont val="Tahoma"/>
            <family val="2"/>
          </rPr>
          <t xml:space="preserve">
SHELL AND RIVERSIDE
AND SVP
</t>
        </r>
      </text>
    </comment>
    <comment ref="N10" authorId="0" shapeId="0">
      <text>
        <r>
          <rPr>
            <b/>
            <sz val="9"/>
            <color indexed="81"/>
            <rFont val="Tahoma"/>
            <family val="2"/>
          </rPr>
          <t>STAFF:</t>
        </r>
        <r>
          <rPr>
            <sz val="9"/>
            <color indexed="81"/>
            <rFont val="Tahoma"/>
            <family val="2"/>
          </rPr>
          <t xml:space="preserve">
SVP</t>
        </r>
      </text>
    </comment>
    <comment ref="C59" authorId="0" shapeId="0">
      <text>
        <r>
          <rPr>
            <b/>
            <sz val="9"/>
            <color indexed="81"/>
            <rFont val="Tahoma"/>
            <family val="2"/>
          </rPr>
          <t>STAFF:</t>
        </r>
        <r>
          <rPr>
            <sz val="9"/>
            <color indexed="81"/>
            <rFont val="Tahoma"/>
            <family val="2"/>
          </rPr>
          <t xml:space="preserve">
contract states this is a hybrid geothermal and pv project - 40 mw geothermal and 13.3 mw solar</t>
        </r>
      </text>
    </comment>
    <comment ref="I62" authorId="0" shapeId="0">
      <text>
        <r>
          <rPr>
            <b/>
            <sz val="9"/>
            <color indexed="81"/>
            <rFont val="Tahoma"/>
            <family val="2"/>
          </rPr>
          <t>STAFF:</t>
        </r>
        <r>
          <rPr>
            <sz val="9"/>
            <color indexed="81"/>
            <rFont val="Tahoma"/>
            <family val="2"/>
          </rPr>
          <t xml:space="preserve">
TIGER NATURAL GAS</t>
        </r>
      </text>
    </comment>
  </commentList>
</comments>
</file>

<file path=xl/comments5.xml><?xml version="1.0" encoding="utf-8"?>
<comments xmlns="http://schemas.openxmlformats.org/spreadsheetml/2006/main">
  <authors>
    <author>Garry O'Neill</author>
  </authors>
  <commentList>
    <comment ref="N18" authorId="0" shapeId="0">
      <text>
        <r>
          <rPr>
            <b/>
            <sz val="9"/>
            <color indexed="81"/>
            <rFont val="Tahoma"/>
            <family val="2"/>
          </rPr>
          <t>STAFF:</t>
        </r>
        <r>
          <rPr>
            <sz val="9"/>
            <color indexed="81"/>
            <rFont val="Tahoma"/>
            <family val="2"/>
          </rPr>
          <t xml:space="preserve">
2014 PSDP Claims LADWP</t>
        </r>
      </text>
    </comment>
  </commentList>
</comments>
</file>

<file path=xl/sharedStrings.xml><?xml version="1.0" encoding="utf-8"?>
<sst xmlns="http://schemas.openxmlformats.org/spreadsheetml/2006/main" count="11160" uniqueCount="5531">
  <si>
    <t>Facility Name</t>
  </si>
  <si>
    <t>Plant Name</t>
  </si>
  <si>
    <t>State</t>
  </si>
  <si>
    <t>Biomass</t>
  </si>
  <si>
    <t>WA</t>
  </si>
  <si>
    <t>Simpson Tacoma KRAFT Company - Tacoma Cogen</t>
  </si>
  <si>
    <t>Iberdrola Renewables, Inc. (Simpson Biomass, Tacoma, WA)</t>
  </si>
  <si>
    <t>Geothermal</t>
  </si>
  <si>
    <t>Iberdrola Renewables</t>
  </si>
  <si>
    <t>Wind</t>
  </si>
  <si>
    <t>ID</t>
  </si>
  <si>
    <t>Arlington Wind (Rattlesnake Road)</t>
  </si>
  <si>
    <t>Rattlesnake Road Wind Farm</t>
  </si>
  <si>
    <t>OR</t>
  </si>
  <si>
    <t>Pleasant Valley</t>
  </si>
  <si>
    <t>MT</t>
  </si>
  <si>
    <t>Company Name</t>
  </si>
  <si>
    <t>Sierra Pacific Industries Inc</t>
  </si>
  <si>
    <t>SPI - Lincoln</t>
  </si>
  <si>
    <t>Burney Forest Power</t>
  </si>
  <si>
    <t>Burney Forest Products</t>
  </si>
  <si>
    <t>Covanta Power Pacific, Inc.</t>
  </si>
  <si>
    <t>Orange County Sanitation District</t>
  </si>
  <si>
    <t>Collins Pine Co</t>
  </si>
  <si>
    <t>Collins Pine Co Project</t>
  </si>
  <si>
    <t>Mecca Plant</t>
  </si>
  <si>
    <t>CRES - Dinuba Energy</t>
  </si>
  <si>
    <t>Dinuba Energy</t>
  </si>
  <si>
    <t>HL Power Co</t>
  </si>
  <si>
    <t>HL Power Company</t>
  </si>
  <si>
    <t>Minnesota Methane, LLC</t>
  </si>
  <si>
    <t>MM San Diego LLC - Miramar Landfill</t>
  </si>
  <si>
    <t>MRWPCA</t>
  </si>
  <si>
    <t>Gas Recovery Systems (Irvine)</t>
  </si>
  <si>
    <t>SPI - Burney</t>
  </si>
  <si>
    <t>Wheelabrator Shasta</t>
  </si>
  <si>
    <t>Fortistar Methane Group</t>
  </si>
  <si>
    <t>MM Tajiguas Energy LLC</t>
  </si>
  <si>
    <t>Thermal Energy Dev Partner LP</t>
  </si>
  <si>
    <t>Tracy Biomass Plant</t>
  </si>
  <si>
    <t>Rio Bravo Rocklin</t>
  </si>
  <si>
    <t>Rio Bravo Fresno</t>
  </si>
  <si>
    <t>Enpower Management Corp.</t>
  </si>
  <si>
    <t>Wadham</t>
  </si>
  <si>
    <t>Woodland Biomass Power Ltd</t>
  </si>
  <si>
    <t>WM Renewable Energy</t>
  </si>
  <si>
    <t>Ridgewood Power Management LLC</t>
  </si>
  <si>
    <t>Coyote Canyon</t>
  </si>
  <si>
    <t>LA County Sanitation Districts</t>
  </si>
  <si>
    <t>Spadra Landfill Gas to Energy</t>
  </si>
  <si>
    <t>Republic Services, Inc. (Nove Investments I)</t>
  </si>
  <si>
    <t>Nove Power Plant</t>
  </si>
  <si>
    <t>Toyon Landfill Gas Conversion, LLC</t>
  </si>
  <si>
    <t>Toyon Landfill</t>
  </si>
  <si>
    <t>Covanta Stanislaus, Inc.</t>
  </si>
  <si>
    <t>Stanislaus Resource Recovery Facility</t>
  </si>
  <si>
    <t>MM Lopez Energy LLC</t>
  </si>
  <si>
    <t>City of Sunnyvale, Water Pollution Control Plant</t>
  </si>
  <si>
    <t>Sunnyvale Water Pollution Control Plant</t>
  </si>
  <si>
    <t>MM San Diego LLC - North City</t>
  </si>
  <si>
    <t>County of Sacramento, Waste Management</t>
  </si>
  <si>
    <t>County of Riverside Waste Management Department</t>
  </si>
  <si>
    <t>RCWMD Badlands Power Plant</t>
  </si>
  <si>
    <t>Total Energy Facilities</t>
  </si>
  <si>
    <t>Covanta Otay 3 Company</t>
  </si>
  <si>
    <t>Sacramento Municipal Utility District</t>
  </si>
  <si>
    <t>Sunray Energy Inc</t>
  </si>
  <si>
    <t>SEGS I</t>
  </si>
  <si>
    <t>SEGS II</t>
  </si>
  <si>
    <t>FPL Energy</t>
  </si>
  <si>
    <t>SEGS III</t>
  </si>
  <si>
    <t>SEGS IV</t>
  </si>
  <si>
    <t>SEGS IX</t>
  </si>
  <si>
    <t>SEGS V</t>
  </si>
  <si>
    <t>SEGS VI</t>
  </si>
  <si>
    <t>SEGS VII</t>
  </si>
  <si>
    <t>SEGS VIII</t>
  </si>
  <si>
    <t>Hedge PV</t>
  </si>
  <si>
    <t>Geysers Power Company, LLC</t>
  </si>
  <si>
    <t>Coso Operating Company LLC</t>
  </si>
  <si>
    <t>Coso Energy Developers</t>
  </si>
  <si>
    <t>Coso Finance Partners</t>
  </si>
  <si>
    <t>Coso Power Developers</t>
  </si>
  <si>
    <t>CE Generation (CalEnergy)</t>
  </si>
  <si>
    <t>J J Elmore</t>
  </si>
  <si>
    <t>Salton Sea Unit 4</t>
  </si>
  <si>
    <t>Salton Sea Unit 5</t>
  </si>
  <si>
    <t>Ormat Nevada, Inc</t>
  </si>
  <si>
    <t>GEM II</t>
  </si>
  <si>
    <t>GEM III</t>
  </si>
  <si>
    <t>Quick Silver #16</t>
  </si>
  <si>
    <t>Lakeview #17</t>
  </si>
  <si>
    <t>Socrates #18</t>
  </si>
  <si>
    <t>Grant #20</t>
  </si>
  <si>
    <t>J M Leathers</t>
  </si>
  <si>
    <t>Mammoth Pacific LP</t>
  </si>
  <si>
    <t>Mammoth Pacific II</t>
  </si>
  <si>
    <t>Ples I</t>
  </si>
  <si>
    <t>Northern California Power Agency</t>
  </si>
  <si>
    <t>Ormesa Geothermal II</t>
  </si>
  <si>
    <t>Sonoma #3</t>
  </si>
  <si>
    <t>Salton Sea Unit 1</t>
  </si>
  <si>
    <t>Salton Sea Unit 3</t>
  </si>
  <si>
    <t>Ridge Line #7-#8</t>
  </si>
  <si>
    <t>Eagle Rock #11</t>
  </si>
  <si>
    <t>Cobb Creek #12</t>
  </si>
  <si>
    <t>Big Geyser #13</t>
  </si>
  <si>
    <t>Sulphur Springs #14</t>
  </si>
  <si>
    <t>Ormesa I</t>
  </si>
  <si>
    <t>Ormesa 1H</t>
  </si>
  <si>
    <t>CE Turbo LLC</t>
  </si>
  <si>
    <t>Integral Energy Management, LLC</t>
  </si>
  <si>
    <t>Bottle Rock Power</t>
  </si>
  <si>
    <t>H0005</t>
  </si>
  <si>
    <t>Alta</t>
  </si>
  <si>
    <t/>
  </si>
  <si>
    <t>H0008</t>
  </si>
  <si>
    <t>Angels</t>
  </si>
  <si>
    <t>H0014</t>
  </si>
  <si>
    <t>Azusa</t>
  </si>
  <si>
    <t>H0021</t>
  </si>
  <si>
    <t>Bear Valley</t>
  </si>
  <si>
    <t>H0022</t>
  </si>
  <si>
    <t>Beardsley</t>
  </si>
  <si>
    <t>H0037</t>
  </si>
  <si>
    <t>Big Creek Water Works</t>
  </si>
  <si>
    <t>H0040</t>
  </si>
  <si>
    <t>Big Pine</t>
  </si>
  <si>
    <t>H0041</t>
  </si>
  <si>
    <t>Bishop Creek 2</t>
  </si>
  <si>
    <t>H0042</t>
  </si>
  <si>
    <t>Bishop Creek 3</t>
  </si>
  <si>
    <t>H0043</t>
  </si>
  <si>
    <t>Bishop Creek 4</t>
  </si>
  <si>
    <t>H0044</t>
  </si>
  <si>
    <t>Bishop Creek 5</t>
  </si>
  <si>
    <t>H0045</t>
  </si>
  <si>
    <t>Bishop Creek 6</t>
  </si>
  <si>
    <t>H0046</t>
  </si>
  <si>
    <t>Black Butte</t>
  </si>
  <si>
    <t>H0048</t>
  </si>
  <si>
    <t>Borel</t>
  </si>
  <si>
    <t>H0053</t>
  </si>
  <si>
    <t>Fish Power</t>
  </si>
  <si>
    <t>H0054</t>
  </si>
  <si>
    <t>H0058</t>
  </si>
  <si>
    <t>Alamo</t>
  </si>
  <si>
    <t>H0073</t>
  </si>
  <si>
    <t>Hogan</t>
  </si>
  <si>
    <t>H0076</t>
  </si>
  <si>
    <t>Springville Reservoir</t>
  </si>
  <si>
    <t>H0078</t>
  </si>
  <si>
    <t>East Portal Generator</t>
  </si>
  <si>
    <t>H0080</t>
  </si>
  <si>
    <t>Camanche</t>
  </si>
  <si>
    <t>H0083</t>
  </si>
  <si>
    <t>Camp Far West</t>
  </si>
  <si>
    <t>H0092</t>
  </si>
  <si>
    <t>Centerville</t>
  </si>
  <si>
    <t>H0094</t>
  </si>
  <si>
    <t>Isabella</t>
  </si>
  <si>
    <t>H0096</t>
  </si>
  <si>
    <t>Chili Bar</t>
  </si>
  <si>
    <t>H0106</t>
  </si>
  <si>
    <t>Coleman</t>
  </si>
  <si>
    <t>H0111</t>
  </si>
  <si>
    <t>Copco 1</t>
  </si>
  <si>
    <t>H0112</t>
  </si>
  <si>
    <t>Copco 2</t>
  </si>
  <si>
    <t>H0114</t>
  </si>
  <si>
    <t>Corona</t>
  </si>
  <si>
    <t>H0116</t>
  </si>
  <si>
    <t>Cottonwood</t>
  </si>
  <si>
    <t>H0118</t>
  </si>
  <si>
    <t>Cow Creek</t>
  </si>
  <si>
    <t>H0119</t>
  </si>
  <si>
    <t>Coyote Creek</t>
  </si>
  <si>
    <t>H0120</t>
  </si>
  <si>
    <t>Crane Valley</t>
  </si>
  <si>
    <t>H0130</t>
  </si>
  <si>
    <t>De Sabla</t>
  </si>
  <si>
    <t>H0133</t>
  </si>
  <si>
    <t>Deer Creek</t>
  </si>
  <si>
    <t>H0136</t>
  </si>
  <si>
    <t>Whitewater Hydroelectric Plant</t>
  </si>
  <si>
    <t>H0142</t>
  </si>
  <si>
    <t>Division Creek</t>
  </si>
  <si>
    <t>H0147</t>
  </si>
  <si>
    <t>Drop 1</t>
  </si>
  <si>
    <t>H0149</t>
  </si>
  <si>
    <t>Drop 2</t>
  </si>
  <si>
    <t>H0150</t>
  </si>
  <si>
    <t>Drop 3</t>
  </si>
  <si>
    <t>H0151</t>
  </si>
  <si>
    <t>Drop 4</t>
  </si>
  <si>
    <t>H0152</t>
  </si>
  <si>
    <t>Drop 5</t>
  </si>
  <si>
    <t>H0156</t>
  </si>
  <si>
    <t>Dutch Flat #1</t>
  </si>
  <si>
    <t>H0157</t>
  </si>
  <si>
    <t>Dutch Flat 2</t>
  </si>
  <si>
    <t>H0160</t>
  </si>
  <si>
    <t>East Highline</t>
  </si>
  <si>
    <t>H0167</t>
  </si>
  <si>
    <t>El Dorado</t>
  </si>
  <si>
    <t>H0168</t>
  </si>
  <si>
    <t>Montgomery Creek Hydro</t>
  </si>
  <si>
    <t>H0174</t>
  </si>
  <si>
    <t>Etiwanda</t>
  </si>
  <si>
    <t>H0177</t>
  </si>
  <si>
    <t>Fall Creek</t>
  </si>
  <si>
    <t>H0187</t>
  </si>
  <si>
    <t>Fontana</t>
  </si>
  <si>
    <t>H0188</t>
  </si>
  <si>
    <t>Foothill Feeder</t>
  </si>
  <si>
    <t>H0189</t>
  </si>
  <si>
    <t>Foothill</t>
  </si>
  <si>
    <t>H0192</t>
  </si>
  <si>
    <t>Forks of Butte Hydro Project</t>
  </si>
  <si>
    <t>H0193</t>
  </si>
  <si>
    <t>Franklin</t>
  </si>
  <si>
    <t>H0195</t>
  </si>
  <si>
    <t>French Meadows</t>
  </si>
  <si>
    <t>H0198</t>
  </si>
  <si>
    <t>H0209</t>
  </si>
  <si>
    <t>Graeagle</t>
  </si>
  <si>
    <t>H0211</t>
  </si>
  <si>
    <t>Greg Avenue</t>
  </si>
  <si>
    <t>H0213</t>
  </si>
  <si>
    <t>Grizzly</t>
  </si>
  <si>
    <t>H0216</t>
  </si>
  <si>
    <t>Haiwee</t>
  </si>
  <si>
    <t>H0217</t>
  </si>
  <si>
    <t>Halsey</t>
  </si>
  <si>
    <t>H0218</t>
  </si>
  <si>
    <t>Hamilton Branch</t>
  </si>
  <si>
    <t>H0221</t>
  </si>
  <si>
    <t>Hat Creek #1</t>
  </si>
  <si>
    <t>H0222</t>
  </si>
  <si>
    <t>Hat Creek #2</t>
  </si>
  <si>
    <t>H0226</t>
  </si>
  <si>
    <t>Haypress Hydroelectric Inc</t>
  </si>
  <si>
    <t>H0228</t>
  </si>
  <si>
    <t>Hell Hole</t>
  </si>
  <si>
    <t>H0234</t>
  </si>
  <si>
    <t>Hickman</t>
  </si>
  <si>
    <t>H0236</t>
  </si>
  <si>
    <t>Cove Hydroelectric</t>
  </si>
  <si>
    <t>H0237</t>
  </si>
  <si>
    <t>H0238</t>
  </si>
  <si>
    <t>H0240</t>
  </si>
  <si>
    <t>Burney Creek</t>
  </si>
  <si>
    <t>H0241</t>
  </si>
  <si>
    <t>Gosselin Hydroelectric Plant</t>
  </si>
  <si>
    <t>H0243</t>
  </si>
  <si>
    <t>Indian Valley Dam</t>
  </si>
  <si>
    <t>H0244</t>
  </si>
  <si>
    <t>Inskip</t>
  </si>
  <si>
    <t>H0245</t>
  </si>
  <si>
    <t>Iron Gate</t>
  </si>
  <si>
    <t>H0255</t>
  </si>
  <si>
    <t>Jones Fork</t>
  </si>
  <si>
    <t>H0259</t>
  </si>
  <si>
    <t>Kaweah 1</t>
  </si>
  <si>
    <t>H0260</t>
  </si>
  <si>
    <t>Kaweah 2</t>
  </si>
  <si>
    <t>H0261</t>
  </si>
  <si>
    <t>Kaweah 3</t>
  </si>
  <si>
    <t>H0262</t>
  </si>
  <si>
    <t>Terminus Hydroelectric Project</t>
  </si>
  <si>
    <t>H0263</t>
  </si>
  <si>
    <t>Kelly Ridge</t>
  </si>
  <si>
    <t>H0267</t>
  </si>
  <si>
    <t>Kern Canyon</t>
  </si>
  <si>
    <t>H0268</t>
  </si>
  <si>
    <t>Kern River 1</t>
  </si>
  <si>
    <t>H0271</t>
  </si>
  <si>
    <t>Kilarc</t>
  </si>
  <si>
    <t>H0276</t>
  </si>
  <si>
    <t>La Grange</t>
  </si>
  <si>
    <t>H0282</t>
  </si>
  <si>
    <t>Lake Mathews</t>
  </si>
  <si>
    <t>H0283</t>
  </si>
  <si>
    <t>Lake Mendocino</t>
  </si>
  <si>
    <t>H0284</t>
  </si>
  <si>
    <t>Box Canyon</t>
  </si>
  <si>
    <t>H0286</t>
  </si>
  <si>
    <t>Lewiston</t>
  </si>
  <si>
    <t>H0287</t>
  </si>
  <si>
    <t>Lime Saddle</t>
  </si>
  <si>
    <t>H0296</t>
  </si>
  <si>
    <t>Lundy</t>
  </si>
  <si>
    <t>H0298</t>
  </si>
  <si>
    <t>Lytle Creek</t>
  </si>
  <si>
    <t>H0310</t>
  </si>
  <si>
    <t>Madera Canal (Station 980, 1174, 1302, 1923)</t>
  </si>
  <si>
    <t>H0311</t>
  </si>
  <si>
    <t>Muck Valley Hydroelectric</t>
  </si>
  <si>
    <t>H0316</t>
  </si>
  <si>
    <t>McSwain</t>
  </si>
  <si>
    <t>H0321</t>
  </si>
  <si>
    <t>Hatchet Creek Project</t>
  </si>
  <si>
    <t>H0322</t>
  </si>
  <si>
    <t>Roaring Creek</t>
  </si>
  <si>
    <t>H0323</t>
  </si>
  <si>
    <t>Bidwell Ditch</t>
  </si>
  <si>
    <t>H0324</t>
  </si>
  <si>
    <t>Merced Falls</t>
  </si>
  <si>
    <t>H0325</t>
  </si>
  <si>
    <t>Merced ID (Parker)</t>
  </si>
  <si>
    <t>H0331</t>
  </si>
  <si>
    <t>Mill Creek 1</t>
  </si>
  <si>
    <t>H0332</t>
  </si>
  <si>
    <t>Mill Creek 2</t>
  </si>
  <si>
    <t>H0336</t>
  </si>
  <si>
    <t>Moccasin Low Head</t>
  </si>
  <si>
    <t>H0341</t>
  </si>
  <si>
    <t>Nacimiento Hydro Project</t>
  </si>
  <si>
    <t>H0343</t>
  </si>
  <si>
    <t>Monticello</t>
  </si>
  <si>
    <t>H0346</t>
  </si>
  <si>
    <t>Murphys</t>
  </si>
  <si>
    <t>H0347</t>
  </si>
  <si>
    <t>H0348</t>
  </si>
  <si>
    <t>Narrows 1</t>
  </si>
  <si>
    <t>H0349</t>
  </si>
  <si>
    <t>Nelson Creek</t>
  </si>
  <si>
    <t>H0351</t>
  </si>
  <si>
    <t>Bowman</t>
  </si>
  <si>
    <t>H0356</t>
  </si>
  <si>
    <t>Spicer</t>
  </si>
  <si>
    <t>H0357</t>
  </si>
  <si>
    <t>Newcastle</t>
  </si>
  <si>
    <t>H0360</t>
  </si>
  <si>
    <t>Nimbus</t>
  </si>
  <si>
    <t>H0363</t>
  </si>
  <si>
    <t>H0364</t>
  </si>
  <si>
    <t>Oak Flat</t>
  </si>
  <si>
    <t>H0367</t>
  </si>
  <si>
    <t>H0371</t>
  </si>
  <si>
    <t>Olsen</t>
  </si>
  <si>
    <t>H0372</t>
  </si>
  <si>
    <t>Ontario 1</t>
  </si>
  <si>
    <t>H0373</t>
  </si>
  <si>
    <t>Ontario 2</t>
  </si>
  <si>
    <t>H0374</t>
  </si>
  <si>
    <t>Oxbow</t>
  </si>
  <si>
    <t>H0382</t>
  </si>
  <si>
    <t>Perris</t>
  </si>
  <si>
    <t>H0383</t>
  </si>
  <si>
    <t>Phoenix</t>
  </si>
  <si>
    <t>H0394</t>
  </si>
  <si>
    <t>H0398</t>
  </si>
  <si>
    <t>Poole</t>
  </si>
  <si>
    <t>H0401</t>
  </si>
  <si>
    <t>Potter Valley</t>
  </si>
  <si>
    <t>H0408</t>
  </si>
  <si>
    <t>Red Mountain</t>
  </si>
  <si>
    <t>H0414</t>
  </si>
  <si>
    <t>Robbs Peak</t>
  </si>
  <si>
    <t>H0422</t>
  </si>
  <si>
    <t>Rock Creek L.P.</t>
  </si>
  <si>
    <t>H0424</t>
  </si>
  <si>
    <t>Rollins</t>
  </si>
  <si>
    <t>H0426</t>
  </si>
  <si>
    <t>Rush Creek</t>
  </si>
  <si>
    <t>H0427</t>
  </si>
  <si>
    <t>Kanaka</t>
  </si>
  <si>
    <t>H0428</t>
  </si>
  <si>
    <t>Kekawaka</t>
  </si>
  <si>
    <t>H0437</t>
  </si>
  <si>
    <t>San Dimas Hydro Recovery Plant</t>
  </si>
  <si>
    <t>H0438</t>
  </si>
  <si>
    <t>San Fernando</t>
  </si>
  <si>
    <t>H0442</t>
  </si>
  <si>
    <t>San Gabriel Hydroelectric Project</t>
  </si>
  <si>
    <t>H0443</t>
  </si>
  <si>
    <t>San Dimas Wash</t>
  </si>
  <si>
    <t>H0448</t>
  </si>
  <si>
    <t>San Joaquin #1A</t>
  </si>
  <si>
    <t>H0449</t>
  </si>
  <si>
    <t>San Joaquin #2</t>
  </si>
  <si>
    <t>H0450</t>
  </si>
  <si>
    <t>San Joaquin #3</t>
  </si>
  <si>
    <t>H0460</t>
  </si>
  <si>
    <t>Santa Ana 1</t>
  </si>
  <si>
    <t>H0462</t>
  </si>
  <si>
    <t>Santa Ana 3</t>
  </si>
  <si>
    <t>H0467</t>
  </si>
  <si>
    <t>Sawtelle</t>
  </si>
  <si>
    <t>H0472</t>
  </si>
  <si>
    <t>Sepulveda Canyon</t>
  </si>
  <si>
    <t>H0479</t>
  </si>
  <si>
    <t>Sierra</t>
  </si>
  <si>
    <t>H0482</t>
  </si>
  <si>
    <t>Slab Creek</t>
  </si>
  <si>
    <t>H0483</t>
  </si>
  <si>
    <t>Slate Creek</t>
  </si>
  <si>
    <t>H0484</t>
  </si>
  <si>
    <t>Sly Creek</t>
  </si>
  <si>
    <t>H0485</t>
  </si>
  <si>
    <t>Warm Springs</t>
  </si>
  <si>
    <t>H0486</t>
  </si>
  <si>
    <t>South</t>
  </si>
  <si>
    <t>H0488</t>
  </si>
  <si>
    <t>Frankenheimer</t>
  </si>
  <si>
    <t>H0489</t>
  </si>
  <si>
    <t>Woodward</t>
  </si>
  <si>
    <t>H0490</t>
  </si>
  <si>
    <t>Spaulding #1</t>
  </si>
  <si>
    <t>H0491</t>
  </si>
  <si>
    <t>Spaulding #2</t>
  </si>
  <si>
    <t>H0492</t>
  </si>
  <si>
    <t>Spaulding #3</t>
  </si>
  <si>
    <t>H0495</t>
  </si>
  <si>
    <t>Spring Gap</t>
  </si>
  <si>
    <t>H0497</t>
  </si>
  <si>
    <t>Stampede</t>
  </si>
  <si>
    <t>H0499</t>
  </si>
  <si>
    <t>Portal</t>
  </si>
  <si>
    <t>H0500</t>
  </si>
  <si>
    <t>Stony Gorge</t>
  </si>
  <si>
    <t>H0503</t>
  </si>
  <si>
    <t>Tulare Success</t>
  </si>
  <si>
    <t>H0507</t>
  </si>
  <si>
    <t>Bear Creek</t>
  </si>
  <si>
    <t>H0509</t>
  </si>
  <si>
    <t>Temescal</t>
  </si>
  <si>
    <t>H0511</t>
  </si>
  <si>
    <t>Thermalito Diversion Dam</t>
  </si>
  <si>
    <t>H0512</t>
  </si>
  <si>
    <t>Three Forks</t>
  </si>
  <si>
    <t>H0518</t>
  </si>
  <si>
    <t>Toadtown</t>
  </si>
  <si>
    <t>H0519</t>
  </si>
  <si>
    <t>Sand Bar</t>
  </si>
  <si>
    <t>H0523</t>
  </si>
  <si>
    <t>Tule</t>
  </si>
  <si>
    <t>H0525</t>
  </si>
  <si>
    <t>Tule River</t>
  </si>
  <si>
    <t>H0527</t>
  </si>
  <si>
    <t>Tulloch</t>
  </si>
  <si>
    <t>H0530</t>
  </si>
  <si>
    <t>Turlock Lake</t>
  </si>
  <si>
    <t>H0535</t>
  </si>
  <si>
    <t>Upper Dawson</t>
  </si>
  <si>
    <t>H0539</t>
  </si>
  <si>
    <t>Valley View</t>
  </si>
  <si>
    <t>H0541</t>
  </si>
  <si>
    <t>Venice</t>
  </si>
  <si>
    <t>H0545</t>
  </si>
  <si>
    <t>Volta #1</t>
  </si>
  <si>
    <t>H0546</t>
  </si>
  <si>
    <t>Volta #2</t>
  </si>
  <si>
    <t>H0558</t>
  </si>
  <si>
    <t>West Point</t>
  </si>
  <si>
    <t>H0564</t>
  </si>
  <si>
    <t>Whiskeytown</t>
  </si>
  <si>
    <t>H0569</t>
  </si>
  <si>
    <t>Wise</t>
  </si>
  <si>
    <t>H0570</t>
  </si>
  <si>
    <t>Wishon Powerhouse</t>
  </si>
  <si>
    <t>H0577</t>
  </si>
  <si>
    <t>Yorba Linda</t>
  </si>
  <si>
    <t>Rancho Penasquitos</t>
  </si>
  <si>
    <t>Blue Lake</t>
  </si>
  <si>
    <t>Fiscalini Farms Digester</t>
  </si>
  <si>
    <t>Solar PV</t>
  </si>
  <si>
    <t>Thermo No.1 BE-01</t>
  </si>
  <si>
    <t>Pebble Springs</t>
  </si>
  <si>
    <t>Star Point</t>
  </si>
  <si>
    <t>Linden Ranch</t>
  </si>
  <si>
    <t>Buena Vista Biomass Power, LLC</t>
  </si>
  <si>
    <t>Adelanto Solar</t>
  </si>
  <si>
    <t>PG&amp;E</t>
  </si>
  <si>
    <t>SCE</t>
  </si>
  <si>
    <t>Westside Solar Station</t>
  </si>
  <si>
    <t>SDG&amp;E</t>
  </si>
  <si>
    <t>SMUD</t>
  </si>
  <si>
    <t>Silicon Valley Power</t>
  </si>
  <si>
    <t>LADWP</t>
  </si>
  <si>
    <t>Modesto Irrigation District</t>
  </si>
  <si>
    <t xml:space="preserve"> </t>
  </si>
  <si>
    <t>PacifiCorp</t>
  </si>
  <si>
    <t>N/A</t>
  </si>
  <si>
    <t>Glendale</t>
  </si>
  <si>
    <t>Gilliam County, OR</t>
  </si>
  <si>
    <t>Uinta County, WY</t>
  </si>
  <si>
    <t>Klickitas,WA</t>
  </si>
  <si>
    <t>Installed (MW)</t>
  </si>
  <si>
    <t>2011 Net GWh Purchase</t>
  </si>
  <si>
    <t>COD or Contract Date</t>
  </si>
  <si>
    <t>2010 Net GWh Purchase</t>
  </si>
  <si>
    <t>2009 Net GWh Purchase</t>
  </si>
  <si>
    <t>Biomethane</t>
  </si>
  <si>
    <t>Cannon Power</t>
  </si>
  <si>
    <t>Tuolumne Wind Project Authority</t>
  </si>
  <si>
    <t>Tieton</t>
  </si>
  <si>
    <t>Yakima-Tieton Irrigation Dist</t>
  </si>
  <si>
    <t xml:space="preserve">Goshen Phase II LLC </t>
  </si>
  <si>
    <t>Goshen Phase II</t>
  </si>
  <si>
    <t>Klondike I-III</t>
  </si>
  <si>
    <t>Iberdrola Renewables (PPM Klondike)</t>
  </si>
  <si>
    <t>Ivenrgy LLC Vantage</t>
  </si>
  <si>
    <t>Vantage Wind</t>
  </si>
  <si>
    <t>2011 
(GWh)</t>
  </si>
  <si>
    <t>2010 
(GWh)</t>
  </si>
  <si>
    <t>Global Ampersand LLC</t>
  </si>
  <si>
    <t>El Nido Biomass</t>
  </si>
  <si>
    <t>Chowchilla II Biomass</t>
  </si>
  <si>
    <t>Plant No 2, Gen 1-6</t>
  </si>
  <si>
    <t>Greenleaf Power, LLC (formerly Colmac Energy Inc.)</t>
  </si>
  <si>
    <t>East Bay Municipal Utility District (EBMUD)</t>
  </si>
  <si>
    <t>Greenleaf Power, LLC (Town of Scotia)</t>
  </si>
  <si>
    <t>Blue Lake Power LLC</t>
  </si>
  <si>
    <t>Brea Power Partners LP (Gen 1-3)</t>
  </si>
  <si>
    <t>CCSF Public Utilities Commisson, Hetch Hetchy Water &amp; Power</t>
  </si>
  <si>
    <t>Southeast Digester Gas Cogen Plant</t>
  </si>
  <si>
    <t>Santa Cruz Energy LLC</t>
  </si>
  <si>
    <t>MM West Covina LLC, Gen 2</t>
  </si>
  <si>
    <t>MM Yolo Power LLC Facility, 1-5</t>
  </si>
  <si>
    <t>City of San Diego</t>
  </si>
  <si>
    <t>Gas Utilization Facility (Pt. Loma Sewage TP), Unit 1</t>
  </si>
  <si>
    <t>Vaca Dixon Solar Station</t>
  </si>
  <si>
    <t>NRG Energy, Inc.</t>
  </si>
  <si>
    <t>Blythe 1 Solar</t>
  </si>
  <si>
    <t>Yolo County General Services</t>
  </si>
  <si>
    <t>Solar Tax Partners I, LLC</t>
  </si>
  <si>
    <t>Aerojet I (3.6MW) Solar Plant</t>
  </si>
  <si>
    <t>eSolar, Inc.</t>
  </si>
  <si>
    <t>Sierra SunTower</t>
  </si>
  <si>
    <t>South San Joaquin Irr District</t>
  </si>
  <si>
    <t>Meridian Energy USA, Inc.</t>
  </si>
  <si>
    <t>CalRENEW-1</t>
  </si>
  <si>
    <t>Solar Tax Partners II</t>
  </si>
  <si>
    <t>Aerojet II (2.4MW) Solar Plant</t>
  </si>
  <si>
    <t>Sand Drag</t>
  </si>
  <si>
    <t>Vulcan, Gen 1</t>
  </si>
  <si>
    <t>Ormat Technologies, Inc.</t>
  </si>
  <si>
    <t>North Brawley</t>
  </si>
  <si>
    <t>NV</t>
  </si>
  <si>
    <t>UT</t>
  </si>
  <si>
    <t>Thermo Geothermal Raser Technologies</t>
  </si>
  <si>
    <t>AZ</t>
  </si>
  <si>
    <t>Sunset Reservoir North Basin</t>
  </si>
  <si>
    <t>Avenal Solar Park</t>
  </si>
  <si>
    <t>Ameresco Chiquita Canyon</t>
  </si>
  <si>
    <t>Location</t>
  </si>
  <si>
    <t>Fiscalini Farms, L.P.</t>
  </si>
  <si>
    <t>Ameresco Ox Mountain</t>
  </si>
  <si>
    <t>Ameresco Keller Canyon LLC</t>
  </si>
  <si>
    <t>Ostrom Road aka G2 Energy Project</t>
  </si>
  <si>
    <t>Combie South (3 @ 500kW = 1.5MW)</t>
  </si>
  <si>
    <t>H0110</t>
  </si>
  <si>
    <t>Control Gorge</t>
  </si>
  <si>
    <t>Friant-Kern Hydro Facility (River Outlet, Madera Canal, F-K)</t>
  </si>
  <si>
    <t>Ponderoda Bailey Creek</t>
  </si>
  <si>
    <t>Lost Creek 1</t>
  </si>
  <si>
    <t>H0328</t>
  </si>
  <si>
    <t>Middle Gorge</t>
  </si>
  <si>
    <t>O'Neill</t>
  </si>
  <si>
    <t>Rio Bravo Hydroelectric</t>
  </si>
  <si>
    <t>H0385</t>
  </si>
  <si>
    <t>Pilot Knob</t>
  </si>
  <si>
    <t>H0440</t>
  </si>
  <si>
    <t>San Francisquito 2</t>
  </si>
  <si>
    <t>H0441</t>
  </si>
  <si>
    <t>San Francisquito 1</t>
  </si>
  <si>
    <t>H0536</t>
  </si>
  <si>
    <t>Upper Gorge</t>
  </si>
  <si>
    <t>H0611</t>
  </si>
  <si>
    <t>Diamond Valley Lake</t>
  </si>
  <si>
    <t>H0612</t>
  </si>
  <si>
    <t>Nevada Irrigation District</t>
  </si>
  <si>
    <t>Imperial Irrigation District</t>
  </si>
  <si>
    <t>Merced Irrigation District</t>
  </si>
  <si>
    <t>United States Bureau of Reclamation</t>
  </si>
  <si>
    <t>Utica Power Authority</t>
  </si>
  <si>
    <t>City of Pasadena</t>
  </si>
  <si>
    <t>City of Escondido</t>
  </si>
  <si>
    <t>Tri-Dam Project &amp; Tri-Dam Power Authority</t>
  </si>
  <si>
    <t>Yuba County Water Agency</t>
  </si>
  <si>
    <t>California Department of Water Resources</t>
  </si>
  <si>
    <t>Calleguas Municipal Water District</t>
  </si>
  <si>
    <t>Isabella Partners</t>
  </si>
  <si>
    <t>Metropolitan Water District</t>
  </si>
  <si>
    <t>Desert Water Agency</t>
  </si>
  <si>
    <t>El Dorado Irrigation District</t>
  </si>
  <si>
    <t>TKO Power, Inc.</t>
  </si>
  <si>
    <t>Placer County Water Agency</t>
  </si>
  <si>
    <t>Friant Power Authority</t>
  </si>
  <si>
    <t>Northbrook Power Management LLC</t>
  </si>
  <si>
    <t>Turlock Irrigation Distict</t>
  </si>
  <si>
    <t>Ida-West Energy</t>
  </si>
  <si>
    <t>Humboldt Bay Municipal Water District</t>
  </si>
  <si>
    <t>Kaweah River Power Authority</t>
  </si>
  <si>
    <t>South Feather Water and Power</t>
  </si>
  <si>
    <t>City of Ukiah</t>
  </si>
  <si>
    <t>Siskiyou County</t>
  </si>
  <si>
    <t>Madera-Chowchilla Water Power Authority</t>
  </si>
  <si>
    <t>Malacha Hydro Ltd Partnership</t>
  </si>
  <si>
    <t>Mega Renewables</t>
  </si>
  <si>
    <t>Monterey County Water Resources Agency</t>
  </si>
  <si>
    <t>Solano Irrigation District</t>
  </si>
  <si>
    <t>K. S. Dunbar &amp; Associates</t>
  </si>
  <si>
    <t>Kern Hydro Partners</t>
  </si>
  <si>
    <t>Synergics Energy Services, LLC</t>
  </si>
  <si>
    <t>Los Angeles County Dept of Public Works</t>
  </si>
  <si>
    <t>San Gabriel Valley Municipal Water District</t>
  </si>
  <si>
    <t>Sonoma County Water Agency</t>
  </si>
  <si>
    <t>Lower Tule River &amp; Pixley Irrigation District</t>
  </si>
  <si>
    <t>Norman Ross Burgess</t>
  </si>
  <si>
    <t>City of Redding</t>
  </si>
  <si>
    <t>San Diego County Water Authority</t>
  </si>
  <si>
    <t>8-Year Average</t>
  </si>
  <si>
    <t>Pacific Gas &amp; Electric</t>
  </si>
  <si>
    <t>Hydro</t>
  </si>
  <si>
    <t>SS 15710 San Antonio West LLC</t>
  </si>
  <si>
    <t>E0232</t>
  </si>
  <si>
    <t>Online Date</t>
  </si>
  <si>
    <t>S0126</t>
  </si>
  <si>
    <t>S0140</t>
  </si>
  <si>
    <t>S0131</t>
  </si>
  <si>
    <t>S0158</t>
  </si>
  <si>
    <t>S0136</t>
  </si>
  <si>
    <t>S0139</t>
  </si>
  <si>
    <t>S0127</t>
  </si>
  <si>
    <t>S0138</t>
  </si>
  <si>
    <t>T0051</t>
  </si>
  <si>
    <t>S0069</t>
  </si>
  <si>
    <t>S0070</t>
  </si>
  <si>
    <t>S0071</t>
  </si>
  <si>
    <t>S0072</t>
  </si>
  <si>
    <t>S0073</t>
  </si>
  <si>
    <t>S0074</t>
  </si>
  <si>
    <t>S0075</t>
  </si>
  <si>
    <t>S0076</t>
  </si>
  <si>
    <t>S0077</t>
  </si>
  <si>
    <t>E0174</t>
  </si>
  <si>
    <t>S0117</t>
  </si>
  <si>
    <t>E0208</t>
  </si>
  <si>
    <t>T0029</t>
  </si>
  <si>
    <t>T0046</t>
  </si>
  <si>
    <t>E0110</t>
  </si>
  <si>
    <t>E0129</t>
  </si>
  <si>
    <t>E0078</t>
  </si>
  <si>
    <t>E0004</t>
  </si>
  <si>
    <t>E0081</t>
  </si>
  <si>
    <t>E0150</t>
  </si>
  <si>
    <t>T0061</t>
  </si>
  <si>
    <t>E0181</t>
  </si>
  <si>
    <t>E0094</t>
  </si>
  <si>
    <t>E0212</t>
  </si>
  <si>
    <t>E0063</t>
  </si>
  <si>
    <t>E0143</t>
  </si>
  <si>
    <t>E0096</t>
  </si>
  <si>
    <t>S0110</t>
  </si>
  <si>
    <t>T0053</t>
  </si>
  <si>
    <t>E0102</t>
  </si>
  <si>
    <t>T0007</t>
  </si>
  <si>
    <t>E0086</t>
  </si>
  <si>
    <t>E0105</t>
  </si>
  <si>
    <t>PPA</t>
  </si>
  <si>
    <t>Southern California Edison</t>
  </si>
  <si>
    <t>Installed Capacity MW</t>
  </si>
  <si>
    <t>Commercial Online Date</t>
  </si>
  <si>
    <t>Total</t>
  </si>
  <si>
    <t>El Sobrante Landfill, 1-3</t>
  </si>
  <si>
    <t>Cantua Creek SPVP</t>
  </si>
  <si>
    <t>Huron Solar Station</t>
  </si>
  <si>
    <t>S0203</t>
  </si>
  <si>
    <t>S0204</t>
  </si>
  <si>
    <t>E0248</t>
  </si>
  <si>
    <t>H0333</t>
  </si>
  <si>
    <t>H0412</t>
  </si>
  <si>
    <t>H0616</t>
  </si>
  <si>
    <t>Centinela Solar Energy</t>
  </si>
  <si>
    <t>S0081</t>
  </si>
  <si>
    <t>West Gates Solar Station</t>
  </si>
  <si>
    <t>S0223</t>
  </si>
  <si>
    <t>S0188</t>
  </si>
  <si>
    <t>S0187</t>
  </si>
  <si>
    <t>S0186</t>
  </si>
  <si>
    <t>Oakley Solar Project</t>
  </si>
  <si>
    <t>S0238</t>
  </si>
  <si>
    <t>North Palm Springs 4A</t>
  </si>
  <si>
    <t>S0224</t>
  </si>
  <si>
    <t>S0240</t>
  </si>
  <si>
    <t>S0241</t>
  </si>
  <si>
    <t>S0239</t>
  </si>
  <si>
    <t>S0237</t>
  </si>
  <si>
    <t>ABEC Bidart-Stockale #1</t>
  </si>
  <si>
    <t>Radiance Solar 5</t>
  </si>
  <si>
    <t>Radiance Solar 4</t>
  </si>
  <si>
    <t>Guernsey Solar Station</t>
  </si>
  <si>
    <t>E0132</t>
  </si>
  <si>
    <t>E0075</t>
  </si>
  <si>
    <t>T0017</t>
  </si>
  <si>
    <t>T0016</t>
  </si>
  <si>
    <t>T0049</t>
  </si>
  <si>
    <t>T0048</t>
  </si>
  <si>
    <t>T0047</t>
  </si>
  <si>
    <t>S0120</t>
  </si>
  <si>
    <t>E0099</t>
  </si>
  <si>
    <t>E0098</t>
  </si>
  <si>
    <t>T0056</t>
  </si>
  <si>
    <t>E0210</t>
  </si>
  <si>
    <t>T0027</t>
  </si>
  <si>
    <t>E0128</t>
  </si>
  <si>
    <t>E0127</t>
  </si>
  <si>
    <t>T0038</t>
  </si>
  <si>
    <t>E0025</t>
  </si>
  <si>
    <t>E0218</t>
  </si>
  <si>
    <t>E0061</t>
  </si>
  <si>
    <t>E0300</t>
  </si>
  <si>
    <t>E0237</t>
  </si>
  <si>
    <t>T0062</t>
  </si>
  <si>
    <t>T0043</t>
  </si>
  <si>
    <t>T0066</t>
  </si>
  <si>
    <t>E0137</t>
  </si>
  <si>
    <t>T0081</t>
  </si>
  <si>
    <t>E0055</t>
  </si>
  <si>
    <t>E0206</t>
  </si>
  <si>
    <t>E0209</t>
  </si>
  <si>
    <t>E0154</t>
  </si>
  <si>
    <t>E0152</t>
  </si>
  <si>
    <t>E0095</t>
  </si>
  <si>
    <t>E0202</t>
  </si>
  <si>
    <t>E0054</t>
  </si>
  <si>
    <t>E0194</t>
  </si>
  <si>
    <t>E0168</t>
  </si>
  <si>
    <t>E0027</t>
  </si>
  <si>
    <t>T0055</t>
  </si>
  <si>
    <t>T0036</t>
  </si>
  <si>
    <t>T0035</t>
  </si>
  <si>
    <t>T0028</t>
  </si>
  <si>
    <t>E0203</t>
  </si>
  <si>
    <t>E0217</t>
  </si>
  <si>
    <t>T0034</t>
  </si>
  <si>
    <t>T0015</t>
  </si>
  <si>
    <t>E0041</t>
  </si>
  <si>
    <t>S0090</t>
  </si>
  <si>
    <t>T0033</t>
  </si>
  <si>
    <t>T0030</t>
  </si>
  <si>
    <t>T0040</t>
  </si>
  <si>
    <t>T0039</t>
  </si>
  <si>
    <t>T0022</t>
  </si>
  <si>
    <t>T0021</t>
  </si>
  <si>
    <t>E0171</t>
  </si>
  <si>
    <t>-</t>
  </si>
  <si>
    <t>E0207</t>
  </si>
  <si>
    <t>E0007</t>
  </si>
  <si>
    <t>E0036</t>
  </si>
  <si>
    <t>T0058</t>
  </si>
  <si>
    <t>E0033</t>
  </si>
  <si>
    <t>E0117</t>
  </si>
  <si>
    <t>T0011</t>
  </si>
  <si>
    <t>T0010</t>
  </si>
  <si>
    <t>T0009</t>
  </si>
  <si>
    <t>E0026</t>
  </si>
  <si>
    <t>T0059</t>
  </si>
  <si>
    <t>E0018</t>
  </si>
  <si>
    <t>E0250</t>
  </si>
  <si>
    <t>S0118</t>
  </si>
  <si>
    <t>T0073</t>
  </si>
  <si>
    <t>S0121</t>
  </si>
  <si>
    <t>T0050</t>
  </si>
  <si>
    <t>E0005</t>
  </si>
  <si>
    <t>E0109</t>
  </si>
  <si>
    <t>T0080</t>
  </si>
  <si>
    <t>S0111</t>
  </si>
  <si>
    <t>E0097</t>
  </si>
  <si>
    <t>T0060</t>
  </si>
  <si>
    <t>T0005</t>
  </si>
  <si>
    <t>E0106</t>
  </si>
  <si>
    <t>T0023</t>
  </si>
  <si>
    <t>S0130</t>
  </si>
  <si>
    <t>S0116</t>
  </si>
  <si>
    <t>T0012</t>
  </si>
  <si>
    <t>2012 (GWh)</t>
  </si>
  <si>
    <t>North Hollywood</t>
  </si>
  <si>
    <t>Big Creek Water Works, LTD.</t>
  </si>
  <si>
    <t>12/12/2011</t>
  </si>
  <si>
    <t>H0265</t>
  </si>
  <si>
    <t>Kerckhoff No. 1 Powerhouse</t>
  </si>
  <si>
    <t>Mill Creek No. 3</t>
  </si>
  <si>
    <t>H0380</t>
  </si>
  <si>
    <t>Pardee Power Plant</t>
  </si>
  <si>
    <t>Rio Hondo Power Plant</t>
  </si>
  <si>
    <t>South Gate</t>
  </si>
  <si>
    <t>H0148</t>
  </si>
  <si>
    <t>Siphon Drop Power Plant</t>
  </si>
  <si>
    <t>Yuma County Water User's Association</t>
  </si>
  <si>
    <t>H0320</t>
  </si>
  <si>
    <t>H0405</t>
  </si>
  <si>
    <t>Point Loma Hydro</t>
  </si>
  <si>
    <t>City of San Diego, MWWD</t>
  </si>
  <si>
    <t>H0572</t>
  </si>
  <si>
    <t>Wolfsen Bypass</t>
  </si>
  <si>
    <t>American Energy, Inc.</t>
  </si>
  <si>
    <t>G0236</t>
  </si>
  <si>
    <t>2012 Net GWh Purchase</t>
  </si>
  <si>
    <t>S0195</t>
  </si>
  <si>
    <t>S0201</t>
  </si>
  <si>
    <t>S0123</t>
  </si>
  <si>
    <t>E0201</t>
  </si>
  <si>
    <t>S0218</t>
  </si>
  <si>
    <t>S0176</t>
  </si>
  <si>
    <t>S0208</t>
  </si>
  <si>
    <t>S0209</t>
  </si>
  <si>
    <t>S0180</t>
  </si>
  <si>
    <t>S0210</t>
  </si>
  <si>
    <t>S0178</t>
  </si>
  <si>
    <t>S0177</t>
  </si>
  <si>
    <t>SPVP002 Chino Rooftop Solar</t>
  </si>
  <si>
    <t>SPVP003 Rialto</t>
  </si>
  <si>
    <t>SPVP005 Redland</t>
  </si>
  <si>
    <t>SPVP006 Ontario</t>
  </si>
  <si>
    <t>SPVP007 Redlands</t>
  </si>
  <si>
    <t>SPVP008 Ontario</t>
  </si>
  <si>
    <t>SPVP009 Ontario</t>
  </si>
  <si>
    <t>SPVP010 Fontana</t>
  </si>
  <si>
    <t>SPVP011 Redlands</t>
  </si>
  <si>
    <t>SPVP013 Redlands</t>
  </si>
  <si>
    <t>SPVP016 Redlands</t>
  </si>
  <si>
    <t>SPVP017 Fontana</t>
  </si>
  <si>
    <t>SPVP018 Fontana (Etiwanda)</t>
  </si>
  <si>
    <t>SPVP022 Redlands</t>
  </si>
  <si>
    <t>SPVP023 Fontana</t>
  </si>
  <si>
    <t>SPVP026 Rialto</t>
  </si>
  <si>
    <t>SPVP027 Rialto</t>
  </si>
  <si>
    <t>SPVP028 San Bernardino</t>
  </si>
  <si>
    <t>SPVP042 Porterville (Vestal)</t>
  </si>
  <si>
    <t>SPVP044 Perris</t>
  </si>
  <si>
    <t>Kimberly Clark</t>
  </si>
  <si>
    <t>SPVP012 Ontario</t>
  </si>
  <si>
    <t>S0128</t>
  </si>
  <si>
    <t>S0185</t>
  </si>
  <si>
    <t>S0189</t>
  </si>
  <si>
    <t>S0190</t>
  </si>
  <si>
    <t>S0191</t>
  </si>
  <si>
    <t>S0192</t>
  </si>
  <si>
    <t>S0193</t>
  </si>
  <si>
    <t>S0194</t>
  </si>
  <si>
    <t>S0196</t>
  </si>
  <si>
    <t>S0197</t>
  </si>
  <si>
    <t>S0227</t>
  </si>
  <si>
    <t>S0198</t>
  </si>
  <si>
    <t>S0199</t>
  </si>
  <si>
    <t>S0200</t>
  </si>
  <si>
    <t>S0202</t>
  </si>
  <si>
    <t>10/01/2009</t>
  </si>
  <si>
    <t>03/01/2011</t>
  </si>
  <si>
    <t>08/01/2011</t>
  </si>
  <si>
    <t>12/29/2010</t>
  </si>
  <si>
    <t>12/30/2010</t>
  </si>
  <si>
    <t>01/10/2011</t>
  </si>
  <si>
    <t>05/18/2011</t>
  </si>
  <si>
    <t>10/10/2011</t>
  </si>
  <si>
    <t>09/15/2011</t>
  </si>
  <si>
    <t>12/14/2011</t>
  </si>
  <si>
    <t>05/23/2011</t>
  </si>
  <si>
    <t>11/15/2010</t>
  </si>
  <si>
    <t>05/12/2011</t>
  </si>
  <si>
    <t>08/26/2011</t>
  </si>
  <si>
    <t>11/27/2012</t>
  </si>
  <si>
    <t>12/20/2011</t>
  </si>
  <si>
    <t>12/22/2011</t>
  </si>
  <si>
    <t>12/28/2010</t>
  </si>
  <si>
    <t>09/14/2012</t>
  </si>
  <si>
    <t>Stroud Solar Station</t>
  </si>
  <si>
    <t>Sun City Project LLC</t>
  </si>
  <si>
    <t>NRG Energy Inc</t>
  </si>
  <si>
    <t>Mt Poso (coal conversion)</t>
  </si>
  <si>
    <t>Ameresco Butte County LLC</t>
  </si>
  <si>
    <t>SPS Alpuagh North</t>
  </si>
  <si>
    <t>SPS Alpuagh 50</t>
  </si>
  <si>
    <t>S0245</t>
  </si>
  <si>
    <t>North Palm Springs 1A</t>
  </si>
  <si>
    <t>Sempra SGS-1</t>
  </si>
  <si>
    <t>Invenergy</t>
  </si>
  <si>
    <t>Willow Creek</t>
  </si>
  <si>
    <t>First Wind</t>
  </si>
  <si>
    <t>NRG</t>
  </si>
  <si>
    <t>G0549</t>
  </si>
  <si>
    <t>S0246</t>
  </si>
  <si>
    <t>S0247</t>
  </si>
  <si>
    <t>Giffen Solar Station</t>
  </si>
  <si>
    <t>Imperial Solar Energy Center South</t>
  </si>
  <si>
    <t>La Joya Del Sol</t>
  </si>
  <si>
    <t>McHenry Solar Farm</t>
  </si>
  <si>
    <t xml:space="preserve">Ace Sacramento Solar  - Campbell Soup </t>
  </si>
  <si>
    <t>S0161</t>
  </si>
  <si>
    <t>Green Acres Solar Farm PV1</t>
  </si>
  <si>
    <t>Green Acres Solar FarmPV2</t>
  </si>
  <si>
    <t>S9139</t>
  </si>
  <si>
    <t>S0225</t>
  </si>
  <si>
    <t>Harry Ross Industries</t>
  </si>
  <si>
    <t>S0226</t>
  </si>
  <si>
    <t>S0179</t>
  </si>
  <si>
    <t>Gestamp</t>
  </si>
  <si>
    <t>K Road Ventures</t>
  </si>
  <si>
    <t>Golden Springs Building C1</t>
  </si>
  <si>
    <t>Golden Springs Building D1</t>
  </si>
  <si>
    <t>S9097</t>
  </si>
  <si>
    <t>Shepard Flat 1</t>
  </si>
  <si>
    <t>Shepard Flat 107</t>
  </si>
  <si>
    <t>North Hurlburt</t>
  </si>
  <si>
    <t>South Hurlburt</t>
  </si>
  <si>
    <t>Halkirk Wind</t>
  </si>
  <si>
    <t>AB</t>
  </si>
  <si>
    <t>Greengate</t>
  </si>
  <si>
    <t>Naturener</t>
  </si>
  <si>
    <t>Rim Rock</t>
  </si>
  <si>
    <t>LS Power</t>
  </si>
  <si>
    <t xml:space="preserve">Sempra </t>
  </si>
  <si>
    <t>TWh</t>
  </si>
  <si>
    <t>Fairhaven</t>
  </si>
  <si>
    <t xml:space="preserve">DG Fairhaven Power </t>
  </si>
  <si>
    <t>E0037</t>
  </si>
  <si>
    <t>SPI - Sonora - Restarted 1/1/2012 (Shut Down 9/28/2009)</t>
  </si>
  <si>
    <t>E0038</t>
  </si>
  <si>
    <t>E0195</t>
  </si>
  <si>
    <t>E0196</t>
  </si>
  <si>
    <t>E0205</t>
  </si>
  <si>
    <t>E0214</t>
  </si>
  <si>
    <t>E0225</t>
  </si>
  <si>
    <t>E0227</t>
  </si>
  <si>
    <t>E0242</t>
  </si>
  <si>
    <t>E0243</t>
  </si>
  <si>
    <t>E0249</t>
  </si>
  <si>
    <t>Lincoln Landfill - WPWMA</t>
  </si>
  <si>
    <t>EBMUD WWTP Digester Gas Turbine</t>
  </si>
  <si>
    <t>Roseburg Forest Products</t>
  </si>
  <si>
    <t>EBMUD</t>
  </si>
  <si>
    <t>Brea Power II LLC</t>
  </si>
  <si>
    <t>Hudson Ranch Power I LLC</t>
  </si>
  <si>
    <t>T0082</t>
  </si>
  <si>
    <t>NRG Energy</t>
  </si>
  <si>
    <t>Table 1c: In-State Small Hydro Generation for Planning RNS</t>
  </si>
  <si>
    <r>
      <t xml:space="preserve">Table 1e: </t>
    </r>
    <r>
      <rPr>
        <b/>
        <sz val="10"/>
        <color indexed="8"/>
        <rFont val="Arial"/>
        <family val="2"/>
      </rPr>
      <t>Out of State Operational RPS Renewable Generation For Planning RNS</t>
    </r>
  </si>
  <si>
    <r>
      <t xml:space="preserve">Table 1f: </t>
    </r>
    <r>
      <rPr>
        <b/>
        <sz val="10"/>
        <color indexed="8"/>
        <rFont val="Arial"/>
        <family val="2"/>
      </rPr>
      <t>Out of State Operational RPS Renewable Generation for Planning RNS</t>
    </r>
  </si>
  <si>
    <t xml:space="preserve">                  Ventyx Primary Research (with data from EIA 860, EIA 906, EIA 923, NERC411, StatsCanada, Comisión Federal de Electricidad)</t>
  </si>
  <si>
    <t>Description of Worksheet Tabs</t>
  </si>
  <si>
    <t>Energy 2001, Inc.</t>
  </si>
  <si>
    <t>City of San Diego, Public Utilities Department</t>
  </si>
  <si>
    <t>E0244</t>
  </si>
  <si>
    <t>North City Cogeneration Facility Expansion (NCCFE)</t>
  </si>
  <si>
    <t>2013 (GWh)</t>
  </si>
  <si>
    <t>UltraPower</t>
  </si>
  <si>
    <t>Altamont Gas Recovery, Unit 1-4</t>
  </si>
  <si>
    <t>MM Prima Deshecha Energy LLC, Unit 1-2</t>
  </si>
  <si>
    <t>Central LF (Sonoma) Phase I       Units 1-4</t>
  </si>
  <si>
    <t>Central LF (Sonoma) Phase II       Units 1-4</t>
  </si>
  <si>
    <t>MN Milliken Genco LLC, Unit 1-2</t>
  </si>
  <si>
    <t>Simi Valley Landfill, 1-2</t>
  </si>
  <si>
    <t>Sycamore Landfill San Diego, Unit 1-3 (1.2 MW, 1.2 MW, 3.0 MW)</t>
  </si>
  <si>
    <t>5/1/2011:4/1/2004</t>
  </si>
  <si>
    <t>MN Mid Valley Genco LLC, 1-2</t>
  </si>
  <si>
    <t>Hay Road - Silicon Valley Biomass</t>
  </si>
  <si>
    <t>Butte County Neal Road Landfill</t>
  </si>
  <si>
    <t>S0078</t>
  </si>
  <si>
    <t>S0079</t>
  </si>
  <si>
    <t>Ivanpah 2</t>
  </si>
  <si>
    <t>S0080</t>
  </si>
  <si>
    <t>Ivanpah 3</t>
  </si>
  <si>
    <t>Pacific Gas &amp; Electric (PG&amp;E)</t>
  </si>
  <si>
    <t>Southern California Edison (SCE)</t>
  </si>
  <si>
    <t>Recurrent Energy (RE-VFO, LLC)</t>
  </si>
  <si>
    <t>Temescal Canyon RV, LLC</t>
  </si>
  <si>
    <t>S0133</t>
  </si>
  <si>
    <t>S0154</t>
  </si>
  <si>
    <t>Point Pleasant (Lawrence Solar Farm)</t>
  </si>
  <si>
    <t>S0155</t>
  </si>
  <si>
    <t>Kost (Fleshman Solar Farm)</t>
  </si>
  <si>
    <t>S0156</t>
  </si>
  <si>
    <t>Grundman-Wilkinson Solar Farm (Bruceville Road)</t>
  </si>
  <si>
    <t>S0157</t>
  </si>
  <si>
    <t>Boessow (Van Connett Solar Farm)</t>
  </si>
  <si>
    <t>Paso Robles Solar, LLC</t>
  </si>
  <si>
    <t>S0162</t>
  </si>
  <si>
    <t>S0163</t>
  </si>
  <si>
    <t>S0164</t>
  </si>
  <si>
    <t>S0205</t>
  </si>
  <si>
    <t>RE Kammerer Road 1</t>
  </si>
  <si>
    <t>S0206</t>
  </si>
  <si>
    <t>RE Kammerer Road 2</t>
  </si>
  <si>
    <t>S0207</t>
  </si>
  <si>
    <t>RE Kammerer Road 3</t>
  </si>
  <si>
    <t>S0211</t>
  </si>
  <si>
    <t>RE McKenzie 1</t>
  </si>
  <si>
    <t>S0212</t>
  </si>
  <si>
    <t>RE McKenzie 2</t>
  </si>
  <si>
    <t>S0213</t>
  </si>
  <si>
    <t>RE McKenzie 3</t>
  </si>
  <si>
    <t>S0214</t>
  </si>
  <si>
    <t>RE McKenzie 4</t>
  </si>
  <si>
    <t>S0215</t>
  </si>
  <si>
    <t>RE McKenzie 5</t>
  </si>
  <si>
    <t>S0216</t>
  </si>
  <si>
    <t>RE McKenzie 6</t>
  </si>
  <si>
    <t>City of Industry</t>
  </si>
  <si>
    <t>S0221</t>
  </si>
  <si>
    <t>Industry MetroLink PV 1</t>
  </si>
  <si>
    <t>Gates Solar Station</t>
  </si>
  <si>
    <t>Alpine Solar</t>
  </si>
  <si>
    <t>S0242</t>
  </si>
  <si>
    <t>S0244</t>
  </si>
  <si>
    <t>Topaz Solar Farms LLC</t>
  </si>
  <si>
    <t>S0248</t>
  </si>
  <si>
    <t>S0249</t>
  </si>
  <si>
    <t>Solar Power, Inc.</t>
  </si>
  <si>
    <t>S0250</t>
  </si>
  <si>
    <t>S0251</t>
  </si>
  <si>
    <t>MidAmerican Renewables, LLC (Solar Star)</t>
  </si>
  <si>
    <t>S0252</t>
  </si>
  <si>
    <t>S0253</t>
  </si>
  <si>
    <t>Csolar IV South, LLC (Tenaska, Inc.)</t>
  </si>
  <si>
    <t>S0255</t>
  </si>
  <si>
    <t>Desert Sunlight 250, LLC</t>
  </si>
  <si>
    <t>S0256</t>
  </si>
  <si>
    <t>Desert Sunlight 300, LLC</t>
  </si>
  <si>
    <t>S0257</t>
  </si>
  <si>
    <t>S0258</t>
  </si>
  <si>
    <t>Genesis Solar, LLC</t>
  </si>
  <si>
    <t>S0259</t>
  </si>
  <si>
    <t>NRG Energy Services, LLC</t>
  </si>
  <si>
    <t>S0260</t>
  </si>
  <si>
    <t>Reliance Solar, LLC</t>
  </si>
  <si>
    <t>S0261</t>
  </si>
  <si>
    <t>S0262</t>
  </si>
  <si>
    <t>S0278</t>
  </si>
  <si>
    <t>S0279</t>
  </si>
  <si>
    <t>S0280</t>
  </si>
  <si>
    <t>S0281</t>
  </si>
  <si>
    <t>S0282</t>
  </si>
  <si>
    <t>S0283</t>
  </si>
  <si>
    <t>S0284</t>
  </si>
  <si>
    <t>S0285</t>
  </si>
  <si>
    <t>S0286</t>
  </si>
  <si>
    <t>S0287</t>
  </si>
  <si>
    <t>S0288</t>
  </si>
  <si>
    <t>S0291</t>
  </si>
  <si>
    <t>S0294</t>
  </si>
  <si>
    <t>FAA Norcal TRACON</t>
  </si>
  <si>
    <t>S9147</t>
  </si>
  <si>
    <t>U.S. National Leasing LLC (Depot Park)</t>
  </si>
  <si>
    <t>S9167</t>
  </si>
  <si>
    <t>Atwell Island PV Solar Generating Facility</t>
  </si>
  <si>
    <t>S9170</t>
  </si>
  <si>
    <t>LIGHTBEAM POWER COMPANY GRIDLEY MAIN TWO LLC</t>
  </si>
  <si>
    <t>S9172</t>
  </si>
  <si>
    <t>Gridley Main Two</t>
  </si>
  <si>
    <t>S9174</t>
  </si>
  <si>
    <t>S9175</t>
  </si>
  <si>
    <t>Sonora 1</t>
  </si>
  <si>
    <t>S9177</t>
  </si>
  <si>
    <t>Nickel 1 ("NLH1")</t>
  </si>
  <si>
    <t>S9178</t>
  </si>
  <si>
    <t>Valley Center 1 &amp; 2</t>
  </si>
  <si>
    <t>Ramona 1 &amp; 2</t>
  </si>
  <si>
    <t>S9181</t>
  </si>
  <si>
    <t>Kingsburg 1 &amp; 2</t>
  </si>
  <si>
    <t>S9183</t>
  </si>
  <si>
    <t>S9184</t>
  </si>
  <si>
    <t>S9185</t>
  </si>
  <si>
    <t>S9190</t>
  </si>
  <si>
    <t>S9267</t>
  </si>
  <si>
    <t>S9292</t>
  </si>
  <si>
    <t>S9294</t>
  </si>
  <si>
    <t>S9296</t>
  </si>
  <si>
    <t>S9297</t>
  </si>
  <si>
    <t>S9302</t>
  </si>
  <si>
    <t>S9310</t>
  </si>
  <si>
    <t>S9311</t>
  </si>
  <si>
    <t>S9316</t>
  </si>
  <si>
    <t>S9318</t>
  </si>
  <si>
    <t>S9319</t>
  </si>
  <si>
    <t>Grayson 3-5</t>
  </si>
  <si>
    <t>Solar Thermal</t>
  </si>
  <si>
    <t>Catalina Solar Phase I-II</t>
  </si>
  <si>
    <t>12/31/2012 8/23/2013</t>
  </si>
  <si>
    <t>SMUD Sacramento PV Energy, LLC</t>
  </si>
  <si>
    <t>Meridian Vineyards Solar</t>
  </si>
  <si>
    <t>SCE - Paso Robles Solar, LLC</t>
  </si>
  <si>
    <t>SEPV 1 Palmdale (GASNA)</t>
  </si>
  <si>
    <t>SEPV 2 Twentynine 29 Palms(GASNA)</t>
  </si>
  <si>
    <t>S0168</t>
  </si>
  <si>
    <t>Coronus Energy Corp.</t>
  </si>
  <si>
    <t>Photovoltaic</t>
  </si>
  <si>
    <t>SMUD-OL Elk Grove Trust, a Delaware Statutory Trust</t>
  </si>
  <si>
    <t>SMUD-Recurrent Energy (RE-VFO, LLC)</t>
  </si>
  <si>
    <t>06/24/2013</t>
  </si>
  <si>
    <t>6/24/2013</t>
  </si>
  <si>
    <t>PG&amp;E - NRG Solar Alpine, LLC</t>
  </si>
  <si>
    <t>SDG&amp;E - NRG Solar Borrego I, LLC</t>
  </si>
  <si>
    <t>CEC Resource ID</t>
  </si>
  <si>
    <t>PG&amp;E MidAmerican Solar</t>
  </si>
  <si>
    <t>PG&amp;E CED California Holdings, LLC</t>
  </si>
  <si>
    <t>SCE-TA-High Desert, LLC (Sunpower)</t>
  </si>
  <si>
    <t>Desert Sunlight 250</t>
  </si>
  <si>
    <t>Desert Sunlight 300</t>
  </si>
  <si>
    <t>Kansas South</t>
  </si>
  <si>
    <t>RE Rio Grande</t>
  </si>
  <si>
    <t>RE Victor Phelan Solar One</t>
  </si>
  <si>
    <t>RE Dillard Road 1</t>
  </si>
  <si>
    <t>RE Dillard Road 2</t>
  </si>
  <si>
    <t>RE Dillard Road 3</t>
  </si>
  <si>
    <t>RE Dillard Road 4</t>
  </si>
  <si>
    <t>RE Bruceville Solar 1</t>
  </si>
  <si>
    <t>RE Bruceville Solar 2</t>
  </si>
  <si>
    <t>RE Bruceville Solar 3</t>
  </si>
  <si>
    <t>RE Rosamond Two</t>
  </si>
  <si>
    <t>RE Rosamond One</t>
  </si>
  <si>
    <t>RE Columbia 3</t>
  </si>
  <si>
    <t>SDG&amp;E Campo Verde Solar, LLC</t>
  </si>
  <si>
    <t>Genesis Solar</t>
  </si>
  <si>
    <t>Temescal Canyon RV</t>
  </si>
  <si>
    <t>07/01/2013</t>
  </si>
  <si>
    <t>11/18/2013</t>
  </si>
  <si>
    <t>12/06/2013</t>
  </si>
  <si>
    <t>01/01/2012</t>
  </si>
  <si>
    <t>12/23/2013</t>
  </si>
  <si>
    <t>12/01/2013</t>
  </si>
  <si>
    <t>10/01/2013</t>
  </si>
  <si>
    <t>03/01/2013</t>
  </si>
  <si>
    <t>S9036</t>
  </si>
  <si>
    <t>S9042</t>
  </si>
  <si>
    <t>S9092</t>
  </si>
  <si>
    <t>S9096</t>
  </si>
  <si>
    <t>Pollution Control Monterey Reg'l Water</t>
  </si>
  <si>
    <t>Siemens Industry Inc.</t>
  </si>
  <si>
    <t>S9098</t>
  </si>
  <si>
    <t>County of Sonoma</t>
  </si>
  <si>
    <t>S9140</t>
  </si>
  <si>
    <t>Southeast Wastwater Treatment Plant/CCSF</t>
  </si>
  <si>
    <t>09/01/1988</t>
  </si>
  <si>
    <t>03/14/1989</t>
  </si>
  <si>
    <t>08/19/1987</t>
  </si>
  <si>
    <t>01/21/1990</t>
  </si>
  <si>
    <t>10/01/1988</t>
  </si>
  <si>
    <t>11/01/1988</t>
  </si>
  <si>
    <t>05/01/1997</t>
  </si>
  <si>
    <t>06/01/2000</t>
  </si>
  <si>
    <t>04/01/1989</t>
  </si>
  <si>
    <t>05/01/1989</t>
  </si>
  <si>
    <t>01/01/1985</t>
  </si>
  <si>
    <t>01/01/1982</t>
  </si>
  <si>
    <t>01/01/1983</t>
  </si>
  <si>
    <t>10/01/1985</t>
  </si>
  <si>
    <t>08/01/1985</t>
  </si>
  <si>
    <t>11/01/1984</t>
  </si>
  <si>
    <t>12/01/1990</t>
  </si>
  <si>
    <t>12/01/1987</t>
  </si>
  <si>
    <t>12/01/1983</t>
  </si>
  <si>
    <t>07/01/1982</t>
  </si>
  <si>
    <t>03/01/1990</t>
  </si>
  <si>
    <t>02/01/1989</t>
  </si>
  <si>
    <t>03/01/1984</t>
  </si>
  <si>
    <t>06/01/1993</t>
  </si>
  <si>
    <t>12/01/1985</t>
  </si>
  <si>
    <t>12/01/1971</t>
  </si>
  <si>
    <t>01/01/1972</t>
  </si>
  <si>
    <t>01/01/1975</t>
  </si>
  <si>
    <t>01/01/1979</t>
  </si>
  <si>
    <t>01/01/1980</t>
  </si>
  <si>
    <t>12/01/1986</t>
  </si>
  <si>
    <t>12/01/1989</t>
  </si>
  <si>
    <t>07/26/2000</t>
  </si>
  <si>
    <t>02/01/1985</t>
  </si>
  <si>
    <t>01/01/2009</t>
  </si>
  <si>
    <t>03/09/2012</t>
  </si>
  <si>
    <t>Terra-Gen Dixie Valley LLC</t>
  </si>
  <si>
    <t>T0077</t>
  </si>
  <si>
    <t>Terra-Gen Dixie Valley (NV)</t>
  </si>
  <si>
    <t>07/05/1987</t>
  </si>
  <si>
    <t>Bio-Landfill Gas</t>
  </si>
  <si>
    <t>Biomass Gases</t>
  </si>
  <si>
    <t>MAINT.</t>
  </si>
  <si>
    <t>CAPACITY (MW)</t>
  </si>
  <si>
    <t>PG&amp;E RAM AL 4114-E</t>
  </si>
  <si>
    <t>SunEdison</t>
  </si>
  <si>
    <t>ABEC Bidart-Old River</t>
  </si>
  <si>
    <t>CCSF PUBLIC UTILITIES COMMISSION, HETCH HETCHY WATER &amp; POWER</t>
  </si>
  <si>
    <t>H0274</t>
  </si>
  <si>
    <t>Kirkwood (1-3)</t>
  </si>
  <si>
    <t>Gridley Main One</t>
  </si>
  <si>
    <t>Newberry Spring</t>
  </si>
  <si>
    <t>Cold Canyon Landfill Project (aka Toro)</t>
  </si>
  <si>
    <t>CVAP Oakdale</t>
  </si>
  <si>
    <t>Central Valley Ag Power LLC</t>
  </si>
  <si>
    <t>Borrego Solar Systems Inc</t>
  </si>
  <si>
    <t>Expressway Solar C2</t>
  </si>
  <si>
    <t>Dominion Resources Inc</t>
  </si>
  <si>
    <t>Sol Orchard San Diego 22 LLC</t>
  </si>
  <si>
    <t>Summer Solar A2</t>
  </si>
  <si>
    <t>Summer Solar B2</t>
  </si>
  <si>
    <t>Summer Solar C2</t>
  </si>
  <si>
    <t>Summer Solar D2</t>
  </si>
  <si>
    <t>Vintner Solar Project</t>
  </si>
  <si>
    <t>Campo Verde Solar Project - Mt Signal</t>
  </si>
  <si>
    <t>2014 Net GWh Purchase</t>
  </si>
  <si>
    <t>Enerparc CA 1 - San Benito Smart Park</t>
  </si>
  <si>
    <t>SPVP048 Redlands #10</t>
  </si>
  <si>
    <t>Table 1d: Recently Operational RPS Renewables In-State For Planning RNS</t>
  </si>
  <si>
    <t>LSE/Developer</t>
  </si>
  <si>
    <t>Comments</t>
  </si>
  <si>
    <t>Contract Term</t>
  </si>
  <si>
    <t>Coronus Adelanto West 1</t>
  </si>
  <si>
    <t>Coronus Adelanto West 2</t>
  </si>
  <si>
    <t>E0213</t>
  </si>
  <si>
    <t>Greenlight Energy</t>
  </si>
  <si>
    <t>Kettleman Solar</t>
  </si>
  <si>
    <t>Summer Solar LLC/Silverado Power</t>
  </si>
  <si>
    <t>S0104</t>
  </si>
  <si>
    <t>CEC Resource ID or WREGIS ID</t>
  </si>
  <si>
    <t>W237,W238,W239,W817</t>
  </si>
  <si>
    <t>W805</t>
  </si>
  <si>
    <t>W2065</t>
  </si>
  <si>
    <t>W2066</t>
  </si>
  <si>
    <t>W2067</t>
  </si>
  <si>
    <t>Shepard Flat 83 - Horseshoe Bend - Central Hurlburt</t>
  </si>
  <si>
    <t>W1740</t>
  </si>
  <si>
    <t>W2046</t>
  </si>
  <si>
    <t>W2900</t>
  </si>
  <si>
    <t>Mesquite Solar PV1-PV11</t>
  </si>
  <si>
    <t>PG&amp;E 150/LADWP 20</t>
  </si>
  <si>
    <t>2/18/2013 - 11/12/2013</t>
  </si>
  <si>
    <t>S0292</t>
  </si>
  <si>
    <t>Contract Expiration</t>
  </si>
  <si>
    <t>90 MW 2019 and  85 MW 2023</t>
  </si>
  <si>
    <t>1/19/2012 - 3/1/2013</t>
  </si>
  <si>
    <t>ORNI 47 LLC, Ormat Technologies</t>
  </si>
  <si>
    <t>SCPPA (LADWP and Burbank)</t>
  </si>
  <si>
    <t>Wild Rose - Don Campbell - Gabbs Valley</t>
  </si>
  <si>
    <t>W1228</t>
  </si>
  <si>
    <t>Gradient Resources</t>
  </si>
  <si>
    <t>W222/W223</t>
  </si>
  <si>
    <t>W1571</t>
  </si>
  <si>
    <t>LADWP/Burbank/Glendale</t>
  </si>
  <si>
    <t>W979</t>
  </si>
  <si>
    <t>Life of Project</t>
  </si>
  <si>
    <t>W236</t>
  </si>
  <si>
    <t>W1393</t>
  </si>
  <si>
    <t>W897</t>
  </si>
  <si>
    <t>life of project</t>
  </si>
  <si>
    <t>W2898</t>
  </si>
  <si>
    <t>Date</t>
  </si>
  <si>
    <t>Utility energy and capacity supply plan filed with the Energy Commission &lt; http://energyalmanac.ca.gov/electricity/index.html &gt;</t>
  </si>
  <si>
    <t>2013 Net GWh Purchase</t>
  </si>
  <si>
    <t>Table 1a: Summary of Operational Renewables For Planning RNS</t>
  </si>
  <si>
    <t>Sources: Quarterly Fuels and Energy Report 2006 – 2013 &lt;http://www.energy.ca.gov/forms/cec-1304.html, California Energy Commission&gt;</t>
  </si>
  <si>
    <t>Sources:  California Energy Commission, Power Source Disclosure, Reporting Years 2009-2013, , Quarterly Fuels and Energy Report 2006 – 2013 &lt;http://www.energy.ca.gov/forms/cec-1304.html, California Energy Commission&gt;,CEMS data),</t>
  </si>
  <si>
    <t xml:space="preserve">                  utility energy and capacity supply plan filed with the Energy Commission &lt; http://energyalmanac.ca.gov/electricity/index.html &gt;, CPUC RPS Database posted August 2014  &lt;CPUC  RPS_Project_Status_Table_2014_Aug.xls&gt;</t>
  </si>
  <si>
    <t xml:space="preserve">                  utility energy and capacity supply plan filed with the Energy Commission &lt; http://energyalmanac.ca.gov/electricity/index.html &gt;, CPUC RPS Database posted August 2014 &lt;CPUC  RPS_Project_Status_Table_2014_Aug.xlss&gt;</t>
  </si>
  <si>
    <t xml:space="preserve">                  utility energy and capacity supply plan filed with the Energy Commission &lt; http://energyalmanac.ca.gov/electricity/index.html &gt;, CPUC RPS Database posted August 2014 
                 &lt;CPUC  RPS_Project_Status_Table_2014_Aug.xls&gt;</t>
  </si>
  <si>
    <t>ABB, Velocity Suite</t>
  </si>
  <si>
    <t xml:space="preserve">     http://energyalmanac.ca.gov/electricity/index.html </t>
  </si>
  <si>
    <t>Data Sources</t>
  </si>
  <si>
    <t xml:space="preserve">     http://new.abb.com</t>
  </si>
  <si>
    <t xml:space="preserve">     http://www.cpuc.ca.gov/PUC/energy/Renewables</t>
  </si>
  <si>
    <t>Milford Wind WT11</t>
  </si>
  <si>
    <t>Milford Wind WT21</t>
  </si>
  <si>
    <t>EPA Continuous Monitoring Data and EIA small hydro and other reported renewable generation</t>
  </si>
  <si>
    <t>Table 1h. Expiring Out-Of-State Contract Between 2019 and 2026.</t>
  </si>
  <si>
    <t>2014
(GWh)</t>
  </si>
  <si>
    <t>E0153</t>
  </si>
  <si>
    <t>E0256</t>
  </si>
  <si>
    <t>E0258</t>
  </si>
  <si>
    <t>S0271</t>
  </si>
  <si>
    <t>S0289</t>
  </si>
  <si>
    <t>S0296</t>
  </si>
  <si>
    <t>S0301</t>
  </si>
  <si>
    <t>S0302</t>
  </si>
  <si>
    <t>S0303</t>
  </si>
  <si>
    <t>S0304</t>
  </si>
  <si>
    <t>S0306</t>
  </si>
  <si>
    <t>S0307</t>
  </si>
  <si>
    <t>S0308</t>
  </si>
  <si>
    <t>S0309</t>
  </si>
  <si>
    <t>S0310</t>
  </si>
  <si>
    <t>S0311</t>
  </si>
  <si>
    <t>S0312</t>
  </si>
  <si>
    <t>S0313</t>
  </si>
  <si>
    <t>S0314</t>
  </si>
  <si>
    <t>S0315</t>
  </si>
  <si>
    <t>S0316</t>
  </si>
  <si>
    <t>S0317</t>
  </si>
  <si>
    <t>S0318</t>
  </si>
  <si>
    <t>S0319</t>
  </si>
  <si>
    <t>S0320</t>
  </si>
  <si>
    <t>S0321</t>
  </si>
  <si>
    <t>S0322</t>
  </si>
  <si>
    <t>S0328</t>
  </si>
  <si>
    <t>S0330</t>
  </si>
  <si>
    <t>S0331</t>
  </si>
  <si>
    <t>S0332</t>
  </si>
  <si>
    <t>S0333</t>
  </si>
  <si>
    <t>S0334</t>
  </si>
  <si>
    <t>S9160</t>
  </si>
  <si>
    <t>S9192</t>
  </si>
  <si>
    <t>S9286</t>
  </si>
  <si>
    <t>S9401</t>
  </si>
  <si>
    <t>S9404</t>
  </si>
  <si>
    <t>S9412</t>
  </si>
  <si>
    <t>S9413</t>
  </si>
  <si>
    <t>S9414</t>
  </si>
  <si>
    <t>S9415</t>
  </si>
  <si>
    <t>S9416</t>
  </si>
  <si>
    <t>W0258</t>
  </si>
  <si>
    <t>W0260</t>
  </si>
  <si>
    <t>W0261</t>
  </si>
  <si>
    <t>W0265</t>
  </si>
  <si>
    <t>W0266</t>
  </si>
  <si>
    <t>W0268</t>
  </si>
  <si>
    <t>W0270</t>
  </si>
  <si>
    <t>W0271</t>
  </si>
  <si>
    <t>W0272</t>
  </si>
  <si>
    <t>W0273</t>
  </si>
  <si>
    <t>W0274</t>
  </si>
  <si>
    <t>W0275</t>
  </si>
  <si>
    <t>W0276</t>
  </si>
  <si>
    <t>W0277</t>
  </si>
  <si>
    <t>W0278</t>
  </si>
  <si>
    <t>W0280</t>
  </si>
  <si>
    <t>W0283</t>
  </si>
  <si>
    <t>W0284</t>
  </si>
  <si>
    <t>W0285</t>
  </si>
  <si>
    <t>W0286</t>
  </si>
  <si>
    <t>W0289</t>
  </si>
  <si>
    <t>W0292</t>
  </si>
  <si>
    <t>W0294</t>
  </si>
  <si>
    <t>W0297</t>
  </si>
  <si>
    <t>W0298</t>
  </si>
  <si>
    <t>W0299</t>
  </si>
  <si>
    <t>W0300</t>
  </si>
  <si>
    <t>W0304</t>
  </si>
  <si>
    <t>W0306</t>
  </si>
  <si>
    <t>W0310</t>
  </si>
  <si>
    <t>W0311</t>
  </si>
  <si>
    <t>W0312</t>
  </si>
  <si>
    <t>W0313</t>
  </si>
  <si>
    <t>W0318</t>
  </si>
  <si>
    <t>W0320</t>
  </si>
  <si>
    <t>W0331</t>
  </si>
  <si>
    <t>W0336</t>
  </si>
  <si>
    <t>W0348</t>
  </si>
  <si>
    <t>W0354</t>
  </si>
  <si>
    <t>W0355</t>
  </si>
  <si>
    <t>W0356</t>
  </si>
  <si>
    <t>W0357</t>
  </si>
  <si>
    <t>W0358</t>
  </si>
  <si>
    <t>W0359</t>
  </si>
  <si>
    <t>W0361</t>
  </si>
  <si>
    <t>W0365</t>
  </si>
  <si>
    <t>W0366</t>
  </si>
  <si>
    <t>W0369</t>
  </si>
  <si>
    <t>W0370</t>
  </si>
  <si>
    <t>W0371</t>
  </si>
  <si>
    <t>W0372</t>
  </si>
  <si>
    <t>W0385</t>
  </si>
  <si>
    <t>W0386</t>
  </si>
  <si>
    <t>W0387</t>
  </si>
  <si>
    <t>W0388</t>
  </si>
  <si>
    <t>W0389</t>
  </si>
  <si>
    <t>W0391</t>
  </si>
  <si>
    <t>W0392</t>
  </si>
  <si>
    <t>W0393</t>
  </si>
  <si>
    <t>W0394</t>
  </si>
  <si>
    <t>W0395</t>
  </si>
  <si>
    <t>W0396</t>
  </si>
  <si>
    <t>W0398</t>
  </si>
  <si>
    <t>W0399</t>
  </si>
  <si>
    <t>W0400</t>
  </si>
  <si>
    <t>W0403</t>
  </si>
  <si>
    <t>W0404</t>
  </si>
  <si>
    <t>W0405</t>
  </si>
  <si>
    <t>W0406</t>
  </si>
  <si>
    <t>W0407</t>
  </si>
  <si>
    <t>W0409</t>
  </si>
  <si>
    <t>W0414</t>
  </si>
  <si>
    <t>W0419</t>
  </si>
  <si>
    <t>W0423</t>
  </si>
  <si>
    <t>S0329</t>
  </si>
  <si>
    <t>E0236</t>
  </si>
  <si>
    <t>S0299</t>
  </si>
  <si>
    <t>W0368</t>
  </si>
  <si>
    <t>E0254</t>
  </si>
  <si>
    <t>W0364</t>
  </si>
  <si>
    <t>W0384</t>
  </si>
  <si>
    <t>T0001</t>
  </si>
  <si>
    <t>S0254</t>
  </si>
  <si>
    <t>W0415</t>
  </si>
  <si>
    <t>W0416</t>
  </si>
  <si>
    <t>S0324</t>
  </si>
  <si>
    <t>S0325</t>
  </si>
  <si>
    <t>S0326</t>
  </si>
  <si>
    <t>E0071</t>
  </si>
  <si>
    <t>E0252</t>
  </si>
  <si>
    <t>E0253</t>
  </si>
  <si>
    <t>E0255</t>
  </si>
  <si>
    <t>S0298</t>
  </si>
  <si>
    <t>S0305</t>
  </si>
  <si>
    <t>S0323</t>
  </si>
  <si>
    <t>W0259</t>
  </si>
  <si>
    <t>W0262</t>
  </si>
  <si>
    <t>W0301</t>
  </si>
  <si>
    <t>W0319</t>
  </si>
  <si>
    <t>W0322</t>
  </si>
  <si>
    <t>W0333</t>
  </si>
  <si>
    <t>W0337</t>
  </si>
  <si>
    <t>W0340</t>
  </si>
  <si>
    <t>W0346</t>
  </si>
  <si>
    <t>W0347</t>
  </si>
  <si>
    <t>W0352</t>
  </si>
  <si>
    <t>W0353</t>
  </si>
  <si>
    <t>W0360</t>
  </si>
  <si>
    <t>W0367</t>
  </si>
  <si>
    <t>W0374</t>
  </si>
  <si>
    <t>W0375</t>
  </si>
  <si>
    <t>W0376</t>
  </si>
  <si>
    <t>W0377</t>
  </si>
  <si>
    <t>W0380</t>
  </si>
  <si>
    <t>W0382</t>
  </si>
  <si>
    <t>W0390</t>
  </si>
  <si>
    <t>W0397</t>
  </si>
  <si>
    <t>W0408</t>
  </si>
  <si>
    <t>W0413</t>
  </si>
  <si>
    <t>W0420</t>
  </si>
  <si>
    <t>W0421</t>
  </si>
  <si>
    <t>W0422</t>
  </si>
  <si>
    <t>W0426</t>
  </si>
  <si>
    <t>W0429</t>
  </si>
  <si>
    <t>W0430</t>
  </si>
  <si>
    <t>W0437</t>
  </si>
  <si>
    <t>W0439</t>
  </si>
  <si>
    <t>W0440</t>
  </si>
  <si>
    <t>W0441</t>
  </si>
  <si>
    <t>W0442</t>
  </si>
  <si>
    <t>W0443</t>
  </si>
  <si>
    <t>W0444</t>
  </si>
  <si>
    <t>W0445</t>
  </si>
  <si>
    <t>W0446</t>
  </si>
  <si>
    <t>W0447</t>
  </si>
  <si>
    <t>W0449</t>
  </si>
  <si>
    <t>W0450</t>
  </si>
  <si>
    <t>W0451</t>
  </si>
  <si>
    <t>W0452</t>
  </si>
  <si>
    <t>W0453</t>
  </si>
  <si>
    <t>W0455</t>
  </si>
  <si>
    <t>W0456</t>
  </si>
  <si>
    <t>W0457</t>
  </si>
  <si>
    <t>W0458</t>
  </si>
  <si>
    <t>W0459</t>
  </si>
  <si>
    <t>S0300</t>
  </si>
  <si>
    <t>Aidlin #1</t>
  </si>
  <si>
    <t>Ameresco Santa Cruz Energy</t>
  </si>
  <si>
    <t>Bear Canyon #2</t>
  </si>
  <si>
    <t>Calabasas Gas-to-Energy</t>
  </si>
  <si>
    <t>Calistoga #19</t>
  </si>
  <si>
    <t>EBMUD WWTP Power Generation Station</t>
  </si>
  <si>
    <t>Geothermal 1</t>
  </si>
  <si>
    <t>Geothermal 2</t>
  </si>
  <si>
    <t>Heber Geothermal Co</t>
  </si>
  <si>
    <t>Kiefer Landfill Gas-to-Energy Facility</t>
  </si>
  <si>
    <t>Keller Canyon Landfill (Pittsburg)</t>
  </si>
  <si>
    <t>Mammoth Pacific I</t>
  </si>
  <si>
    <t>Marina Landfill Gas (Monterey Regional Waste Management Dst)</t>
  </si>
  <si>
    <t>McCabe #5-#6</t>
  </si>
  <si>
    <t>Monterey Regional Water Pollution Control Cogen</t>
  </si>
  <si>
    <t>Otay 3 Power Station</t>
  </si>
  <si>
    <t>Otay, Unit 1 and 2</t>
  </si>
  <si>
    <t>Ox Mountain Landfill aka Half Moon Bay</t>
  </si>
  <si>
    <t>Puente Hills Energy Recovery</t>
  </si>
  <si>
    <t>Puente Hills Gas-to-Energy Facility, Phase II</t>
  </si>
  <si>
    <t>Robert O. Schulz Solar Farm #1 and 2</t>
  </si>
  <si>
    <t>Salton Sea Unit 2</t>
  </si>
  <si>
    <t>Scattergood 1 and 2</t>
  </si>
  <si>
    <t>Second Imperial Geothermal Co SIGC Plant</t>
  </si>
  <si>
    <t>SPI - Quincy</t>
  </si>
  <si>
    <t>West Ford Flat #4</t>
  </si>
  <si>
    <t>G2 Energy (Hay Road) LLC</t>
  </si>
  <si>
    <t>Cascade Solar LLC</t>
  </si>
  <si>
    <t>Cascade Solar</t>
  </si>
  <si>
    <t>Toro Energy of California LLC</t>
  </si>
  <si>
    <t>Smart Park LLC</t>
  </si>
  <si>
    <t>Duke Energy (Solar Plant Operations)</t>
  </si>
  <si>
    <t>Grasslands EPWF</t>
  </si>
  <si>
    <t xml:space="preserve">Grasslands RES-BCT </t>
  </si>
  <si>
    <t>Ameresco, Inc.</t>
  </si>
  <si>
    <t xml:space="preserve">Ameresco Vasco Road LLC </t>
  </si>
  <si>
    <t xml:space="preserve"> Los Angeles Department of Water &amp; Power (LADWP)</t>
  </si>
  <si>
    <t>Bradley Landfill</t>
  </si>
  <si>
    <t xml:space="preserve">Port of Stockton District Energy Facility </t>
  </si>
  <si>
    <t>DTE Stockton, LLC</t>
  </si>
  <si>
    <t>Ameresco Forward LLC</t>
  </si>
  <si>
    <t xml:space="preserve">Ameresco San Joaquin LLC </t>
  </si>
  <si>
    <t xml:space="preserve">Ameresco Johnson Canyon </t>
  </si>
  <si>
    <t xml:space="preserve">Toland Road Landfill </t>
  </si>
  <si>
    <t>Ventura Regional Sanitation District</t>
  </si>
  <si>
    <t>Sunshine Gas Producers Renewable Energy Project</t>
  </si>
  <si>
    <t>Mojave Solar Project</t>
  </si>
  <si>
    <t>Mojave Solar LLC</t>
  </si>
  <si>
    <t>2009-2014 Ave Gen (GWh)</t>
  </si>
  <si>
    <t xml:space="preserve">Copper Mountain II </t>
  </si>
  <si>
    <t>Western Antelope Blue Sky Ranch A</t>
  </si>
  <si>
    <t xml:space="preserve">Arlington Valley Solar Energy II </t>
  </si>
  <si>
    <t xml:space="preserve">Copper Mountain III </t>
  </si>
  <si>
    <t>SEMPRA U.S. Gas &amp; Power</t>
  </si>
  <si>
    <t>NRG Solar Community I, LLC</t>
  </si>
  <si>
    <t xml:space="preserve">Heber Solar Facility </t>
  </si>
  <si>
    <t>Imperial Solar 1, LLC</t>
  </si>
  <si>
    <t>Fall River Mills Project A &amp; B</t>
  </si>
  <si>
    <t>PSEG Solar Source LLC</t>
  </si>
  <si>
    <t>Pristine Sun LLC</t>
  </si>
  <si>
    <t xml:space="preserve">Bear Creek Solar </t>
  </si>
  <si>
    <t>Bear Creek Solar LLC</t>
  </si>
  <si>
    <t xml:space="preserve">Orion 1 Solar </t>
  </si>
  <si>
    <t xml:space="preserve">Orion 2 Solar </t>
  </si>
  <si>
    <t xml:space="preserve">Adobe Solar </t>
  </si>
  <si>
    <t>Cloverdale Solar I</t>
  </si>
  <si>
    <t>GreenLead-TNX Management</t>
  </si>
  <si>
    <t>Dominion</t>
  </si>
  <si>
    <t xml:space="preserve">Adams East, LLC </t>
  </si>
  <si>
    <t xml:space="preserve">Camelot, LLC </t>
  </si>
  <si>
    <t>Columbia Two, LLC</t>
  </si>
  <si>
    <t xml:space="preserve">Kent South, LLC </t>
  </si>
  <si>
    <t xml:space="preserve">Old River One, LLC </t>
  </si>
  <si>
    <t xml:space="preserve">Corcoran Irrigation District Solar, LLC </t>
  </si>
  <si>
    <t xml:space="preserve">West Antelope Solar Park </t>
  </si>
  <si>
    <t xml:space="preserve">Kansas, LLC </t>
  </si>
  <si>
    <t>White River Solar 2, LLC (White River West)</t>
  </si>
  <si>
    <t>CED California Holdings, LLC</t>
  </si>
  <si>
    <t xml:space="preserve">Regulus Solar </t>
  </si>
  <si>
    <t xml:space="preserve">Alhambra Solar Facility </t>
  </si>
  <si>
    <t>SG2 Imperial Valley, LLC</t>
  </si>
  <si>
    <t xml:space="preserve">Arkansas Solar Facility </t>
  </si>
  <si>
    <t xml:space="preserve">Sonora Solar Facility </t>
  </si>
  <si>
    <t>Wildwood Solar I</t>
  </si>
  <si>
    <t>Lone Valley Solar Park 1</t>
  </si>
  <si>
    <t>Lone Valley Solar Park 2</t>
  </si>
  <si>
    <t>Cottonwood Goose Lake LLC</t>
  </si>
  <si>
    <t>Alamo Solar LLC</t>
  </si>
  <si>
    <t>Catalina Two LLC</t>
  </si>
  <si>
    <t>Vega Solar</t>
  </si>
  <si>
    <t>Oasis Solar</t>
  </si>
  <si>
    <t>S0338</t>
  </si>
  <si>
    <t>Pine Tree Solar Project</t>
  </si>
  <si>
    <t>Westlands Solar Farms</t>
  </si>
  <si>
    <t xml:space="preserve">Desert Green Solar Farm LLC </t>
  </si>
  <si>
    <t>Garnet Solar Power Generation Station 1</t>
  </si>
  <si>
    <t xml:space="preserve">Jurupa Valley Solar PV </t>
  </si>
  <si>
    <t>Silverado Power</t>
  </si>
  <si>
    <t xml:space="preserve">Champagne Solar PV </t>
  </si>
  <si>
    <t xml:space="preserve">Lancaster Little Rock C Solar PV </t>
  </si>
  <si>
    <t xml:space="preserve">Pumpjack Solar 1 PV </t>
  </si>
  <si>
    <t xml:space="preserve"> 8/4/2014 </t>
  </si>
  <si>
    <t xml:space="preserve">Hesperia Solar PV </t>
  </si>
  <si>
    <t>Five Points Solar Station</t>
  </si>
  <si>
    <t>Solar Star I (MidAmerican)</t>
  </si>
  <si>
    <t>Solar Star II (MidAmerican)</t>
  </si>
  <si>
    <t>Blackspring Ridge IA</t>
  </si>
  <si>
    <t>Blackspring Ridge IB</t>
  </si>
  <si>
    <t>Energia Sierra Juarez</t>
  </si>
  <si>
    <t>CFE</t>
  </si>
  <si>
    <t>SDGE</t>
  </si>
  <si>
    <t>Next Era Energy Resources LLC</t>
  </si>
  <si>
    <t>Adelanto Solar II</t>
  </si>
  <si>
    <t>Gestamp Asetym Solar North America, Inc.</t>
  </si>
  <si>
    <t>Columbia Solar Energy, LLC</t>
  </si>
  <si>
    <t>Hanergy Holding America, Inc.</t>
  </si>
  <si>
    <t>PGE RAM</t>
  </si>
  <si>
    <t>E.On Climate &amp; Renewables</t>
  </si>
  <si>
    <t>Shafter Solar</t>
  </si>
  <si>
    <t>NextEra Energy Resources, LLC</t>
  </si>
  <si>
    <t>Morelos Del Sol</t>
  </si>
  <si>
    <t>SCE RAM</t>
  </si>
  <si>
    <t>Coronal Lost Hills (f/k/a Twisselman Solar)</t>
  </si>
  <si>
    <t>Coronal Lost Hills, LLC</t>
  </si>
  <si>
    <t>Adelanto Solar I</t>
  </si>
  <si>
    <t>Catalina Solar 2, LLC</t>
  </si>
  <si>
    <t>Vega Solar, LLC</t>
  </si>
  <si>
    <t>Citizen Solar B</t>
  </si>
  <si>
    <t>LOS ANGELES</t>
  </si>
  <si>
    <t>KERN</t>
  </si>
  <si>
    <t>NRG Solar Oasis, LLC</t>
  </si>
  <si>
    <t>SEPV Mojave West, LLC</t>
  </si>
  <si>
    <t>TC Valos Solar</t>
  </si>
  <si>
    <t>SCE SPVP</t>
  </si>
  <si>
    <t>GOLDEN SPRINGS BUILDING H</t>
  </si>
  <si>
    <t>GOLDEN SPRINGS BUILDING M</t>
  </si>
  <si>
    <t>KONA SOLAR LLC</t>
  </si>
  <si>
    <t>PARK MERIDIAN 1</t>
  </si>
  <si>
    <t>RANCHO CUCAMONGA DISTRIBUTION CENTER 1</t>
  </si>
  <si>
    <t>SESTINA SOLAR</t>
  </si>
  <si>
    <t>ROCHESTER</t>
  </si>
  <si>
    <t>SUNE MIRA LOMA</t>
  </si>
  <si>
    <t>SUN EDISON</t>
  </si>
  <si>
    <t>SUNE REDLANDS</t>
  </si>
  <si>
    <t>SUNE PICO RIVERA</t>
  </si>
  <si>
    <t>SDGE RAM</t>
  </si>
  <si>
    <t>Small Hydro</t>
  </si>
  <si>
    <t>Tehama
County</t>
  </si>
  <si>
    <t>Sustainable Through
Innovation, Lassen
Lodge Hydro</t>
  </si>
  <si>
    <t>San
Bernardino
County</t>
  </si>
  <si>
    <t>San Diego
County</t>
  </si>
  <si>
    <t xml:space="preserve">Putah Creek Solar Farm </t>
  </si>
  <si>
    <t>SEPV18, LLC</t>
  </si>
  <si>
    <t>SCE REMAT</t>
  </si>
  <si>
    <t>Morgan Lancaster I, LLC</t>
  </si>
  <si>
    <t>California Water Service Company</t>
  </si>
  <si>
    <t>Buckman Springs PV 1</t>
  </si>
  <si>
    <t>Buckman Springs PV 2</t>
  </si>
  <si>
    <t>SDGE REMAT</t>
  </si>
  <si>
    <t>Victorville LandfillSolar LP</t>
  </si>
  <si>
    <t>North Star Solar 1</t>
  </si>
  <si>
    <t>LANDFILL GAS</t>
  </si>
  <si>
    <t>VICTOR_1_SOLAR3</t>
  </si>
  <si>
    <t>DELAMO_2_SOLAR1</t>
  </si>
  <si>
    <t>DELAMO_2_SOLAR2</t>
  </si>
  <si>
    <t>PUTHCR_1_SOLAR1</t>
  </si>
  <si>
    <t>REEDLY_6_SOLAR</t>
  </si>
  <si>
    <t>7STDRD_1_SOLAR1</t>
  </si>
  <si>
    <t>MIRLOM_2_ONTARO</t>
  </si>
  <si>
    <t>LA Basin</t>
  </si>
  <si>
    <t>SUNE ONTARIO - Ontario RT Solar</t>
  </si>
  <si>
    <t>TMPLTN_2_SOLAR</t>
  </si>
  <si>
    <t>MNDOTA_1_SOLAR1</t>
  </si>
  <si>
    <t>SLSTR1_2_SOLAR1</t>
  </si>
  <si>
    <t>SLSTR2_2_SOLAR2</t>
  </si>
  <si>
    <t>VICTOR_1_SOLAR4</t>
  </si>
  <si>
    <t>VALLEY_5_SOLAR2</t>
  </si>
  <si>
    <t>SUNE DB APNL LLC</t>
  </si>
  <si>
    <t>AVSOLR_2_SOLAR</t>
  </si>
  <si>
    <t>Antelope Valley Solar Ranch 1</t>
  </si>
  <si>
    <t>ADMEST_6_SOLAR</t>
  </si>
  <si>
    <t>ISO Resource ID</t>
  </si>
  <si>
    <t>ADOBEE_1_SOLAR</t>
  </si>
  <si>
    <t>VICTOR_1_SOLAR2</t>
  </si>
  <si>
    <t>ACACIA_6_SOLAR</t>
  </si>
  <si>
    <t>ATWEL2_1_SOLAR1</t>
  </si>
  <si>
    <t>WAUKNA_1_SOLAR2</t>
  </si>
  <si>
    <t>Bakersfield 111</t>
  </si>
  <si>
    <t>Bakersfield 111, LLC</t>
  </si>
  <si>
    <t>BKRFLD_2_SOLAR1</t>
  </si>
  <si>
    <t>LOCKFD_1_BEARCK</t>
  </si>
  <si>
    <t>Blackwell Solar</t>
  </si>
  <si>
    <t>BLCKWL_6_SOLAR1</t>
  </si>
  <si>
    <t>CORCAN_1_SOLAR1</t>
  </si>
  <si>
    <t>CAMLOT_2_SOLAR1</t>
  </si>
  <si>
    <t>CAMLOT_2_SOLAR2</t>
  </si>
  <si>
    <t>CNTNLA_2_SOLAR2; CNTNLA_2_SOLAR1</t>
  </si>
  <si>
    <t>CLOVDL_1_SOLAR</t>
  </si>
  <si>
    <t>CUMBIA_1_SOLAR</t>
  </si>
  <si>
    <t>Cottonwood Solar, LLC</t>
  </si>
  <si>
    <t>CORCAN_1_SOLAR2</t>
  </si>
  <si>
    <t>TWISSL_6_SOLAR1</t>
  </si>
  <si>
    <t>GOOSLK_1_SOLAR1</t>
  </si>
  <si>
    <t>BREGGO_6_DEGRSL</t>
  </si>
  <si>
    <t>DSRTSN_2_SOLAR2</t>
  </si>
  <si>
    <t>DSRTSN_2_SOLAR1</t>
  </si>
  <si>
    <t>DELSUR_6_DRYFRB</t>
  </si>
  <si>
    <t>EE Kettleman Land, LLC</t>
  </si>
  <si>
    <t>EEKTMN_6_SOLAR1</t>
  </si>
  <si>
    <t>PIT1_6_FRIVRA; MCARTH_6_FRIVRB</t>
  </si>
  <si>
    <t>Fresno Solar South</t>
  </si>
  <si>
    <t>Fresno Solar West</t>
  </si>
  <si>
    <t>Fresno Cogeneration Partners, LP</t>
  </si>
  <si>
    <t>KERMAN_6_SOLAR1</t>
  </si>
  <si>
    <t>KERMAN_6_SOLAR2</t>
  </si>
  <si>
    <t>GARNET_1_SOLAR2</t>
  </si>
  <si>
    <t>VICTOR_1_SLRHES</t>
  </si>
  <si>
    <t>LIVEOK_6_SOLAR</t>
  </si>
  <si>
    <t>Hollister Solar</t>
  </si>
  <si>
    <t>HOLSTR_1_SOLAR2</t>
  </si>
  <si>
    <t>CSolar IV West, LLC</t>
  </si>
  <si>
    <t>IVWEST_2_SOLAR1</t>
  </si>
  <si>
    <t>LEPRFD_1_KANSAS</t>
  </si>
  <si>
    <t>KNTSTH_6_SOLAR</t>
  </si>
  <si>
    <t>LOCKFD_1_KSOLAR</t>
  </si>
  <si>
    <t>PADUA_2_SOLAR1</t>
  </si>
  <si>
    <t>LITLRK_6_SOLAR1</t>
  </si>
  <si>
    <t>VICTOR_1_LVSLR1</t>
  </si>
  <si>
    <t>VICTOR_1_LVSLR2</t>
  </si>
  <si>
    <t>Lost Hills Solar, LLC</t>
  </si>
  <si>
    <t>Lost Hills Solar</t>
  </si>
  <si>
    <t>LHILLS_6_SOLAR1</t>
  </si>
  <si>
    <t>McCoy Station</t>
  </si>
  <si>
    <t>BLKCRK_2_SOLAR1</t>
  </si>
  <si>
    <t>Merced Solar</t>
  </si>
  <si>
    <t>MERCED_1_SOLAR2</t>
  </si>
  <si>
    <t>VALLEY_5_SOLAR1</t>
  </si>
  <si>
    <t>SANDLT_2_STGA; SANDLT_2_STGB</t>
  </si>
  <si>
    <t>OLDRV1_6_SOLAR</t>
  </si>
  <si>
    <t>ARVINN_6_ORION1</t>
  </si>
  <si>
    <t>ARVINN_6_ORION2</t>
  </si>
  <si>
    <t>PMDLET_6_SOLAR1</t>
  </si>
  <si>
    <t>PMPJCK_1_SOLAR1</t>
  </si>
  <si>
    <t>LAMONT_1_SOLAR1</t>
  </si>
  <si>
    <t>HOLSTR_1_SOLAR</t>
  </si>
  <si>
    <t>IVSLRP_2_SOLAR1</t>
  </si>
  <si>
    <t>Algonquin SKIC 20 Solar, LLC</t>
  </si>
  <si>
    <t>Kern</t>
  </si>
  <si>
    <t>SKERN_6_SOLAR1</t>
  </si>
  <si>
    <t>Summer Solar North</t>
  </si>
  <si>
    <t>FTS Master Tenant 1, LLC</t>
  </si>
  <si>
    <t>DELSUR_6_SOLAR1</t>
  </si>
  <si>
    <t>S_RITA_6_SOLAR1</t>
  </si>
  <si>
    <t>Tequesquite Landfill Solar Project</t>
  </si>
  <si>
    <t>RVSIDE_6_SOLAR1</t>
  </si>
  <si>
    <t>Solar Star California XXXI, LLC</t>
  </si>
  <si>
    <t>CHINO_2_SOLAR2</t>
  </si>
  <si>
    <t>TOPAZ_2_SOLAR</t>
  </si>
  <si>
    <t>VEGA_6_SOLAR1</t>
  </si>
  <si>
    <t>Victor Dry Farm Ranch A</t>
  </si>
  <si>
    <t>Victor Dry Farm Ranch B</t>
  </si>
  <si>
    <t>VICTOR_1_VDRYFA</t>
  </si>
  <si>
    <t>VICTOR_1_VDRYFB</t>
  </si>
  <si>
    <t>Victor Dry Farm Ranch A LLC</t>
  </si>
  <si>
    <t>Victor Dry Farm Ranch B LLC</t>
  </si>
  <si>
    <t>PLAINV_6_BSOLAR</t>
  </si>
  <si>
    <t>JAYNE_6_WLSLR</t>
  </si>
  <si>
    <t>OLIVEP_1_SOLAR2</t>
  </si>
  <si>
    <t>WLDWD_1_SOLAR1</t>
  </si>
  <si>
    <t>ELCAP_1_SOLAR</t>
  </si>
  <si>
    <t>2097 Helton</t>
  </si>
  <si>
    <t>Pristine Sun, LLC</t>
  </si>
  <si>
    <t>Amedee Geothermal Venture I</t>
  </si>
  <si>
    <t>LASSEN_6_AGV1</t>
  </si>
  <si>
    <t>CORRAL_6_SJOAQN</t>
  </si>
  <si>
    <t>CATLNA_2_SOLAR2</t>
  </si>
  <si>
    <t>OLDRIV_6_BIOGAS</t>
  </si>
  <si>
    <t>RIVRBK_1_LNDFIL</t>
  </si>
  <si>
    <t>Landfill gas</t>
  </si>
  <si>
    <t>CSTOGA_6_LNDFIL</t>
  </si>
  <si>
    <t>WEBER_6_FORWRD</t>
  </si>
  <si>
    <t>Terminal Storage - Hydro Generator</t>
  </si>
  <si>
    <t>WALNUT VALLEY WATER DISTRICT (#1)</t>
  </si>
  <si>
    <t>Pristine Sun Fund 1, LLC</t>
  </si>
  <si>
    <t>Hollister Solar LLC</t>
  </si>
  <si>
    <t>Badger Filtration Plant</t>
  </si>
  <si>
    <t>H0016</t>
  </si>
  <si>
    <t>Mission Solar</t>
  </si>
  <si>
    <t>MERCED_1_SOLAR1</t>
  </si>
  <si>
    <t>Otay Unit 5</t>
  </si>
  <si>
    <t>Otay Unit 6</t>
  </si>
  <si>
    <t>SEPV Palmdale East, LLC</t>
  </si>
  <si>
    <t>Palmdale East</t>
  </si>
  <si>
    <t>Mojave West</t>
  </si>
  <si>
    <t>SPIAND_1_ANDSN2</t>
  </si>
  <si>
    <t>COGNAT_1_UNIT</t>
  </si>
  <si>
    <t>SUNSHN_2_LNDFL</t>
  </si>
  <si>
    <t>CAYTNO_2_VASCO</t>
  </si>
  <si>
    <t>Tulare PV I, LLC</t>
  </si>
  <si>
    <t>Sequoia PV 1, LLC</t>
  </si>
  <si>
    <t>62642A</t>
  </si>
  <si>
    <t>67RK 8me, LLC</t>
  </si>
  <si>
    <t>Redcrest Solar Farm</t>
  </si>
  <si>
    <t>61502A</t>
  </si>
  <si>
    <t>61503A</t>
  </si>
  <si>
    <t>61504A</t>
  </si>
  <si>
    <t>61505A</t>
  </si>
  <si>
    <t>Anaheim Solar Energy Plant</t>
  </si>
  <si>
    <t>62809A</t>
  </si>
  <si>
    <t>62523A</t>
  </si>
  <si>
    <t>California PV Energy, LLC</t>
  </si>
  <si>
    <t>62428A</t>
  </si>
  <si>
    <t>62690A</t>
  </si>
  <si>
    <t>62689A</t>
  </si>
  <si>
    <t>61531A</t>
  </si>
  <si>
    <t>Kings</t>
  </si>
  <si>
    <t>Porterville 1</t>
  </si>
  <si>
    <t>Porterville 2</t>
  </si>
  <si>
    <t>Porterville 5</t>
  </si>
  <si>
    <t>Porterville 6</t>
  </si>
  <si>
    <t>Porterville 7</t>
  </si>
  <si>
    <t>Tulare</t>
  </si>
  <si>
    <t>61640A</t>
  </si>
  <si>
    <t>61641A</t>
  </si>
  <si>
    <t>61728A</t>
  </si>
  <si>
    <t>62740A</t>
  </si>
  <si>
    <t>62741A</t>
  </si>
  <si>
    <t>Sequoia PV 3, LLC</t>
  </si>
  <si>
    <t>PsomasFMG Lancaster Solar CREST, LLC</t>
  </si>
  <si>
    <t>61526A</t>
  </si>
  <si>
    <t>61527A</t>
  </si>
  <si>
    <t>62869A</t>
  </si>
  <si>
    <t xml:space="preserve">85A                          </t>
  </si>
  <si>
    <t xml:space="preserve">85B                     </t>
  </si>
  <si>
    <t xml:space="preserve">Aero Energy, LLC            </t>
  </si>
  <si>
    <t xml:space="preserve">Alta I Wind Energy Center   </t>
  </si>
  <si>
    <t xml:space="preserve">Alta II Wind Energy Center      </t>
  </si>
  <si>
    <t xml:space="preserve">Alta III Wind Energy Center  </t>
  </si>
  <si>
    <t xml:space="preserve">Alta IV Wind Energy Center  </t>
  </si>
  <si>
    <t xml:space="preserve">Alta Mesa Phase 3                                        </t>
  </si>
  <si>
    <t xml:space="preserve">Alta V Wind Energy Center </t>
  </si>
  <si>
    <t>Alta Wind VIII, LLC</t>
  </si>
  <si>
    <t xml:space="preserve">Alta X Wind Energy Center </t>
  </si>
  <si>
    <t xml:space="preserve">Alta XI Wind Energy Center    </t>
  </si>
  <si>
    <t xml:space="preserve">Altamont   </t>
  </si>
  <si>
    <t xml:space="preserve">Altamont Midway Ltd.       </t>
  </si>
  <si>
    <t>Altech III</t>
  </si>
  <si>
    <t xml:space="preserve">Anheuser-Busch  </t>
  </si>
  <si>
    <t xml:space="preserve">Anheuser-Busch #2       </t>
  </si>
  <si>
    <t xml:space="preserve">Buena Vista Energy LLC   </t>
  </si>
  <si>
    <t xml:space="preserve">Cabazon Wind   </t>
  </si>
  <si>
    <t xml:space="preserve">Cabazon Wind Partners, LLC </t>
  </si>
  <si>
    <t xml:space="preserve">Cameron Ridge        </t>
  </si>
  <si>
    <t xml:space="preserve">Cemex BMQ   </t>
  </si>
  <si>
    <t xml:space="preserve">Cemex Madison </t>
  </si>
  <si>
    <t xml:space="preserve">Cemex River Plant  </t>
  </si>
  <si>
    <t xml:space="preserve">City of Soledad   </t>
  </si>
  <si>
    <t xml:space="preserve">Coram Energy LLC </t>
  </si>
  <si>
    <t xml:space="preserve">Coram Energy LLC ECT   </t>
  </si>
  <si>
    <t xml:space="preserve">Coram Energy LLC QF 6089 </t>
  </si>
  <si>
    <t xml:space="preserve">Coram Tehachapi LP </t>
  </si>
  <si>
    <t xml:space="preserve">Diablo Wind LLC </t>
  </si>
  <si>
    <t xml:space="preserve">Difwind Farms LTD I </t>
  </si>
  <si>
    <t xml:space="preserve">Difwind Farms LTD II      </t>
  </si>
  <si>
    <t xml:space="preserve">Difwind Farms LTD IX  </t>
  </si>
  <si>
    <t xml:space="preserve">Difwind Farms LTD V  </t>
  </si>
  <si>
    <t xml:space="preserve">Difwind Farms Ltd VI  </t>
  </si>
  <si>
    <t xml:space="preserve">Difwind Farms Ltd VII </t>
  </si>
  <si>
    <t>Difwind Farms LTD VIII</t>
  </si>
  <si>
    <t xml:space="preserve">Dillon Wind    </t>
  </si>
  <si>
    <t xml:space="preserve">Dutch Energy Wind Farm   </t>
  </si>
  <si>
    <t xml:space="preserve">Dyer Road    </t>
  </si>
  <si>
    <t xml:space="preserve">EDF Renewable Windfarm V Inc     </t>
  </si>
  <si>
    <t>Edom Hills Project 1, LLC</t>
  </si>
  <si>
    <t xml:space="preserve">EUIPH Wind Farm    </t>
  </si>
  <si>
    <t xml:space="preserve">FPL Energy Montezuma Winds LLC </t>
  </si>
  <si>
    <t xml:space="preserve">Garnet Wind Energy Center    </t>
  </si>
  <si>
    <t xml:space="preserve">Golden Acorn Casino </t>
  </si>
  <si>
    <t xml:space="preserve">Green Power I  </t>
  </si>
  <si>
    <t xml:space="preserve">Green Ridge Power, LLC  </t>
  </si>
  <si>
    <t xml:space="preserve">Hatchet Ridge Wind, LLC      </t>
  </si>
  <si>
    <t xml:space="preserve">Helzel &amp; Schwarzhoff 88    </t>
  </si>
  <si>
    <t xml:space="preserve">High Winds              </t>
  </si>
  <si>
    <t xml:space="preserve">IEUA </t>
  </si>
  <si>
    <t xml:space="preserve">International Turbine Research, Inc.       </t>
  </si>
  <si>
    <t xml:space="preserve">Karen Avenue Wind Farm   </t>
  </si>
  <si>
    <t xml:space="preserve">Kumeyaay Wind Farm       </t>
  </si>
  <si>
    <t xml:space="preserve">Manzana Wind     </t>
  </si>
  <si>
    <t xml:space="preserve">Mesa Wind Power Corporation </t>
  </si>
  <si>
    <t>Mogul Energy</t>
  </si>
  <si>
    <t xml:space="preserve">Mojave 16, 17, 18 </t>
  </si>
  <si>
    <t xml:space="preserve">Mojave 3   </t>
  </si>
  <si>
    <t xml:space="preserve">Mojave 4    </t>
  </si>
  <si>
    <t xml:space="preserve">Mojave 5      </t>
  </si>
  <si>
    <t xml:space="preserve">Montezuma Wind II  </t>
  </si>
  <si>
    <t xml:space="preserve">Mountain View I </t>
  </si>
  <si>
    <t xml:space="preserve">Mountain View II </t>
  </si>
  <si>
    <t xml:space="preserve">Mountain View III     </t>
  </si>
  <si>
    <t xml:space="preserve">Mountain View IV  </t>
  </si>
  <si>
    <t xml:space="preserve">Mustang Hills LLC </t>
  </si>
  <si>
    <t xml:space="preserve">NAWP, Inc. East Winds Project   </t>
  </si>
  <si>
    <t xml:space="preserve">North Sky River, LLC  </t>
  </si>
  <si>
    <t xml:space="preserve">Oak Creek Wind Power  </t>
  </si>
  <si>
    <t xml:space="preserve">Oasis Power Partners, LLC  </t>
  </si>
  <si>
    <t xml:space="preserve">Ocotillo Express LLC                   </t>
  </si>
  <si>
    <t xml:space="preserve">Pacific Wind Project, LLC   </t>
  </si>
  <si>
    <t xml:space="preserve">Painted Hills Wind Developers                       </t>
  </si>
  <si>
    <t xml:space="preserve">Patterson Pass Wind Farm, LLC                               </t>
  </si>
  <si>
    <t xml:space="preserve">Phoenix Wind  </t>
  </si>
  <si>
    <t xml:space="preserve">Pine Tree Wind Power Plant     </t>
  </si>
  <si>
    <t xml:space="preserve">Pinyon Pines Winds I </t>
  </si>
  <si>
    <t xml:space="preserve">Pinyon Pines Winds II           </t>
  </si>
  <si>
    <t xml:space="preserve">Ridgetop Energy     </t>
  </si>
  <si>
    <t xml:space="preserve">Ridgetop Energy II       </t>
  </si>
  <si>
    <t xml:space="preserve">Rising Tree Wind Farm I                     </t>
  </si>
  <si>
    <t xml:space="preserve">Rising Tree Wind Farm II         </t>
  </si>
  <si>
    <t xml:space="preserve">Safeway Tracy  </t>
  </si>
  <si>
    <t xml:space="preserve">San Gorgonio Farms Wind Farm   </t>
  </si>
  <si>
    <t xml:space="preserve">San Gorgonio Westwinds II     </t>
  </si>
  <si>
    <t xml:space="preserve">San Gorgonio Wind   </t>
  </si>
  <si>
    <t xml:space="preserve">Santa Clara 85C    </t>
  </si>
  <si>
    <t xml:space="preserve">Section 22 Trust San Jacinto        </t>
  </si>
  <si>
    <t xml:space="preserve">Shiloh I Wind  </t>
  </si>
  <si>
    <t xml:space="preserve">Shiloh III Wind Project, LLC  </t>
  </si>
  <si>
    <t xml:space="preserve">Shiloh IV Wind Project, LLC  </t>
  </si>
  <si>
    <t xml:space="preserve">Shiloh Wind Project 2, LLC     </t>
  </si>
  <si>
    <t xml:space="preserve">Sky River Partnership    </t>
  </si>
  <si>
    <t xml:space="preserve">Solano Wind 1,2   </t>
  </si>
  <si>
    <t xml:space="preserve">Solano Wind 3   </t>
  </si>
  <si>
    <t xml:space="preserve">Superior Farms  </t>
  </si>
  <si>
    <t xml:space="preserve">Taylor Farms   </t>
  </si>
  <si>
    <t xml:space="preserve">Teichert Vernalis </t>
  </si>
  <si>
    <t xml:space="preserve">Terra-Gen 251 Wind   </t>
  </si>
  <si>
    <t xml:space="preserve">Terra-Gen Mojave Windfarms  </t>
  </si>
  <si>
    <t xml:space="preserve">Terra-Gen VG Wind       </t>
  </si>
  <si>
    <t xml:space="preserve">Vasco Wind Energy Center </t>
  </si>
  <si>
    <t xml:space="preserve">Victory Gardens IV    </t>
  </si>
  <si>
    <t xml:space="preserve">WAGNER WIND, LLC   </t>
  </si>
  <si>
    <t xml:space="preserve">Wal-Mart Red Bluff </t>
  </si>
  <si>
    <t xml:space="preserve">WEG </t>
  </si>
  <si>
    <t xml:space="preserve">Westwind Partners, LLC    </t>
  </si>
  <si>
    <t>Whitewater Hill Partners, LLC</t>
  </si>
  <si>
    <t>Wind Resource I</t>
  </si>
  <si>
    <t>Wind Resource II</t>
  </si>
  <si>
    <t xml:space="preserve">Wind Stream Operations 6039    </t>
  </si>
  <si>
    <t xml:space="preserve">Wind Stream Operations 6040    </t>
  </si>
  <si>
    <t xml:space="preserve">Wind Stream Operations 6041     </t>
  </si>
  <si>
    <t xml:space="preserve">Wind Stream Operations 6042     </t>
  </si>
  <si>
    <t>Windland Inc Boxcar I</t>
  </si>
  <si>
    <t>Windland Inc Boxcar II</t>
  </si>
  <si>
    <t xml:space="preserve">Windpower Partners 1987 </t>
  </si>
  <si>
    <t xml:space="preserve">Windpower Partners 1988  </t>
  </si>
  <si>
    <t xml:space="preserve">Windpower Partners 1990, L.P  </t>
  </si>
  <si>
    <t xml:space="preserve">Windpower Partners 1991, L.P.  </t>
  </si>
  <si>
    <t xml:space="preserve">Windpower Partners 1991-2, L.P </t>
  </si>
  <si>
    <t xml:space="preserve">Windpower Partners 1992, L.P </t>
  </si>
  <si>
    <t xml:space="preserve">Windstar Energy, LLC    </t>
  </si>
  <si>
    <t xml:space="preserve">Wintec Energy #2-A </t>
  </si>
  <si>
    <t xml:space="preserve">Wintec Energy, Ltd.   </t>
  </si>
  <si>
    <t>Los Angeles</t>
  </si>
  <si>
    <t>PVNavigator, LLC</t>
  </si>
  <si>
    <t>San Bernardino</t>
  </si>
  <si>
    <t>Rugraw - Lasson Lodge Hydro</t>
  </si>
  <si>
    <t>Olivenhain Municipal Water District</t>
  </si>
  <si>
    <t>Otay 2 SDGE</t>
  </si>
  <si>
    <t>Various - PGE III and IIIA</t>
  </si>
  <si>
    <t>Copper Mountain I (CM48)</t>
  </si>
  <si>
    <t>El Dorado (CM10)</t>
  </si>
  <si>
    <t>Eos Energy</t>
  </si>
  <si>
    <t>APEX 646-460</t>
  </si>
  <si>
    <t>Castor Solar</t>
  </si>
  <si>
    <t>Chico</t>
  </si>
  <si>
    <t>Cedar Flat</t>
  </si>
  <si>
    <t>McFadden Hydroelectric Facility (SB32</t>
  </si>
  <si>
    <t>Water Wheel Ranch</t>
  </si>
  <si>
    <t>Baker Creek Hydro</t>
  </si>
  <si>
    <t>Heizenberg Solar LLC</t>
  </si>
  <si>
    <t>Cathay LA Inc.</t>
  </si>
  <si>
    <t>Chatsmouth, LLC</t>
  </si>
  <si>
    <t>MRB Solar, LLC</t>
  </si>
  <si>
    <t>Oakdale Ventures, LLC</t>
  </si>
  <si>
    <t>SunStarter Solar XXII LLC</t>
  </si>
  <si>
    <t>Torrance</t>
  </si>
  <si>
    <t>Buckeye Hydroelectric Project</t>
  </si>
  <si>
    <t>Tunnel Hill Hydroelectric Project</t>
  </si>
  <si>
    <t>Vecino Vineyards LLC</t>
  </si>
  <si>
    <t>WGL Energy Systems Inc.</t>
  </si>
  <si>
    <t>Riverside</t>
  </si>
  <si>
    <t>RPS/WREGIS ID</t>
  </si>
  <si>
    <t>Azusa - 1MW contract for 14 yrs starting in 2017.</t>
  </si>
  <si>
    <t>GARNET_1_WIND</t>
  </si>
  <si>
    <t>MULTI</t>
  </si>
  <si>
    <t>PALO ALTO</t>
  </si>
  <si>
    <t>Geothermal Solar Unit 1</t>
  </si>
  <si>
    <t>Geothermal Solar Unit 2</t>
  </si>
  <si>
    <t>62040A</t>
  </si>
  <si>
    <t>62041A</t>
  </si>
  <si>
    <t>61634A</t>
  </si>
  <si>
    <t>60903A</t>
  </si>
  <si>
    <t>61299A</t>
  </si>
  <si>
    <t>ANHM</t>
  </si>
  <si>
    <t>W1312</t>
  </si>
  <si>
    <t>Magnolia Power Project (Biomethane portion)</t>
  </si>
  <si>
    <t>Chiquita Canyon</t>
  </si>
  <si>
    <t>BIOMASS</t>
  </si>
  <si>
    <t>Valley Pumping Plant</t>
  </si>
  <si>
    <t>LIFE</t>
  </si>
  <si>
    <t>Lake One (Biomethane)</t>
  </si>
  <si>
    <t>62039A</t>
  </si>
  <si>
    <t>62209A</t>
  </si>
  <si>
    <t>RECURRENT</t>
  </si>
  <si>
    <t>ROSEVILLE</t>
  </si>
  <si>
    <t>Leaning Juniper</t>
  </si>
  <si>
    <t>62042A</t>
  </si>
  <si>
    <t>62043A</t>
  </si>
  <si>
    <t>IID</t>
  </si>
  <si>
    <t>Double Weir</t>
  </si>
  <si>
    <t>61081A</t>
  </si>
  <si>
    <t>TURNIP</t>
  </si>
  <si>
    <t>61080A</t>
  </si>
  <si>
    <t>Imperial Valley Solar Company</t>
  </si>
  <si>
    <t>IVSC1</t>
  </si>
  <si>
    <t xml:space="preserve"> H0531</t>
  </si>
  <si>
    <t>Sol Orchard Imperial 1, LLC</t>
  </si>
  <si>
    <t>62368A</t>
  </si>
  <si>
    <t>62300A</t>
  </si>
  <si>
    <t xml:space="preserve">Palouse Wind </t>
  </si>
  <si>
    <t>Shell Energy</t>
  </si>
  <si>
    <t>W2906</t>
  </si>
  <si>
    <t>61671A</t>
  </si>
  <si>
    <t>61597F/ W2268</t>
  </si>
  <si>
    <t>61598F</t>
  </si>
  <si>
    <t>Valley Generating Station</t>
  </si>
  <si>
    <t>Harbor Generating Station</t>
  </si>
  <si>
    <t>61599F</t>
  </si>
  <si>
    <t>Haynes Generating Station</t>
  </si>
  <si>
    <t>61596F</t>
  </si>
  <si>
    <t>61740A</t>
  </si>
  <si>
    <t>LMUD HAS REC ONLY CONTRACT THROUGH 2020 FOR FIXED AMOUNT.</t>
  </si>
  <si>
    <t>Bennett Creek Windfarm, LLC</t>
  </si>
  <si>
    <t>MERCED - 3% OF OUTPUT</t>
  </si>
  <si>
    <t>MODESTO</t>
  </si>
  <si>
    <t xml:space="preserve">Big Horn 1 </t>
  </si>
  <si>
    <t>Big Horn 2</t>
  </si>
  <si>
    <t>BANC</t>
  </si>
  <si>
    <t>Calaveras County Water District</t>
  </si>
  <si>
    <t>New Hogan Power Plant Project</t>
  </si>
  <si>
    <t>60153A</t>
  </si>
  <si>
    <t>Stone Drop</t>
  </si>
  <si>
    <t>62125A</t>
  </si>
  <si>
    <t>Foster Farms Dairy</t>
  </si>
  <si>
    <t>62127A</t>
  </si>
  <si>
    <t>The Wine Group</t>
  </si>
  <si>
    <t>62139A</t>
  </si>
  <si>
    <t>Diamond Pet Food Processors of Ripon</t>
  </si>
  <si>
    <t>62132A</t>
  </si>
  <si>
    <t>62137A</t>
  </si>
  <si>
    <t>Ratto Bros Inc</t>
  </si>
  <si>
    <t>62134A</t>
  </si>
  <si>
    <t>CA - Port of Oakland - Site 1</t>
  </si>
  <si>
    <t>62025A</t>
  </si>
  <si>
    <t>CITY OF PASADENA</t>
  </si>
  <si>
    <t>GLENARM - UNITS 2, 3, 4</t>
  </si>
  <si>
    <t>Broadway Unit B-3</t>
  </si>
  <si>
    <t>61111F</t>
  </si>
  <si>
    <t>W240</t>
  </si>
  <si>
    <t>Sacramento Soleil, LLC</t>
  </si>
  <si>
    <t>60703A</t>
  </si>
  <si>
    <t>61415A</t>
  </si>
  <si>
    <t>61414A</t>
  </si>
  <si>
    <t>61416A</t>
  </si>
  <si>
    <t>61271A</t>
  </si>
  <si>
    <t>61272A</t>
  </si>
  <si>
    <t>61273A</t>
  </si>
  <si>
    <t>61274A</t>
  </si>
  <si>
    <t>61275A</t>
  </si>
  <si>
    <t>61276A</t>
  </si>
  <si>
    <t>61277A</t>
  </si>
  <si>
    <t>61278A</t>
  </si>
  <si>
    <t>61279A</t>
  </si>
  <si>
    <t>61280A</t>
  </si>
  <si>
    <t>61281A</t>
  </si>
  <si>
    <t>61282A</t>
  </si>
  <si>
    <t>61283A</t>
  </si>
  <si>
    <t>61284A</t>
  </si>
  <si>
    <t>61285A</t>
  </si>
  <si>
    <t>61286A</t>
  </si>
  <si>
    <t>61682A</t>
  </si>
  <si>
    <t>61683A</t>
  </si>
  <si>
    <t>ABEC New Hope Dairy Digester</t>
  </si>
  <si>
    <t>Van Warmderdam Dairy Digester</t>
  </si>
  <si>
    <t>62379A</t>
  </si>
  <si>
    <t>62334A</t>
  </si>
  <si>
    <t>Campbell Soup Supply Company, LLC</t>
  </si>
  <si>
    <t>SPI Burlington</t>
  </si>
  <si>
    <t>60972A</t>
  </si>
  <si>
    <t>60734A</t>
  </si>
  <si>
    <t>CVFA CARSON Cogen 1</t>
  </si>
  <si>
    <t>Del Ranch Company (formerly A W Hoch)</t>
  </si>
  <si>
    <t>Del Ranch L P</t>
  </si>
  <si>
    <t>62791A</t>
  </si>
  <si>
    <t>62792A</t>
  </si>
  <si>
    <t>SMUD ECOC</t>
  </si>
  <si>
    <t>62794A</t>
  </si>
  <si>
    <t>Ameresco Santa Clara</t>
  </si>
  <si>
    <t>62413A</t>
  </si>
  <si>
    <t>High Line Canal</t>
  </si>
  <si>
    <t>62633A</t>
  </si>
  <si>
    <t>61206A</t>
  </si>
  <si>
    <t>60855A</t>
  </si>
  <si>
    <t>TDPUD - 70%</t>
  </si>
  <si>
    <t>TRANS JORDAN</t>
  </si>
  <si>
    <t xml:space="preserve"> Granger Electric of South Jordan</t>
  </si>
  <si>
    <t>Horse Butte Wind</t>
  </si>
  <si>
    <t>Horse Butte I LLC</t>
  </si>
  <si>
    <t>TDPUD - 26.38%</t>
  </si>
  <si>
    <t>Salt Lake Landfill Gas Recovery</t>
  </si>
  <si>
    <t>TDPUD 70%</t>
  </si>
  <si>
    <t>2022/2025/2028</t>
  </si>
  <si>
    <t>60991A</t>
  </si>
  <si>
    <t>61247A</t>
  </si>
  <si>
    <t>61259A</t>
  </si>
  <si>
    <t>Canal Creek Power Plant</t>
  </si>
  <si>
    <t>60201A</t>
  </si>
  <si>
    <t>60210A</t>
  </si>
  <si>
    <t>62781A</t>
  </si>
  <si>
    <t>Malburg Generating Station</t>
  </si>
  <si>
    <t>61937F</t>
  </si>
  <si>
    <t>W0438</t>
  </si>
  <si>
    <t>RTREE_2_WIND3</t>
  </si>
  <si>
    <t>Rising Tree Wind Farm III LLC</t>
  </si>
  <si>
    <t>WIND</t>
  </si>
  <si>
    <t>MCE</t>
  </si>
  <si>
    <t xml:space="preserve">Ellensburg Lamb Company Inc. </t>
  </si>
  <si>
    <t xml:space="preserve">Pristine Sun Fund 5 LLC </t>
  </si>
  <si>
    <t>2056_Jardine</t>
  </si>
  <si>
    <t>2059_Scherz</t>
  </si>
  <si>
    <t>2094_Buzzelle</t>
  </si>
  <si>
    <t>2125_Jarvis</t>
  </si>
  <si>
    <t>2041_Alvares</t>
  </si>
  <si>
    <t>2065-Rogers</t>
  </si>
  <si>
    <t>2081_Terzian</t>
  </si>
  <si>
    <t>2096_Cotton</t>
  </si>
  <si>
    <t>2102_Christensen</t>
  </si>
  <si>
    <t>2103_Hill</t>
  </si>
  <si>
    <t>2113_Fritzjarrell</t>
  </si>
  <si>
    <t>2158-Stroing</t>
  </si>
  <si>
    <t>2179-Smotherman</t>
  </si>
  <si>
    <t>Agua Caliente PV 1 - PV 5</t>
  </si>
  <si>
    <t>PUC ID</t>
  </si>
  <si>
    <t>PG5082</t>
  </si>
  <si>
    <t>PG5081</t>
  </si>
  <si>
    <t>PG5083</t>
  </si>
  <si>
    <t>60755A</t>
  </si>
  <si>
    <t>SPI - ANDERSON 1</t>
  </si>
  <si>
    <t xml:space="preserve"> 1/1/1999 </t>
  </si>
  <si>
    <t>CPUC ID</t>
  </si>
  <si>
    <t>PG7052</t>
  </si>
  <si>
    <t>PG5085</t>
  </si>
  <si>
    <t>PG5084</t>
  </si>
  <si>
    <t>60790A</t>
  </si>
  <si>
    <t>PG5086</t>
  </si>
  <si>
    <t>PG40081</t>
  </si>
  <si>
    <t>60152A</t>
  </si>
  <si>
    <t>PG5019</t>
  </si>
  <si>
    <t>PG1034</t>
  </si>
  <si>
    <t>PG1035</t>
  </si>
  <si>
    <t>PG4050</t>
  </si>
  <si>
    <t>PG4104</t>
  </si>
  <si>
    <t>PG7036</t>
  </si>
  <si>
    <t>PG7037</t>
  </si>
  <si>
    <t>PG4116</t>
  </si>
  <si>
    <t>60567A</t>
  </si>
  <si>
    <t>PG7054</t>
  </si>
  <si>
    <t>PG4076</t>
  </si>
  <si>
    <t>PG2001</t>
  </si>
  <si>
    <t xml:space="preserve">Calaveras Public Utility Disctrict </t>
  </si>
  <si>
    <t xml:space="preserve">Jackson Valley Irrigation District </t>
  </si>
  <si>
    <t>PG4010</t>
  </si>
  <si>
    <t>PG4011</t>
  </si>
  <si>
    <t>PG4012</t>
  </si>
  <si>
    <t>PG50028</t>
  </si>
  <si>
    <t>61348A</t>
  </si>
  <si>
    <t>PG2032</t>
  </si>
  <si>
    <t>Clover Flat LandFill Gas</t>
  </si>
  <si>
    <t>PG10020</t>
  </si>
  <si>
    <t>61847A</t>
  </si>
  <si>
    <t>PG5096</t>
  </si>
  <si>
    <t>60786A; S0243 UNIT CM 48</t>
  </si>
  <si>
    <t>60713A; S0243 UNIT CM 10</t>
  </si>
  <si>
    <t>PG5087</t>
  </si>
  <si>
    <t xml:space="preserve">Nevada Irrigation District </t>
  </si>
  <si>
    <t xml:space="preserve">Snow Mountain Hydro,LLC </t>
  </si>
  <si>
    <t xml:space="preserve">Snow Mountain Hydro, LLC </t>
  </si>
  <si>
    <t>PG4110</t>
  </si>
  <si>
    <t>60814A</t>
  </si>
  <si>
    <t>PG5115</t>
  </si>
  <si>
    <t>Owner/UTILITY</t>
  </si>
  <si>
    <t>Coram California Development, L.P. (AKA CORAM BRODIE)</t>
  </si>
  <si>
    <t>PG7041</t>
  </si>
  <si>
    <t>60973A</t>
  </si>
  <si>
    <t>PG5088</t>
  </si>
  <si>
    <t>60948A</t>
  </si>
  <si>
    <t xml:space="preserve">San Jose Water Company  </t>
  </si>
  <si>
    <t>PG4101</t>
  </si>
  <si>
    <t>61303A</t>
  </si>
  <si>
    <t>Deadwood Creek</t>
  </si>
  <si>
    <t>PG4099</t>
  </si>
  <si>
    <t>60189E</t>
  </si>
  <si>
    <t>PG5089</t>
  </si>
  <si>
    <t>61068A</t>
  </si>
  <si>
    <t>PG2004</t>
  </si>
  <si>
    <t>60076E</t>
  </si>
  <si>
    <t>Digger Creek Hydro</t>
  </si>
  <si>
    <t>PG40077</t>
  </si>
  <si>
    <t>60206A</t>
  </si>
  <si>
    <t>60964A</t>
  </si>
  <si>
    <t>Eagle Hydro</t>
  </si>
  <si>
    <t>PG40048</t>
  </si>
  <si>
    <t>60208E</t>
  </si>
  <si>
    <t>PG7009
PG7019
PG7020
PG7021</t>
  </si>
  <si>
    <t>60125E
60135E
60136E
60137E</t>
  </si>
  <si>
    <t>PG2000</t>
  </si>
  <si>
    <t>60083A</t>
  </si>
  <si>
    <t>PG4022, PG4105</t>
  </si>
  <si>
    <t>60601A</t>
  </si>
  <si>
    <t>PG2031</t>
  </si>
  <si>
    <t xml:space="preserve">Browns Valley Irrigation District </t>
  </si>
  <si>
    <t>Combie North Powerhouse</t>
  </si>
  <si>
    <t>Lost Creek 2</t>
  </si>
  <si>
    <t>Cox Ave Hydro</t>
  </si>
  <si>
    <t>Twin Valley Hydro T&amp;G Hydro</t>
  </si>
  <si>
    <t>Calaveras Hydro #1</t>
  </si>
  <si>
    <t>Calaveras Hydro #2</t>
  </si>
  <si>
    <t>Calaveras Hydro #3</t>
  </si>
  <si>
    <t>Jackson Valley Hydo</t>
  </si>
  <si>
    <t>Virginia Ranch Dam</t>
  </si>
  <si>
    <t>Fairfield Power Plant Papazian</t>
  </si>
  <si>
    <t>Five Bears Hydroelectric</t>
  </si>
  <si>
    <t>PG4026</t>
  </si>
  <si>
    <t>60211E</t>
  </si>
  <si>
    <t>PG5012</t>
  </si>
  <si>
    <t>62384A</t>
  </si>
  <si>
    <t>FRITO LAY</t>
  </si>
  <si>
    <t>PG5024</t>
  </si>
  <si>
    <t>PG5111</t>
  </si>
  <si>
    <t>PG6000</t>
  </si>
  <si>
    <t>PG3009</t>
  </si>
  <si>
    <t>PG40052</t>
  </si>
  <si>
    <t>PG5173</t>
  </si>
  <si>
    <t>PG5174</t>
  </si>
  <si>
    <t>62319A</t>
  </si>
  <si>
    <t>62320A</t>
  </si>
  <si>
    <t>PG7038</t>
  </si>
  <si>
    <t>Hat Creek Hereford Ranch</t>
  </si>
  <si>
    <t>PG40007</t>
  </si>
  <si>
    <t>60215E</t>
  </si>
  <si>
    <t>PG4051</t>
  </si>
  <si>
    <t>PG4020, PG4019</t>
  </si>
  <si>
    <t>California Valley Solar Ranch</t>
  </si>
  <si>
    <t>High Plains Ranch II, High Plains Ranch III LLC</t>
  </si>
  <si>
    <t>PG5097, PG5090</t>
  </si>
  <si>
    <t>60603A</t>
  </si>
  <si>
    <t>PG2007</t>
  </si>
  <si>
    <t>Hypower, Inc.</t>
  </si>
  <si>
    <t>PG40026</t>
  </si>
  <si>
    <t>60160E</t>
  </si>
  <si>
    <t>PG7023</t>
  </si>
  <si>
    <t>PG6004</t>
  </si>
  <si>
    <t>PG6005</t>
  </si>
  <si>
    <t>60217A</t>
  </si>
  <si>
    <t>PG5077</t>
  </si>
  <si>
    <t>61264A</t>
  </si>
  <si>
    <t>PG4115</t>
  </si>
  <si>
    <t>Kings River Hydro Co.</t>
  </si>
  <si>
    <t>PG4039</t>
  </si>
  <si>
    <t>60162E</t>
  </si>
  <si>
    <t>PG4040</t>
  </si>
  <si>
    <t>60221E</t>
  </si>
  <si>
    <t>KINGSBURG 3</t>
  </si>
  <si>
    <t>PG5031</t>
  </si>
  <si>
    <t>PG5030, PG5029</t>
  </si>
  <si>
    <t>PG7051
PG7045</t>
  </si>
  <si>
    <t>PG5032</t>
  </si>
  <si>
    <t>Lassen Station Hydro</t>
  </si>
  <si>
    <t>60222E</t>
  </si>
  <si>
    <t>PG4112</t>
  </si>
  <si>
    <t>PG4113</t>
  </si>
  <si>
    <t>60179A</t>
  </si>
  <si>
    <t>60180A</t>
  </si>
  <si>
    <t>PG40030</t>
  </si>
  <si>
    <t>PG3028</t>
  </si>
  <si>
    <t>PG3029</t>
  </si>
  <si>
    <t>PG5038</t>
  </si>
  <si>
    <t>PG6013</t>
  </si>
  <si>
    <t>PG10009</t>
  </si>
  <si>
    <t>PG7069</t>
  </si>
  <si>
    <t>PG2029</t>
  </si>
  <si>
    <t>PG5039</t>
  </si>
  <si>
    <t>PG4058</t>
  </si>
  <si>
    <t>PG7071</t>
  </si>
  <si>
    <t>Oakley Executive RV and Boat Storage AKA Oakley Executive - Solar</t>
  </si>
  <si>
    <t>PG5042</t>
  </si>
  <si>
    <t>PG4064</t>
  </si>
  <si>
    <t>Orange Cove Irrigation Dist.</t>
  </si>
  <si>
    <t>Friant Fishwater Release Hydroelectric</t>
  </si>
  <si>
    <t>PG4065</t>
  </si>
  <si>
    <t>60232A</t>
  </si>
  <si>
    <t>Ortigalita Power Co.</t>
  </si>
  <si>
    <t>60732A</t>
  </si>
  <si>
    <t>PG2050</t>
  </si>
  <si>
    <t>PG4067</t>
  </si>
  <si>
    <t>PG50022</t>
  </si>
  <si>
    <t>PG5161</t>
  </si>
  <si>
    <t>PG2014</t>
  </si>
  <si>
    <t>PG4052</t>
  </si>
  <si>
    <t>Rock Creek Water District</t>
  </si>
  <si>
    <t>PG40024</t>
  </si>
  <si>
    <t>60176E</t>
  </si>
  <si>
    <t>60236E</t>
  </si>
  <si>
    <t>PG2015</t>
  </si>
  <si>
    <t>Salmon Creek Hydroelectric Project</t>
  </si>
  <si>
    <t>60216A</t>
  </si>
  <si>
    <t>PG40083</t>
  </si>
  <si>
    <t>PG5092</t>
  </si>
  <si>
    <t>60914A</t>
  </si>
  <si>
    <t>Santa Clara Valley Water Dist.</t>
  </si>
  <si>
    <t>60237E</t>
  </si>
  <si>
    <t>PG4071</t>
  </si>
  <si>
    <t>Santa Maria II LFG Power Plant</t>
  </si>
  <si>
    <t>61052A</t>
  </si>
  <si>
    <t>PG1031</t>
  </si>
  <si>
    <t>PG7055</t>
  </si>
  <si>
    <t>PG7039</t>
  </si>
  <si>
    <t>PG7084</t>
  </si>
  <si>
    <t>PG7053</t>
  </si>
  <si>
    <t>60087A</t>
  </si>
  <si>
    <t>60088A</t>
  </si>
  <si>
    <t>60089A</t>
  </si>
  <si>
    <t>60576A</t>
  </si>
  <si>
    <t>Silver Springs</t>
  </si>
  <si>
    <t>60229E</t>
  </si>
  <si>
    <t>PG4053</t>
  </si>
  <si>
    <t>60178E</t>
  </si>
  <si>
    <t>PG4077</t>
  </si>
  <si>
    <t>60181E</t>
  </si>
  <si>
    <t>PG4080</t>
  </si>
  <si>
    <t>60270E</t>
  </si>
  <si>
    <t>PG40135</t>
  </si>
  <si>
    <t>60187E</t>
  </si>
  <si>
    <t>PG4087</t>
  </si>
  <si>
    <t>PG5093</t>
  </si>
  <si>
    <t>60913A</t>
  </si>
  <si>
    <t>PG1049</t>
  </si>
  <si>
    <t>60815A</t>
  </si>
  <si>
    <t>PG4108</t>
  </si>
  <si>
    <t>60248A</t>
  </si>
  <si>
    <t>PG4102</t>
  </si>
  <si>
    <t>PG2022</t>
  </si>
  <si>
    <t>PG5098</t>
  </si>
  <si>
    <t>PG1025</t>
  </si>
  <si>
    <t>PG4094</t>
  </si>
  <si>
    <t>PG4117</t>
  </si>
  <si>
    <t>60568A</t>
  </si>
  <si>
    <t>PG7043</t>
  </si>
  <si>
    <t>PG7040</t>
  </si>
  <si>
    <t>PG5094</t>
  </si>
  <si>
    <t>61709A</t>
  </si>
  <si>
    <t>PG4109</t>
  </si>
  <si>
    <t>60214A</t>
  </si>
  <si>
    <t>PG4007</t>
  </si>
  <si>
    <t>60197A</t>
  </si>
  <si>
    <t>PG2026</t>
  </si>
  <si>
    <t>PG1024</t>
  </si>
  <si>
    <t>PG5159</t>
  </si>
  <si>
    <t>PG5160</t>
  </si>
  <si>
    <t>PG5080</t>
  </si>
  <si>
    <t>PG2025</t>
  </si>
  <si>
    <t>CED Corcoran, LLC</t>
  </si>
  <si>
    <t>CED White River Solar - City of Alpaugh</t>
  </si>
  <si>
    <t>PG5095</t>
  </si>
  <si>
    <t>PG5147</t>
  </si>
  <si>
    <t>PG7096</t>
  </si>
  <si>
    <t>PG7094</t>
  </si>
  <si>
    <t>PG4103</t>
  </si>
  <si>
    <t>PG2006</t>
  </si>
  <si>
    <t>PG4100</t>
  </si>
  <si>
    <t>60252E</t>
  </si>
  <si>
    <t>PG7042</t>
  </si>
  <si>
    <t>60543A</t>
  </si>
  <si>
    <t>PG7044</t>
  </si>
  <si>
    <t>60119E</t>
  </si>
  <si>
    <t>SD5032</t>
  </si>
  <si>
    <t>SD4005</t>
  </si>
  <si>
    <t>60438E</t>
  </si>
  <si>
    <t>SD5033</t>
  </si>
  <si>
    <t>SD4008</t>
  </si>
  <si>
    <t>SDG&amp;E REMAT</t>
  </si>
  <si>
    <t>SD7015</t>
  </si>
  <si>
    <t>60029A</t>
  </si>
  <si>
    <t>SD5003</t>
  </si>
  <si>
    <t>SD7003</t>
  </si>
  <si>
    <t>SD7019</t>
  </si>
  <si>
    <t>SD7001</t>
  </si>
  <si>
    <t>SD7002</t>
  </si>
  <si>
    <t>Innovative Cold Storage Enterprises</t>
  </si>
  <si>
    <t>60761A</t>
  </si>
  <si>
    <t>SD7004</t>
  </si>
  <si>
    <t>SD1009</t>
  </si>
  <si>
    <t>SD1026</t>
  </si>
  <si>
    <t>Naturener Glacier 1</t>
  </si>
  <si>
    <t>Naturener Glacier 2</t>
  </si>
  <si>
    <t>W818</t>
  </si>
  <si>
    <t>W1318</t>
  </si>
  <si>
    <t>SD7005</t>
  </si>
  <si>
    <t>SD7006</t>
  </si>
  <si>
    <t>SD7007</t>
  </si>
  <si>
    <t>SD5005</t>
  </si>
  <si>
    <t>SD7000</t>
  </si>
  <si>
    <t>SD7016</t>
  </si>
  <si>
    <t>SD4006</t>
  </si>
  <si>
    <t>SD1000; SD1001</t>
  </si>
  <si>
    <t>SD1008</t>
  </si>
  <si>
    <t>SD1013</t>
  </si>
  <si>
    <t>SD1014</t>
  </si>
  <si>
    <t>SD7014</t>
  </si>
  <si>
    <t>SD1012</t>
  </si>
  <si>
    <t>SD4000</t>
  </si>
  <si>
    <t xml:space="preserve">60737A </t>
  </si>
  <si>
    <t>Golden Springs Building G</t>
  </si>
  <si>
    <t>McCoy Solar, LLC</t>
  </si>
  <si>
    <t>SC76043</t>
  </si>
  <si>
    <t>SC76044</t>
  </si>
  <si>
    <t>85-A - AES Tehachapi Wind, LLC  85-A</t>
  </si>
  <si>
    <t>85-B - AES Tehachapi Wind, LLC  85-B</t>
  </si>
  <si>
    <t>60405E</t>
  </si>
  <si>
    <t>SC76090</t>
  </si>
  <si>
    <t>SC76314</t>
  </si>
  <si>
    <t>SC76315</t>
  </si>
  <si>
    <t>SC76316</t>
  </si>
  <si>
    <t>SC76317</t>
  </si>
  <si>
    <t>SC76322</t>
  </si>
  <si>
    <t>SC76318</t>
  </si>
  <si>
    <t>SC76320</t>
  </si>
  <si>
    <t>SC76321</t>
  </si>
  <si>
    <t>SC76087</t>
  </si>
  <si>
    <t>Fullerton Hydro</t>
  </si>
  <si>
    <t>American Energy, Inc</t>
  </si>
  <si>
    <t>60355E</t>
  </si>
  <si>
    <t>SC44137</t>
  </si>
  <si>
    <t>Annie Power, LLC</t>
  </si>
  <si>
    <t>Arrache 4013</t>
  </si>
  <si>
    <t>61758A</t>
  </si>
  <si>
    <t>SC55522</t>
  </si>
  <si>
    <t>SC11225</t>
  </si>
  <si>
    <t>SC40001</t>
  </si>
  <si>
    <t>SC40002</t>
  </si>
  <si>
    <t>SC40003</t>
  </si>
  <si>
    <t>SC40004</t>
  </si>
  <si>
    <t>SC40005</t>
  </si>
  <si>
    <t>SC40006</t>
  </si>
  <si>
    <t>SC76011</t>
  </si>
  <si>
    <t>Golden Springs Development Company, LLC</t>
  </si>
  <si>
    <t>SC55369</t>
  </si>
  <si>
    <t>SC55653</t>
  </si>
  <si>
    <t>SC44034</t>
  </si>
  <si>
    <t>SC50002</t>
  </si>
  <si>
    <t>SC55394</t>
  </si>
  <si>
    <t>SC21038</t>
  </si>
  <si>
    <t>Conejo Hydro</t>
  </si>
  <si>
    <t>Calleguas MWD</t>
  </si>
  <si>
    <t>SC44210</t>
  </si>
  <si>
    <t>60330A</t>
  </si>
  <si>
    <t>60028A</t>
  </si>
  <si>
    <t>SC33030</t>
  </si>
  <si>
    <t>SC33103</t>
  </si>
  <si>
    <t>SC33004</t>
  </si>
  <si>
    <t>Desert Power Company</t>
  </si>
  <si>
    <t>60329A</t>
  </si>
  <si>
    <t>SC55217</t>
  </si>
  <si>
    <t>SC76053</t>
  </si>
  <si>
    <t>SC76305</t>
  </si>
  <si>
    <t>SC76095</t>
  </si>
  <si>
    <t>SC11193</t>
  </si>
  <si>
    <t>SC33026</t>
  </si>
  <si>
    <t>SC33009</t>
  </si>
  <si>
    <t>SC76031</t>
  </si>
  <si>
    <t>SC11210</t>
  </si>
  <si>
    <t>SC55370</t>
  </si>
  <si>
    <t>SC76334</t>
  </si>
  <si>
    <t>Heliocentric</t>
  </si>
  <si>
    <t>Heliocentric, LLC</t>
  </si>
  <si>
    <t>SC55518</t>
  </si>
  <si>
    <t>60934A</t>
  </si>
  <si>
    <t>SC55568</t>
  </si>
  <si>
    <t>SC55569</t>
  </si>
  <si>
    <t>61157A</t>
  </si>
  <si>
    <t>61158A</t>
  </si>
  <si>
    <t>62287A</t>
  </si>
  <si>
    <t>60406E
60392E</t>
  </si>
  <si>
    <t>Horn 4097</t>
  </si>
  <si>
    <t>SC55536</t>
  </si>
  <si>
    <t>61772A</t>
  </si>
  <si>
    <t>Sandra Energy, LLC</t>
  </si>
  <si>
    <t>SC76332</t>
  </si>
  <si>
    <t>SC55371</t>
  </si>
  <si>
    <t>Inland Empire Utilities Agency, Regional Plant No. 2</t>
  </si>
  <si>
    <t>60295A</t>
  </si>
  <si>
    <t>SC11099</t>
  </si>
  <si>
    <t>SPVP015 Fontana AND SPVP001</t>
  </si>
  <si>
    <t>SC50010</t>
  </si>
  <si>
    <t>SC50017</t>
  </si>
  <si>
    <t>SC50018</t>
  </si>
  <si>
    <t>60707A; 61744</t>
  </si>
  <si>
    <t>SC50001; SC50015</t>
  </si>
  <si>
    <t>SC40008</t>
  </si>
  <si>
    <t>SC40009</t>
  </si>
  <si>
    <t>SC40010</t>
  </si>
  <si>
    <t>SC40011</t>
  </si>
  <si>
    <t>SPVP032 Ontario - KENNEDY 2</t>
  </si>
  <si>
    <t>SPVP033 Ontario - KENNEDY 3</t>
  </si>
  <si>
    <t>SC50032</t>
  </si>
  <si>
    <t>SC50033</t>
  </si>
  <si>
    <t>SC11090</t>
  </si>
  <si>
    <t>SC11077</t>
  </si>
  <si>
    <t>SC11009</t>
  </si>
  <si>
    <t xml:space="preserve">L-8 Solar Project </t>
  </si>
  <si>
    <t>SC55517</t>
  </si>
  <si>
    <t>SC44029</t>
  </si>
  <si>
    <t>SC44208</t>
  </si>
  <si>
    <t>SC40012</t>
  </si>
  <si>
    <t>SC40013</t>
  </si>
  <si>
    <t>MA 4035</t>
  </si>
  <si>
    <t>Dreamer Solar, LLC</t>
  </si>
  <si>
    <t>SC55539</t>
  </si>
  <si>
    <t>SC33027</t>
  </si>
  <si>
    <t>Mammoth Pool Fish Water Generator</t>
  </si>
  <si>
    <t>SC40014</t>
  </si>
  <si>
    <t>Corona, CA (1351 Railroad) W12DG-C</t>
  </si>
  <si>
    <t>SC55649</t>
  </si>
  <si>
    <t>SC40015</t>
  </si>
  <si>
    <t>SC40016</t>
  </si>
  <si>
    <t>Three Valleys MWD (Miramar)</t>
  </si>
  <si>
    <t>SC76107</t>
  </si>
  <si>
    <t>SC76366</t>
  </si>
  <si>
    <t>60416
60417
60418
60419</t>
  </si>
  <si>
    <t>SC76105
SC76106
SC76107
SC76108</t>
  </si>
  <si>
    <t>SC76333</t>
  </si>
  <si>
    <t>SC76304</t>
  </si>
  <si>
    <t>SC76319</t>
  </si>
  <si>
    <t>SC55509</t>
  </si>
  <si>
    <t>SC33108</t>
  </si>
  <si>
    <t>SC76330</t>
  </si>
  <si>
    <t>SC55408</t>
  </si>
  <si>
    <t>SC55411</t>
  </si>
  <si>
    <t>SC55207</t>
  </si>
  <si>
    <t>Nunn 8135</t>
  </si>
  <si>
    <t>Drew Energy, LLC</t>
  </si>
  <si>
    <t>SC55541</t>
  </si>
  <si>
    <t>SC76234</t>
  </si>
  <si>
    <t>California PV Energy at Champagne</t>
  </si>
  <si>
    <t>SC55652</t>
  </si>
  <si>
    <t>One Miracle Property, LLC</t>
  </si>
  <si>
    <t>SC50009</t>
  </si>
  <si>
    <t>PG5172</t>
  </si>
  <si>
    <t>SC50006</t>
  </si>
  <si>
    <t>SC50008</t>
  </si>
  <si>
    <t>SC50012</t>
  </si>
  <si>
    <t>SC40017</t>
  </si>
  <si>
    <t>SC40018</t>
  </si>
  <si>
    <t>SC12804</t>
  </si>
  <si>
    <t>SC33104</t>
  </si>
  <si>
    <t>SC76112</t>
  </si>
  <si>
    <t>SC40019</t>
  </si>
  <si>
    <t>SC40020</t>
  </si>
  <si>
    <t>SC50042</t>
  </si>
  <si>
    <t>SC55563</t>
  </si>
  <si>
    <t>SC55562</t>
  </si>
  <si>
    <t>SC55493</t>
  </si>
  <si>
    <t>SC55240</t>
  </si>
  <si>
    <t>SC55247</t>
  </si>
  <si>
    <t>SC55249</t>
  </si>
  <si>
    <t>SC50005</t>
  </si>
  <si>
    <t>SC50007</t>
  </si>
  <si>
    <t>SC50016</t>
  </si>
  <si>
    <t>SC50011</t>
  </si>
  <si>
    <t>SC50013</t>
  </si>
  <si>
    <t>SC50003</t>
  </si>
  <si>
    <t>SC50026</t>
  </si>
  <si>
    <t>SC76024</t>
  </si>
  <si>
    <t>SC76092</t>
  </si>
  <si>
    <t>SC40021</t>
  </si>
  <si>
    <t>SC33039</t>
  </si>
  <si>
    <t>SC33028</t>
  </si>
  <si>
    <t>SC33025</t>
  </si>
  <si>
    <t>SC33050</t>
  </si>
  <si>
    <t>SC50028</t>
  </si>
  <si>
    <t>SC76094</t>
  </si>
  <si>
    <t>SC40022</t>
  </si>
  <si>
    <t>SC40023</t>
  </si>
  <si>
    <t>SC33021</t>
  </si>
  <si>
    <t>SC65017</t>
  </si>
  <si>
    <t>SC65018</t>
  </si>
  <si>
    <t>SC65051</t>
  </si>
  <si>
    <t>SC65019</t>
  </si>
  <si>
    <t>SC65020</t>
  </si>
  <si>
    <t>SC65021</t>
  </si>
  <si>
    <t>SC65050</t>
  </si>
  <si>
    <t>SC55396</t>
  </si>
  <si>
    <t>SC55397</t>
  </si>
  <si>
    <t>SC40024</t>
  </si>
  <si>
    <t>PG4107</t>
  </si>
  <si>
    <t>PG4126</t>
  </si>
  <si>
    <t>PG4057</t>
  </si>
  <si>
    <t>PG4111</t>
  </si>
  <si>
    <t>Mill &amp; Sulphur Creek</t>
  </si>
  <si>
    <t>SC11195</t>
  </si>
  <si>
    <t>SC76331</t>
  </si>
  <si>
    <t>SC50022</t>
  </si>
  <si>
    <t>SC55252</t>
  </si>
  <si>
    <t>SC55277</t>
  </si>
  <si>
    <t>SC44039</t>
  </si>
  <si>
    <t>SC11221</t>
  </si>
  <si>
    <t>SC50023</t>
  </si>
  <si>
    <t>SC40025</t>
  </si>
  <si>
    <t>SC44105</t>
  </si>
  <si>
    <t>Vinam 9011</t>
  </si>
  <si>
    <t xml:space="preserve"> Becca Solar, LLC</t>
  </si>
  <si>
    <t>SC55559</t>
  </si>
  <si>
    <t>SC33006</t>
  </si>
  <si>
    <t>Toro Power 1, LLC</t>
  </si>
  <si>
    <t>SC76096</t>
  </si>
  <si>
    <t>60399
60400
60401</t>
  </si>
  <si>
    <t>SC76065
SC76066
SC76067</t>
  </si>
  <si>
    <t>SC76307</t>
  </si>
  <si>
    <t>Copper Mountain Solar 4, LLC</t>
  </si>
  <si>
    <t>2127_Harris</t>
  </si>
  <si>
    <t xml:space="preserve">Ecos Energy , LLC </t>
  </si>
  <si>
    <t>Ivanpah 1</t>
  </si>
  <si>
    <t>Borrego I</t>
  </si>
  <si>
    <t xml:space="preserve">Community I, LLC </t>
  </si>
  <si>
    <t>UOG</t>
  </si>
  <si>
    <t>Pristine Sun</t>
  </si>
  <si>
    <t>2076 Maas</t>
  </si>
  <si>
    <t>Utah-Mesa</t>
  </si>
  <si>
    <t>Ecos Energy</t>
  </si>
  <si>
    <t>29 Palms, San Bernardino County</t>
  </si>
  <si>
    <t>NLP Granger A82</t>
  </si>
  <si>
    <t>PG5131</t>
  </si>
  <si>
    <t>PG5163</t>
  </si>
  <si>
    <t>PG5164</t>
  </si>
  <si>
    <t>PG50021</t>
  </si>
  <si>
    <t>PG5170</t>
  </si>
  <si>
    <t>PG70037</t>
  </si>
  <si>
    <t>PG5167</t>
  </si>
  <si>
    <t>PG5171</t>
  </si>
  <si>
    <t>PG40076</t>
  </si>
  <si>
    <t>PG5060</t>
  </si>
  <si>
    <t>PG5180</t>
  </si>
  <si>
    <t>PG5181</t>
  </si>
  <si>
    <t>PG5182</t>
  </si>
  <si>
    <t>PG5185</t>
  </si>
  <si>
    <t>PG5186</t>
  </si>
  <si>
    <t>Sun Harvest, LLC</t>
  </si>
  <si>
    <t>PG50023</t>
  </si>
  <si>
    <t>PG50018</t>
  </si>
  <si>
    <t>PG50013</t>
  </si>
  <si>
    <t>PG5190</t>
  </si>
  <si>
    <t>PG40084</t>
  </si>
  <si>
    <t>PG40082</t>
  </si>
  <si>
    <t>PG5184</t>
  </si>
  <si>
    <t xml:space="preserve">San Luis Bypass </t>
  </si>
  <si>
    <t>PG4106</t>
  </si>
  <si>
    <t>PG5191</t>
  </si>
  <si>
    <t>PG40079</t>
  </si>
  <si>
    <t>PG40078</t>
  </si>
  <si>
    <t>PG50007</t>
  </si>
  <si>
    <t>PG5130</t>
  </si>
  <si>
    <t>PG5165</t>
  </si>
  <si>
    <t>PG5053</t>
  </si>
  <si>
    <t>PG5051</t>
  </si>
  <si>
    <t>PG5057</t>
  </si>
  <si>
    <t>PG5063</t>
  </si>
  <si>
    <t>PG5062</t>
  </si>
  <si>
    <t>PG5050</t>
  </si>
  <si>
    <t>PG40128</t>
  </si>
  <si>
    <t>PG40063</t>
  </si>
  <si>
    <t>PG40115</t>
  </si>
  <si>
    <t>PG40096</t>
  </si>
  <si>
    <t>PG40117</t>
  </si>
  <si>
    <t>PG40116</t>
  </si>
  <si>
    <t>PG40119</t>
  </si>
  <si>
    <t>PG40114</t>
  </si>
  <si>
    <t>PG4039; PG40104</t>
  </si>
  <si>
    <t>PG40126</t>
  </si>
  <si>
    <t>PG40098</t>
  </si>
  <si>
    <t>PG40094</t>
  </si>
  <si>
    <t>PG40122</t>
  </si>
  <si>
    <t>PG40105</t>
  </si>
  <si>
    <t>PG40107</t>
  </si>
  <si>
    <t>PG40120</t>
  </si>
  <si>
    <t>PG40118</t>
  </si>
  <si>
    <t>PG40121</t>
  </si>
  <si>
    <t>PG40109</t>
  </si>
  <si>
    <t>PG40106</t>
  </si>
  <si>
    <t>PG40089</t>
  </si>
  <si>
    <t>PG40097</t>
  </si>
  <si>
    <t>PG40111</t>
  </si>
  <si>
    <t>PG40095</t>
  </si>
  <si>
    <t>PG40103</t>
  </si>
  <si>
    <t>PG40110</t>
  </si>
  <si>
    <t>PG40108</t>
  </si>
  <si>
    <t>PG40112</t>
  </si>
  <si>
    <t>PG40090</t>
  </si>
  <si>
    <t>PG40100</t>
  </si>
  <si>
    <t>PG40099; PG40127</t>
  </si>
  <si>
    <t>PG4022</t>
  </si>
  <si>
    <t>PG40092</t>
  </si>
  <si>
    <t>PG40113</t>
  </si>
  <si>
    <t>PG40093</t>
  </si>
  <si>
    <t>PG40125</t>
  </si>
  <si>
    <t>PG40124</t>
  </si>
  <si>
    <t>PG40123</t>
  </si>
  <si>
    <t>PG40091</t>
  </si>
  <si>
    <t>PG40102</t>
  </si>
  <si>
    <t>PG40101</t>
  </si>
  <si>
    <t>City of Riverside</t>
  </si>
  <si>
    <t>aka Cottonwood Solar, CAISO MGCL, which also includes Corcoran City Solar (CORCAN_1_SOLAR2). Jointly (along with a 1-MW facility on  carport in Marin Co., are under a 25-year contract to MEA). Sold by EDF to Dominion (http://www.edf-re.com/about/press/edf_renewable_energy_to_sell_57_megawatts_of_solar_projects_to_dominion/)</t>
  </si>
  <si>
    <t>aka Cottonwood Solar, CAISO MGCL, which also includes Goose Lake Solar (GOOSLK_1_SOLAR1). Jointly (along with a 1-MW facility on  carport in Marin Co., are under a 25-year contract to MEA). Sold by EDF to Dominion (http://www.edf-re.com/about/press/edf_renewable_energy_to_sell_57_megawatts_of_solar_projects_to_dominion/)</t>
  </si>
  <si>
    <t>City of Palo Alto</t>
  </si>
  <si>
    <t xml:space="preserve">25-year contract at $77/MWh with City of Palo Alto; http://www.power-eng.com/articles/2015/09/kettleman-utility-scale-solar-project-powering-city-of-palo-alto.html
</t>
  </si>
  <si>
    <t>H0453</t>
  </si>
  <si>
    <t>COMMENTS</t>
  </si>
  <si>
    <t>PGE QF 25H039, 0.68 MW on line 12/6/83, CEC ID H0453, WRIGHTP_7_AMENGY, Los Banos, owned by Central California Irrigation District (all per Jim Woodward)</t>
  </si>
  <si>
    <t>All FTS Master Tenant 1 contracts with SCE are already accounted for in the S-5; no reference to this in RPS table or on line</t>
  </si>
  <si>
    <t>Contract #5459</t>
  </si>
  <si>
    <t>Contract #5460</t>
  </si>
  <si>
    <t>62059A</t>
  </si>
  <si>
    <t>62661A</t>
  </si>
  <si>
    <t>62058A</t>
  </si>
  <si>
    <t>62060A</t>
  </si>
  <si>
    <t>62063A</t>
  </si>
  <si>
    <t>62061A</t>
  </si>
  <si>
    <t>62062A</t>
  </si>
  <si>
    <t>62064C</t>
  </si>
  <si>
    <t>NO CERT</t>
  </si>
  <si>
    <t>62068A</t>
  </si>
  <si>
    <t>62065A</t>
  </si>
  <si>
    <t>62066A</t>
  </si>
  <si>
    <t>62067A</t>
  </si>
  <si>
    <t>62625A</t>
  </si>
  <si>
    <t>62069A</t>
  </si>
  <si>
    <t>62070A</t>
  </si>
  <si>
    <t>61266A</t>
  </si>
  <si>
    <t>62639C</t>
  </si>
  <si>
    <t>62640C</t>
  </si>
  <si>
    <t>61427A</t>
  </si>
  <si>
    <t>62226A</t>
  </si>
  <si>
    <t>62227A</t>
  </si>
  <si>
    <t>61646C</t>
  </si>
  <si>
    <t>62389A</t>
  </si>
  <si>
    <t>61353A</t>
  </si>
  <si>
    <t>62433A</t>
  </si>
  <si>
    <t>61297A</t>
  </si>
  <si>
    <t>61300A</t>
  </si>
  <si>
    <t>62831A</t>
  </si>
  <si>
    <t>62029A</t>
  </si>
  <si>
    <t>61844C</t>
  </si>
  <si>
    <t>AT&amp;T Park Solar Arrays</t>
  </si>
  <si>
    <t>60634A</t>
  </si>
  <si>
    <t>62011A</t>
  </si>
  <si>
    <t xml:space="preserve">Brea Expansion Plant </t>
  </si>
  <si>
    <t>60895A</t>
  </si>
  <si>
    <t>60281A</t>
  </si>
  <si>
    <t>60905A</t>
  </si>
  <si>
    <t>60866A</t>
  </si>
  <si>
    <t>Los Angeles County Sanitation Districts</t>
  </si>
  <si>
    <t>60652A</t>
  </si>
  <si>
    <t>61823A</t>
  </si>
  <si>
    <t>60850A</t>
  </si>
  <si>
    <t>62242A</t>
  </si>
  <si>
    <t>62264A</t>
  </si>
  <si>
    <t>62252A</t>
  </si>
  <si>
    <t>62262A</t>
  </si>
  <si>
    <t>60097A</t>
  </si>
  <si>
    <t>61352A</t>
  </si>
  <si>
    <t>62829A</t>
  </si>
  <si>
    <t>62366A</t>
  </si>
  <si>
    <t>62531A</t>
  </si>
  <si>
    <t>COSUMNES POWER PLANT</t>
  </si>
  <si>
    <t>G0889</t>
  </si>
  <si>
    <t>60760F</t>
  </si>
  <si>
    <t>62046A</t>
  </si>
  <si>
    <t>60272A</t>
  </si>
  <si>
    <t>Lancaster Dry Farm Ranch B LLC</t>
  </si>
  <si>
    <t>61315C</t>
  </si>
  <si>
    <t>60101A</t>
  </si>
  <si>
    <t>62317A
62318A</t>
  </si>
  <si>
    <t>AKA Achomawi AND Ahjumawi</t>
  </si>
  <si>
    <t>61432A</t>
  </si>
  <si>
    <t>61182C</t>
  </si>
  <si>
    <t>Hanwha Q CELLS USA Corp.</t>
  </si>
  <si>
    <t>60551A</t>
  </si>
  <si>
    <t>62353A</t>
  </si>
  <si>
    <t>60640A</t>
  </si>
  <si>
    <t>RPS CERTIFICATION INCLUDES T0081, T0021, AND T0022</t>
  </si>
  <si>
    <t>60908A
60909A</t>
  </si>
  <si>
    <t>60910A
60911A</t>
  </si>
  <si>
    <t>61822A</t>
  </si>
  <si>
    <t>62828A</t>
  </si>
  <si>
    <t>60892A</t>
  </si>
  <si>
    <t>62354A</t>
  </si>
  <si>
    <t>61205A</t>
  </si>
  <si>
    <t>61754A</t>
  </si>
  <si>
    <t>62236A</t>
  </si>
  <si>
    <t>61832A</t>
  </si>
  <si>
    <t>61821A</t>
  </si>
  <si>
    <t>62610A</t>
  </si>
  <si>
    <t>IKEA Solar</t>
  </si>
  <si>
    <t>IKEA US West, Inc.</t>
  </si>
  <si>
    <t>Intel Corporation - Intel</t>
  </si>
  <si>
    <t>Intel Corporation Phase 2</t>
  </si>
  <si>
    <t>62228A</t>
  </si>
  <si>
    <t>62790A</t>
  </si>
  <si>
    <t>62274A</t>
  </si>
  <si>
    <t>Solar Partners I, LLC</t>
  </si>
  <si>
    <t>61301A</t>
  </si>
  <si>
    <t>61545A</t>
  </si>
  <si>
    <t>61263A</t>
  </si>
  <si>
    <t>62372A</t>
  </si>
  <si>
    <t>62565A</t>
  </si>
  <si>
    <t>61346F</t>
  </si>
  <si>
    <t>61632A</t>
  </si>
  <si>
    <t>61458A</t>
  </si>
  <si>
    <t>61452A</t>
  </si>
  <si>
    <t>61347F</t>
  </si>
  <si>
    <t>61939A</t>
  </si>
  <si>
    <t>62485C</t>
  </si>
  <si>
    <t>62052A</t>
  </si>
  <si>
    <t>62486C</t>
  </si>
  <si>
    <t xml:space="preserve">Miramar Energy LLC </t>
  </si>
  <si>
    <t>60481A</t>
  </si>
  <si>
    <t>60480A</t>
  </si>
  <si>
    <t>60478A</t>
  </si>
  <si>
    <t>60469A</t>
  </si>
  <si>
    <t>60505A</t>
  </si>
  <si>
    <t>60506A</t>
  </si>
  <si>
    <t>62289A</t>
  </si>
  <si>
    <t>61571A</t>
  </si>
  <si>
    <t>California PV Energy at ISD WWTP</t>
  </si>
  <si>
    <t>61739A</t>
  </si>
  <si>
    <t>61633A</t>
  </si>
  <si>
    <t>61417A</t>
  </si>
  <si>
    <t>62390A
62407A</t>
  </si>
  <si>
    <t>Monterey Regional Water Pollution Control Agency</t>
  </si>
  <si>
    <t>62515A</t>
  </si>
  <si>
    <t>61368C</t>
  </si>
  <si>
    <t>61840A
62435A</t>
  </si>
  <si>
    <t>Ramona Equity Holdings, LLC</t>
  </si>
  <si>
    <t>61428A</t>
  </si>
  <si>
    <t>62425C</t>
  </si>
  <si>
    <t>62426C</t>
  </si>
  <si>
    <t>62469C</t>
  </si>
  <si>
    <t>Weed Cogeneration Plant</t>
  </si>
  <si>
    <t>60501A</t>
  </si>
  <si>
    <t>60773A</t>
  </si>
  <si>
    <t>62225A
62223A
62224A</t>
  </si>
  <si>
    <t>61645C</t>
  </si>
  <si>
    <t>61434A</t>
  </si>
  <si>
    <t>60793A</t>
  </si>
  <si>
    <t>62268A</t>
  </si>
  <si>
    <t>60633A</t>
  </si>
  <si>
    <t>60283A</t>
  </si>
  <si>
    <t>62229A</t>
  </si>
  <si>
    <t>60966A</t>
  </si>
  <si>
    <t>61839A
62436A</t>
  </si>
  <si>
    <t>62352A</t>
  </si>
  <si>
    <t>61850A</t>
  </si>
  <si>
    <t>61433A</t>
  </si>
  <si>
    <t>SPI Anderson II</t>
  </si>
  <si>
    <t>61146A</t>
  </si>
  <si>
    <t>60824A</t>
  </si>
  <si>
    <t>63018A</t>
  </si>
  <si>
    <t>Colton Solar One LLC</t>
  </si>
  <si>
    <t>Colton Solar Two LLC</t>
  </si>
  <si>
    <t>62890A</t>
  </si>
  <si>
    <t>62877A</t>
  </si>
  <si>
    <t>AP North Lake Solar - Diamond Valley Lake Solar</t>
  </si>
  <si>
    <t>61846A</t>
  </si>
  <si>
    <t>Diamond Valley Solar Project</t>
  </si>
  <si>
    <t>62484A</t>
  </si>
  <si>
    <t>62737A</t>
  </si>
  <si>
    <t>62373A</t>
  </si>
  <si>
    <t>Imperial Valley Solar Company, LLC</t>
  </si>
  <si>
    <t>62296A</t>
  </si>
  <si>
    <t>Niland, Imperial</t>
  </si>
  <si>
    <t>Industry Solar Power Generation Station 1</t>
  </si>
  <si>
    <t>61607A</t>
  </si>
  <si>
    <t>62422A</t>
  </si>
  <si>
    <t>61311A</t>
  </si>
  <si>
    <t>LAX Logistics Industrial Center A, B - Hannah Solar</t>
  </si>
  <si>
    <t>62326A</t>
  </si>
  <si>
    <t>Hannah Solar LLC</t>
  </si>
  <si>
    <t>61942A</t>
  </si>
  <si>
    <t>S0337</t>
  </si>
  <si>
    <t>61893A</t>
  </si>
  <si>
    <t>S0340</t>
  </si>
  <si>
    <t>61892A</t>
  </si>
  <si>
    <t>62235A</t>
  </si>
  <si>
    <t>PER ISO: Phased Implementation: 67.84 MW commercial out of 250 MW total at completion. As of 9/8/2015</t>
  </si>
  <si>
    <t>62091A</t>
  </si>
  <si>
    <t>S0341</t>
  </si>
  <si>
    <t>61198A</t>
  </si>
  <si>
    <t>62502A</t>
  </si>
  <si>
    <t>62498A</t>
  </si>
  <si>
    <t>62745A</t>
  </si>
  <si>
    <t>62746A</t>
  </si>
  <si>
    <t>61154A</t>
  </si>
  <si>
    <t>62325A</t>
  </si>
  <si>
    <t>61558A</t>
  </si>
  <si>
    <t>SPS Corcoran West LLC</t>
  </si>
  <si>
    <t>61820A</t>
  </si>
  <si>
    <t>62285A</t>
  </si>
  <si>
    <t>61506A</t>
  </si>
  <si>
    <t>SCE - Snowline - White Road (Central)</t>
  </si>
  <si>
    <t>SCE - Snowline - White Road (North)</t>
  </si>
  <si>
    <t>62668A</t>
  </si>
  <si>
    <t>62667A</t>
  </si>
  <si>
    <t>62666A</t>
  </si>
  <si>
    <t>SunE Solar XV Lessor</t>
  </si>
  <si>
    <t>62743A</t>
  </si>
  <si>
    <t>62503A</t>
  </si>
  <si>
    <t>NextEra Energy Operating Services Inc</t>
  </si>
  <si>
    <t>62344A</t>
  </si>
  <si>
    <t>62345A</t>
  </si>
  <si>
    <t>61331A</t>
  </si>
  <si>
    <t>61332A</t>
  </si>
  <si>
    <t>S0327</t>
  </si>
  <si>
    <t>61367A</t>
  </si>
  <si>
    <t>Landfill Gas</t>
  </si>
  <si>
    <t>Cathay LA - Solar Project</t>
  </si>
  <si>
    <t>Chatsmouth LLC Solar Project 1</t>
  </si>
  <si>
    <t>Nordhoff Place</t>
  </si>
  <si>
    <t>Layline Distribution Center - MRB Solar LLC</t>
  </si>
  <si>
    <t>Capelin Distribution Center</t>
  </si>
  <si>
    <t>Colon PV</t>
  </si>
  <si>
    <t>Colon FiT, LLC</t>
  </si>
  <si>
    <t>Hayworth Solar Farm</t>
  </si>
  <si>
    <t>62744C</t>
  </si>
  <si>
    <t>Imperial</t>
  </si>
  <si>
    <t xml:space="preserve">65HK 8me, LLC </t>
  </si>
  <si>
    <t>Pleasant Valley (WEST Wyoming Wind Energy Center)</t>
  </si>
  <si>
    <t>SCPPA (LADWP AND GLENDALE)</t>
  </si>
  <si>
    <t>LADWP/GLENDALE</t>
  </si>
  <si>
    <t>DIRECT ENERGY</t>
  </si>
  <si>
    <t>H.W. Hill Landfill Gas Power Plant AKA ROOSEVELT BIOGAS</t>
  </si>
  <si>
    <t>San Rafael Airport</t>
  </si>
  <si>
    <t>62237A</t>
  </si>
  <si>
    <t>60778E</t>
  </si>
  <si>
    <t>Pilot Power had agreement through end of 2016</t>
  </si>
  <si>
    <t>Pilgrim Stage Station Wind Park</t>
  </si>
  <si>
    <t>wind</t>
  </si>
  <si>
    <t>60923A</t>
  </si>
  <si>
    <t>TNG</t>
  </si>
  <si>
    <t>TOTAL OPERATIONAL RENEWABLES</t>
  </si>
  <si>
    <t>62516C</t>
  </si>
  <si>
    <t>H0300</t>
  </si>
  <si>
    <t>H0039</t>
  </si>
  <si>
    <t>Castaic Efficiency (Small Hydro)</t>
  </si>
  <si>
    <t>H0109</t>
  </si>
  <si>
    <t>H0362</t>
  </si>
  <si>
    <t>H0146</t>
  </si>
  <si>
    <t>H0301</t>
  </si>
  <si>
    <t>H0235</t>
  </si>
  <si>
    <t>H0599</t>
  </si>
  <si>
    <t>Scotia</t>
  </si>
  <si>
    <t>E0228</t>
  </si>
  <si>
    <t>San Marcos</t>
  </si>
  <si>
    <t>NA</t>
  </si>
  <si>
    <t>G0061</t>
  </si>
  <si>
    <t>G0329</t>
  </si>
  <si>
    <t>G0231</t>
  </si>
  <si>
    <t>G0063</t>
  </si>
  <si>
    <t>G0894</t>
  </si>
  <si>
    <t>G0249</t>
  </si>
  <si>
    <t>G0245</t>
  </si>
  <si>
    <t>G0648</t>
  </si>
  <si>
    <t>G0084</t>
  </si>
  <si>
    <t>H0417</t>
  </si>
  <si>
    <t>Expressway Solar A</t>
  </si>
  <si>
    <t>Expressway Solar B</t>
  </si>
  <si>
    <t>PSDP</t>
  </si>
  <si>
    <t>SHAMROCK UTILITIES</t>
  </si>
  <si>
    <t>CLOVER LEAF</t>
  </si>
  <si>
    <t>CID Solar PV Project - RAM 2 (Corcoran)</t>
  </si>
  <si>
    <t>Lancaster Solar 1</t>
  </si>
  <si>
    <t>Lancaster Solar 2</t>
  </si>
  <si>
    <t>62738A</t>
  </si>
  <si>
    <t>62739A</t>
  </si>
  <si>
    <t>61292A</t>
  </si>
  <si>
    <t>Victor Mesa Linda B2 LLC</t>
  </si>
  <si>
    <t>Victor Mesa Linda C2 LLC</t>
  </si>
  <si>
    <t>Victor Mesa Linda D2 LLC</t>
  </si>
  <si>
    <t>Victor Mesa Linda E2 LLC</t>
  </si>
  <si>
    <t>61510A</t>
  </si>
  <si>
    <t>61511A</t>
  </si>
  <si>
    <t>61512A</t>
  </si>
  <si>
    <t>61513A</t>
  </si>
  <si>
    <t>FTS Master Tenant 1 LLC (Rodeo Solar C2)</t>
  </si>
  <si>
    <t>FTS Master Tenant 1 LLC (Rodeo Solar D2)</t>
  </si>
  <si>
    <t>Rodeo Solar C2</t>
  </si>
  <si>
    <t>Rodeo Solar D2</t>
  </si>
  <si>
    <t xml:space="preserve"> E0135</t>
  </si>
  <si>
    <t>60107A</t>
  </si>
  <si>
    <t>60435A</t>
  </si>
  <si>
    <t>PILOT/NOBLE/CONSTELATION</t>
  </si>
  <si>
    <t>63033C</t>
  </si>
  <si>
    <t>EJM McFadden</t>
  </si>
  <si>
    <t>60207A</t>
  </si>
  <si>
    <t>VICTOR_1_EXSLRA</t>
  </si>
  <si>
    <t>VICTOR_1_EXSLRB</t>
  </si>
  <si>
    <t>61318A</t>
  </si>
  <si>
    <t>61319A</t>
  </si>
  <si>
    <t>CITY OF ANAHEIM</t>
  </si>
  <si>
    <t>62675C</t>
  </si>
  <si>
    <t>Sun Edison Origination 3 LLC</t>
  </si>
  <si>
    <t>Brown Field</t>
  </si>
  <si>
    <t>62369A</t>
  </si>
  <si>
    <t>ESTIMATED</t>
  </si>
  <si>
    <t>City of Sacramento-</t>
  </si>
  <si>
    <t>Fairbairn Water Treatment Plant</t>
  </si>
  <si>
    <t>60738A</t>
  </si>
  <si>
    <t>60687A</t>
  </si>
  <si>
    <t>61725A</t>
  </si>
  <si>
    <t>61038A</t>
  </si>
  <si>
    <t>60277A</t>
  </si>
  <si>
    <t>Enfinity NORCAL 1 FAA LLC</t>
  </si>
  <si>
    <t>Siemens Transportation Systems Inc</t>
  </si>
  <si>
    <t>Sol Orchard El Centro PV Plant (ECPV)</t>
  </si>
  <si>
    <t>Fresh Air Energy III, LLC</t>
  </si>
  <si>
    <t>61755A</t>
  </si>
  <si>
    <t>Silver Ridge Mount Signal</t>
  </si>
  <si>
    <t>IVS1 Imperial Valley Solar 1</t>
  </si>
  <si>
    <t>60848A</t>
  </si>
  <si>
    <t>60605A</t>
  </si>
  <si>
    <t>61162A</t>
  </si>
  <si>
    <t>SunStarter Solar CX III</t>
  </si>
  <si>
    <t>62823C</t>
  </si>
  <si>
    <t>61657A</t>
  </si>
  <si>
    <t>62278A</t>
  </si>
  <si>
    <t>62719C</t>
  </si>
  <si>
    <t>62808C</t>
  </si>
  <si>
    <t>62901C</t>
  </si>
  <si>
    <t>W1688</t>
  </si>
  <si>
    <t>W1405</t>
  </si>
  <si>
    <t>Hot Springs Windfarm, LLC, Mountain Wind Power II; Nine Canyon Wind Project - Phase 3</t>
  </si>
  <si>
    <t>ID, WY, WA</t>
  </si>
  <si>
    <t>Patua Hot Springs</t>
  </si>
  <si>
    <t>W3922</t>
  </si>
  <si>
    <t>W1491</t>
  </si>
  <si>
    <t>SCPPA (BURBANK AND GLENDALE)</t>
  </si>
  <si>
    <t>Tuolumne Wind Project</t>
  </si>
  <si>
    <t>Windy Flats Wind Project/ Windy Points</t>
  </si>
  <si>
    <t>Juniper Canyon Wind Power</t>
  </si>
  <si>
    <t>ROSEVILLE, MID</t>
  </si>
  <si>
    <t>W1690</t>
  </si>
  <si>
    <t>Leaning Juniper Wind Power II</t>
  </si>
  <si>
    <t>60519A</t>
  </si>
  <si>
    <t>Silver State Solar Power South</t>
  </si>
  <si>
    <t>Disapproved</t>
  </si>
  <si>
    <t>60033A</t>
  </si>
  <si>
    <t>60520A</t>
  </si>
  <si>
    <t>61436A</t>
  </si>
  <si>
    <t>60439A</t>
  </si>
  <si>
    <t>60072A</t>
  </si>
  <si>
    <t>60165E</t>
  </si>
  <si>
    <t>60900A</t>
  </si>
  <si>
    <t>61689A</t>
  </si>
  <si>
    <t>60444A</t>
  </si>
  <si>
    <t>60446A</t>
  </si>
  <si>
    <t>60447A</t>
  </si>
  <si>
    <t>60448A</t>
  </si>
  <si>
    <t>60449A</t>
  </si>
  <si>
    <t>61751A</t>
  </si>
  <si>
    <t>60450A</t>
  </si>
  <si>
    <t>60171A</t>
  </si>
  <si>
    <t>60177E</t>
  </si>
  <si>
    <t>60198A</t>
  </si>
  <si>
    <t>60199A</t>
  </si>
  <si>
    <t>60200A</t>
  </si>
  <si>
    <t>60535A</t>
  </si>
  <si>
    <t>61075A</t>
  </si>
  <si>
    <t>60034A</t>
  </si>
  <si>
    <t>60035A</t>
  </si>
  <si>
    <t>60240A</t>
  </si>
  <si>
    <t>60037A</t>
  </si>
  <si>
    <t>60172A</t>
  </si>
  <si>
    <t>62001A</t>
  </si>
  <si>
    <t>60537A</t>
  </si>
  <si>
    <t>60538A</t>
  </si>
  <si>
    <t>60622A</t>
  </si>
  <si>
    <t>61690A</t>
  </si>
  <si>
    <t>60038A</t>
  </si>
  <si>
    <t>60624A</t>
  </si>
  <si>
    <t>60039A</t>
  </si>
  <si>
    <t>60041A</t>
  </si>
  <si>
    <t>60040A</t>
  </si>
  <si>
    <t>60901A</t>
  </si>
  <si>
    <t>61691A</t>
  </si>
  <si>
    <t>61082A</t>
  </si>
  <si>
    <t>61083A</t>
  </si>
  <si>
    <t>61084A</t>
  </si>
  <si>
    <t>61085A</t>
  </si>
  <si>
    <t>61086A</t>
  </si>
  <si>
    <t>60042A</t>
  </si>
  <si>
    <t>60264A</t>
  </si>
  <si>
    <t>61087A</t>
  </si>
  <si>
    <t>60335A</t>
  </si>
  <si>
    <t>60271A</t>
  </si>
  <si>
    <t>60539A</t>
  </si>
  <si>
    <t>60451A</t>
  </si>
  <si>
    <t>61692A</t>
  </si>
  <si>
    <t>60183A</t>
  </si>
  <si>
    <t>61693A</t>
  </si>
  <si>
    <t>60268A</t>
  </si>
  <si>
    <t>60159E</t>
  </si>
  <si>
    <t>61935A</t>
  </si>
  <si>
    <t>61694A</t>
  </si>
  <si>
    <t>60043A</t>
  </si>
  <si>
    <t>60044A</t>
  </si>
  <si>
    <t>60045A</t>
  </si>
  <si>
    <t>60046A</t>
  </si>
  <si>
    <t>60166E</t>
  </si>
  <si>
    <t>60157A
60158A</t>
  </si>
  <si>
    <t>60234A</t>
  </si>
  <si>
    <t>60161A</t>
  </si>
  <si>
    <t>60047A</t>
  </si>
  <si>
    <t>60540A</t>
  </si>
  <si>
    <t>60684A</t>
  </si>
  <si>
    <t>60452A</t>
  </si>
  <si>
    <t>60453A</t>
  </si>
  <si>
    <t>60454A</t>
  </si>
  <si>
    <t>60185E</t>
  </si>
  <si>
    <t>60186A</t>
  </si>
  <si>
    <t>60266A</t>
  </si>
  <si>
    <t>62360A</t>
  </si>
  <si>
    <t>60048A</t>
  </si>
  <si>
    <t>60455A</t>
  </si>
  <si>
    <t>60049A</t>
  </si>
  <si>
    <t>62549A
62550A
62551A</t>
  </si>
  <si>
    <t>61044A</t>
  </si>
  <si>
    <t>60050A</t>
  </si>
  <si>
    <t>60456A</t>
  </si>
  <si>
    <t>60457A</t>
  </si>
  <si>
    <t>60263A</t>
  </si>
  <si>
    <t>60227E</t>
  </si>
  <si>
    <t>60051A</t>
  </si>
  <si>
    <t>60168A</t>
  </si>
  <si>
    <t>62000A</t>
  </si>
  <si>
    <t>60458A</t>
  </si>
  <si>
    <t>60459A</t>
  </si>
  <si>
    <t>60230A</t>
  </si>
  <si>
    <t>62010A</t>
  </si>
  <si>
    <t>60154E</t>
  </si>
  <si>
    <t>60164A</t>
  </si>
  <si>
    <t>60521A</t>
  </si>
  <si>
    <t>60169A</t>
  </si>
  <si>
    <t>60052A</t>
  </si>
  <si>
    <t>60170E</t>
  </si>
  <si>
    <t>60053A</t>
  </si>
  <si>
    <t>61045A</t>
  </si>
  <si>
    <t>62018A</t>
  </si>
  <si>
    <t>60276A</t>
  </si>
  <si>
    <t>60441A</t>
  </si>
  <si>
    <t>60175E</t>
  </si>
  <si>
    <t>60460A</t>
  </si>
  <si>
    <t>60461A</t>
  </si>
  <si>
    <t>60269A</t>
  </si>
  <si>
    <t>60536A</t>
  </si>
  <si>
    <t>60619A</t>
  </si>
  <si>
    <t>60054A</t>
  </si>
  <si>
    <t>62529A
62530A</t>
  </si>
  <si>
    <t>61695A</t>
  </si>
  <si>
    <t>60969A</t>
  </si>
  <si>
    <t>60462A</t>
  </si>
  <si>
    <t>60463A</t>
  </si>
  <si>
    <t>60055A</t>
  </si>
  <si>
    <t>60470A</t>
  </si>
  <si>
    <t>60625A</t>
  </si>
  <si>
    <t>60623A</t>
  </si>
  <si>
    <t>60167E</t>
  </si>
  <si>
    <t>60683A</t>
  </si>
  <si>
    <t>60265A</t>
  </si>
  <si>
    <t>60464A</t>
  </si>
  <si>
    <t>60331A</t>
  </si>
  <si>
    <t>61996A
61997A
61998A
61999A</t>
  </si>
  <si>
    <t>62003A
62004A
62005A</t>
  </si>
  <si>
    <t>61696A</t>
  </si>
  <si>
    <t>60056A</t>
  </si>
  <si>
    <t>60057A</t>
  </si>
  <si>
    <t>60058A</t>
  </si>
  <si>
    <t>60150A</t>
  </si>
  <si>
    <t>60339E</t>
  </si>
  <si>
    <t>60188E</t>
  </si>
  <si>
    <t>60465A</t>
  </si>
  <si>
    <t>60466A</t>
  </si>
  <si>
    <t>61697A</t>
  </si>
  <si>
    <t>60173A</t>
  </si>
  <si>
    <t>60618A</t>
  </si>
  <si>
    <t>60467A</t>
  </si>
  <si>
    <t>60787A</t>
  </si>
  <si>
    <t>60163A 60224A
60226A
60225A</t>
  </si>
  <si>
    <t>60685A</t>
  </si>
  <si>
    <t>60777E</t>
  </si>
  <si>
    <t>60267A</t>
  </si>
  <si>
    <t>60059A</t>
  </si>
  <si>
    <t>60243A</t>
  </si>
  <si>
    <t>60060A</t>
  </si>
  <si>
    <t>60061A</t>
  </si>
  <si>
    <t>60062A</t>
  </si>
  <si>
    <t>61580A</t>
  </si>
  <si>
    <t>60063A</t>
  </si>
  <si>
    <t>60358A</t>
  </si>
  <si>
    <t>61046A</t>
  </si>
  <si>
    <t>61750A</t>
  </si>
  <si>
    <t>60621A</t>
  </si>
  <si>
    <t>60333A</t>
  </si>
  <si>
    <t>60346E</t>
  </si>
  <si>
    <t>60502A</t>
  </si>
  <si>
    <t>60344E</t>
  </si>
  <si>
    <t>60064A</t>
  </si>
  <si>
    <t>60338A</t>
  </si>
  <si>
    <t>60468A</t>
  </si>
  <si>
    <t>60065A</t>
  </si>
  <si>
    <t>60071A</t>
  </si>
  <si>
    <t>61398A</t>
  </si>
  <si>
    <t>62002A</t>
  </si>
  <si>
    <t>62140A</t>
  </si>
  <si>
    <t>60626A</t>
  </si>
  <si>
    <t>60620A</t>
  </si>
  <si>
    <t>60066A</t>
  </si>
  <si>
    <t>60067A</t>
  </si>
  <si>
    <t>60250A</t>
  </si>
  <si>
    <t>62385A</t>
  </si>
  <si>
    <t>60068A</t>
  </si>
  <si>
    <t>61135A</t>
  </si>
  <si>
    <t>60336A</t>
  </si>
  <si>
    <t>60069A
60070A</t>
  </si>
  <si>
    <t>60151A</t>
  </si>
  <si>
    <t>60184A</t>
  </si>
  <si>
    <t>60032A</t>
  </si>
  <si>
    <t>61399A</t>
  </si>
  <si>
    <t>61020A</t>
  </si>
  <si>
    <t>62269A</t>
  </si>
  <si>
    <t>Rock Creek Powerhouse</t>
  </si>
  <si>
    <t>60156A
62380A 62381A</t>
  </si>
  <si>
    <t>61453A</t>
  </si>
  <si>
    <t>62816A</t>
  </si>
  <si>
    <t>62616A</t>
  </si>
  <si>
    <t>62468A</t>
  </si>
  <si>
    <t>62051A</t>
  </si>
  <si>
    <t>63078A</t>
  </si>
  <si>
    <t>63079A</t>
  </si>
  <si>
    <t>62357A</t>
  </si>
  <si>
    <t>62272A</t>
  </si>
  <si>
    <t>61742A</t>
  </si>
  <si>
    <t>61743A</t>
  </si>
  <si>
    <t>61237A</t>
  </si>
  <si>
    <t>61745A</t>
  </si>
  <si>
    <t>61747A</t>
  </si>
  <si>
    <t>62206A</t>
  </si>
  <si>
    <t>61748A</t>
  </si>
  <si>
    <t>61239A</t>
  </si>
  <si>
    <t>61240A</t>
  </si>
  <si>
    <t>62207A</t>
  </si>
  <si>
    <t>62208A</t>
  </si>
  <si>
    <t>Imperial Solar Energy Center West</t>
  </si>
  <si>
    <t>Van Steyn Dairy Digester</t>
  </si>
  <si>
    <t>Don A. Campbell 2 Geothermal Energy Project</t>
  </si>
  <si>
    <t>GEOTHERMAL</t>
  </si>
  <si>
    <t>62889A</t>
  </si>
  <si>
    <t>3880 NORTH MISSION ROAD</t>
  </si>
  <si>
    <t>62806A</t>
  </si>
  <si>
    <t>62800A</t>
  </si>
  <si>
    <t>61710A</t>
  </si>
  <si>
    <t>S0295; 61397A</t>
  </si>
  <si>
    <t>Only the portion that is generated over their monthly renewable baseline of 42,606.1 MWh is eligible for the RPS</t>
  </si>
  <si>
    <t>AKA Camelot 2; RIVERSIDE 11 MW</t>
  </si>
  <si>
    <t>SPOWER</t>
  </si>
  <si>
    <t xml:space="preserve">Duke Energy Renewables </t>
  </si>
  <si>
    <t>Seville I</t>
  </si>
  <si>
    <t xml:space="preserve">Seville II </t>
  </si>
  <si>
    <t>62562C</t>
  </si>
  <si>
    <t>63020C</t>
  </si>
  <si>
    <t>H0329</t>
  </si>
  <si>
    <t>H0547</t>
  </si>
  <si>
    <t>H0051</t>
  </si>
  <si>
    <t>H0103</t>
  </si>
  <si>
    <t>H0077</t>
  </si>
  <si>
    <t>H0618</t>
  </si>
  <si>
    <t>H0134</t>
  </si>
  <si>
    <t>H0140</t>
  </si>
  <si>
    <t>H0317</t>
  </si>
  <si>
    <t>H0183</t>
  </si>
  <si>
    <t>H0196</t>
  </si>
  <si>
    <t>H0199</t>
  </si>
  <si>
    <t>H0223</t>
  </si>
  <si>
    <t>H0249</t>
  </si>
  <si>
    <t>H0273</t>
  </si>
  <si>
    <t>H0292</t>
  </si>
  <si>
    <t>H0239</t>
  </si>
  <si>
    <t>H0614</t>
  </si>
  <si>
    <t>Roger Miller</t>
  </si>
  <si>
    <t>H0369</t>
  </si>
  <si>
    <t>H0425</t>
  </si>
  <si>
    <t>H0429</t>
  </si>
  <si>
    <t>H0007</t>
  </si>
  <si>
    <t>H0480</t>
  </si>
  <si>
    <t>H0540</t>
  </si>
  <si>
    <t>H0553</t>
  </si>
  <si>
    <t>H0514</t>
  </si>
  <si>
    <t>H0529</t>
  </si>
  <si>
    <t>H0506</t>
  </si>
  <si>
    <t>Hammeken</t>
  </si>
  <si>
    <t>H0220</t>
  </si>
  <si>
    <t>H0544</t>
  </si>
  <si>
    <t>H0318</t>
  </si>
  <si>
    <t>Not included due to lack of certification and assumption that power is used for hydro pumping load</t>
  </si>
  <si>
    <t>Maclay Solar Project</t>
  </si>
  <si>
    <t>Not PLEXOS - demand side only</t>
  </si>
  <si>
    <t>S9279</t>
  </si>
  <si>
    <t>OXMTN_6_LNDFIL</t>
  </si>
  <si>
    <t>KIRKER_7_KELCYN</t>
  </si>
  <si>
    <t>BLULKE_6_BLUELK</t>
  </si>
  <si>
    <t>DELAMO_2_SOLRC1</t>
  </si>
  <si>
    <t>DELAMO_2_SOLRD</t>
  </si>
  <si>
    <t>GEYS17_2_BOTRCK</t>
  </si>
  <si>
    <t>OLINDA_2_LNDFL2</t>
  </si>
  <si>
    <t>BURNYF_2_UNIT 1</t>
  </si>
  <si>
    <t>CPVERD_2_SOLAR</t>
  </si>
  <si>
    <t>ALPSLR_1_SPSSLR</t>
  </si>
  <si>
    <t>ALPSLR_1_NTHSLR</t>
  </si>
  <si>
    <t>WAUKNA_1_SOLAR</t>
  </si>
  <si>
    <t>OLIVEP_1_SOLAR</t>
  </si>
  <si>
    <t>WALNUT_2_SOLAR</t>
  </si>
  <si>
    <t>CBRLLO_6_PLSTP1</t>
  </si>
  <si>
    <t>LAWRNC_7_SUNYVL</t>
  </si>
  <si>
    <t>COLPIN_6_COLLNS</t>
  </si>
  <si>
    <t>DINUBA_6_UNIT</t>
  </si>
  <si>
    <t>CALGEN_1_UNITS</t>
  </si>
  <si>
    <t>VALLEY_&amp;_BADLND</t>
  </si>
  <si>
    <t>MOORPK_2_CALABS</t>
  </si>
  <si>
    <t>WALNUT_6_HILLGEN</t>
  </si>
  <si>
    <t>RHONDO_6_PUENTE</t>
  </si>
  <si>
    <t>CHINO_2_QF</t>
  </si>
  <si>
    <t>MESAS_2_QF</t>
  </si>
  <si>
    <t>STNRES_1_UNIT</t>
  </si>
  <si>
    <t>CSLR4S_2_SOLAR</t>
  </si>
  <si>
    <t>MIRAGE_2_COCHLA</t>
  </si>
  <si>
    <t>BIOMAS_1_UNIT 1</t>
  </si>
  <si>
    <t>OAK L_7_EBMUD</t>
  </si>
  <si>
    <t>CATLNA_2_SOLAR</t>
  </si>
  <si>
    <t>PACLUM_6_UNIT</t>
  </si>
  <si>
    <t>PLSNTG_7_LNCLND</t>
  </si>
  <si>
    <t>LNCSTR_6_SOLAR</t>
  </si>
  <si>
    <t>AVENAL_6_AVPARK</t>
  </si>
  <si>
    <t>AVENAL_6_SANDDG</t>
  </si>
  <si>
    <t>AVENAL_6_SUNCTY</t>
  </si>
  <si>
    <t>SANTGO_6_COYOTE</t>
  </si>
  <si>
    <t>SAUGUS_7_LOPEZ</t>
  </si>
  <si>
    <t>CPSTNO_7_PRMADS</t>
  </si>
  <si>
    <t>MSHGTS_6_MMARLF</t>
  </si>
  <si>
    <t>EGATE_7_NOCITY</t>
  </si>
  <si>
    <t>GOLETA_6_TAJIGS</t>
  </si>
  <si>
    <t>DAVIS_7_MNMETH</t>
  </si>
  <si>
    <t>ETIWND_7_MIDVLY</t>
  </si>
  <si>
    <t>CHINO_7_MILIKN</t>
  </si>
  <si>
    <t>GRNVLY_7_SCLAND</t>
  </si>
  <si>
    <t>WHEATL_6_LNDFIL</t>
  </si>
  <si>
    <t>SMRCOS_6_UNIT 1</t>
  </si>
  <si>
    <t>WFRESN_1_SOLAR</t>
  </si>
  <si>
    <t>GENESI_2_STG</t>
  </si>
  <si>
    <t>GEYS13_7_UNIT13</t>
  </si>
  <si>
    <t>SANTFG_7_UNITS</t>
  </si>
  <si>
    <t>GEYS12_7_UNIT12</t>
  </si>
  <si>
    <t>GEYS11_7_UNIT11</t>
  </si>
  <si>
    <t>GEYS20_7_UNIT20</t>
  </si>
  <si>
    <t>GEYS17_7_UNIT17</t>
  </si>
  <si>
    <t>GEYS16_7_UNIT16</t>
  </si>
  <si>
    <t>GEYS18_7_UNIT18</t>
  </si>
  <si>
    <t>SMUDGO_7_UNIT 1</t>
  </si>
  <si>
    <t>GEYS14_7_UNIT14</t>
  </si>
  <si>
    <t>WDFRDF_2_UNITS</t>
  </si>
  <si>
    <t>CHWCHL_1_BIOMAS</t>
  </si>
  <si>
    <t>ELNIDP_6_BIOMAS</t>
  </si>
  <si>
    <t>GRIDLY_6_SOLAR</t>
  </si>
  <si>
    <t>KRAMER_1_SEGS37</t>
  </si>
  <si>
    <t>KRAMER_2_SEGS89</t>
  </si>
  <si>
    <t>CONTRL_1_QF</t>
  </si>
  <si>
    <t>FAIRHV_6_UNIT</t>
  </si>
  <si>
    <t>MENBIO_6_RENEW1</t>
  </si>
  <si>
    <t>CSTRVL_7_QFUNTS</t>
  </si>
  <si>
    <t>MTNPOS_1_UNIT</t>
  </si>
  <si>
    <t>KANSAS_6_SOLAR</t>
  </si>
  <si>
    <t>BLYTHE_1_SOLAR1</t>
  </si>
  <si>
    <t>NEENCH_6_SOLAR</t>
  </si>
  <si>
    <t>BREGGO_6_SOLAR</t>
  </si>
  <si>
    <t>OTAY_6_UNITB1</t>
  </si>
  <si>
    <t>JAKVAL_6_UNITG1</t>
  </si>
  <si>
    <t>CANTUA_1_SOLAR</t>
  </si>
  <si>
    <t>SCHNDR_1_FIVPTS</t>
  </si>
  <si>
    <t>GATES_2_SOLAR</t>
  </si>
  <si>
    <t>GIFFEN_6_SOLAR</t>
  </si>
  <si>
    <t>GUERNS_6_SOLAR</t>
  </si>
  <si>
    <t>HURON_6_SOLAR</t>
  </si>
  <si>
    <t>STROUD_6_SOLAR</t>
  </si>
  <si>
    <t>VACADX_1_SOLAR</t>
  </si>
  <si>
    <t>GATES_2_WSOLAR</t>
  </si>
  <si>
    <t>SCHNDR_1_WSTSDE</t>
  </si>
  <si>
    <t>PEABDY_2_LNDFIL</t>
  </si>
  <si>
    <t>GLDTWN_6_COLUM3</t>
  </si>
  <si>
    <t>GLDTWN_6_SOLAR</t>
  </si>
  <si>
    <t>RSMSLR_6_SOLAR1</t>
  </si>
  <si>
    <t>RSMSLR_6_SOLAR2</t>
  </si>
  <si>
    <t>MARTIN_1_SUNSET</t>
  </si>
  <si>
    <t>VICTOR_1_SOLAR1</t>
  </si>
  <si>
    <t>OLINDA_7_LNDFIL</t>
  </si>
  <si>
    <t>ULTPFR_1_UNIT 1</t>
  </si>
  <si>
    <t>ULTRCK_2_UNIT</t>
  </si>
  <si>
    <t>SPIAND_1_UNIT</t>
  </si>
  <si>
    <t>SPBURN_2_UNIT 1</t>
  </si>
  <si>
    <t>SPI LI_2_UNIT 1</t>
  </si>
  <si>
    <t>SPQUIN_6_SRPCQU</t>
  </si>
  <si>
    <t>SPIFBD_1_PL1X2</t>
  </si>
  <si>
    <t>IVANPA_1_UNIT1</t>
  </si>
  <si>
    <t>IVANPA_1_UNIT2</t>
  </si>
  <si>
    <t>IVANPA_1_UNIT3</t>
  </si>
  <si>
    <t>BUCKWD_1_NPALM1</t>
  </si>
  <si>
    <t>GARNET_1_SOLAR</t>
  </si>
  <si>
    <t>CHINO_2_SOLAR</t>
  </si>
  <si>
    <t>VISTA_2_RIALTO</t>
  </si>
  <si>
    <t>SBERDO_2_RTS005</t>
  </si>
  <si>
    <t>SBERDO_2_RTS007</t>
  </si>
  <si>
    <t>DEVERS_1_SOLAR1</t>
  </si>
  <si>
    <t>DEVERS_1_SOLAR2</t>
  </si>
  <si>
    <t>ETIWND_2_RTS010</t>
  </si>
  <si>
    <t>SBERDO_2_RTS011</t>
  </si>
  <si>
    <t>SBERDO_2_RTS013</t>
  </si>
  <si>
    <t>ETIWND_2_RTS015</t>
  </si>
  <si>
    <t>SBERDO_2_RTS016</t>
  </si>
  <si>
    <t>ETIWND_2_RTS017</t>
  </si>
  <si>
    <t>ETIWND_2_RTS018</t>
  </si>
  <si>
    <t>SBERDO_2_REDLND</t>
  </si>
  <si>
    <t>ETIWND_2_RTS023</t>
  </si>
  <si>
    <t>ETIWND_2_RTS026</t>
  </si>
  <si>
    <t>VISTA_2_RTS028</t>
  </si>
  <si>
    <t>MIRLOM_2_RTS032</t>
  </si>
  <si>
    <t>MIRLOM_2_RTS033</t>
  </si>
  <si>
    <t>VESTAL_2_RTS042</t>
  </si>
  <si>
    <t>VALLEY_5_RTS044</t>
  </si>
  <si>
    <t>CHINO_2_SASOLR</t>
  </si>
  <si>
    <t>GALE_1_SEGS1</t>
  </si>
  <si>
    <t>SEGS_1_SEGS2</t>
  </si>
  <si>
    <t>GLOW_6_SOLAR</t>
  </si>
  <si>
    <t>CORONS_2_SOLAR</t>
  </si>
  <si>
    <t>THMENG_1_UNIT 1</t>
  </si>
  <si>
    <t>WADHAM_6_UNIT</t>
  </si>
  <si>
    <t>RICHMN_7_BAYENV</t>
  </si>
  <si>
    <t>WSENGY_1_UNIT 1</t>
  </si>
  <si>
    <t>VALLEY_7_UNITA1</t>
  </si>
  <si>
    <t>MOORPK_7_UNITA1</t>
  </si>
  <si>
    <t>TWISSL_6_SOLAR</t>
  </si>
  <si>
    <t>COCOSB_6_SOLAR</t>
  </si>
  <si>
    <t>PEORIA_1_SOLAR</t>
  </si>
  <si>
    <t>CHILLS_1_SYCLFL; CHILLS_7_UNITA1</t>
  </si>
  <si>
    <t>WALNUT_7_WCOVCT; WALNUT_7_WCOVST</t>
  </si>
  <si>
    <t>OTAY_6_UNITC1; OTAY_7_UNITC1</t>
  </si>
  <si>
    <t>CAVLSR_2_RSOLAR; CAVLSR_2_BSOLAR</t>
  </si>
  <si>
    <t>CRELMN_6_RAMON1; CRELMN_6_RAMON2</t>
  </si>
  <si>
    <t>VLCNTR_6_VCSLR1; VLCNTR_6_VCSLR2</t>
  </si>
  <si>
    <t>KNGBRG_1_KBSLR1; KNGBRG_1_KBSLR2</t>
  </si>
  <si>
    <t>BEARCN_2_UNIT 1; BEARCN_2_UNIT 2</t>
  </si>
  <si>
    <t>BLM E_2_UNIT 7; BLM E_2_UNIT 8; BLM W_2_UNIT 9</t>
  </si>
  <si>
    <t>NAVYII_2_UNIT 5; NAVYII_2_UNIT 4; NAVYII_2_UNIT 6</t>
  </si>
  <si>
    <t>ADLIN_1_UNIT 1; ADLIN_1_UNIT 2</t>
  </si>
  <si>
    <t>NCPA_7_GP1UN1; NCPA_7_GP1UN2</t>
  </si>
  <si>
    <t>NCPA_7_GP2UN3; NCPA_7_GP2UN4</t>
  </si>
  <si>
    <t>GYS5X6_7_UNIT 5; GYS5X6_7_UNIT 6; GYS7X8_7_UNIT 7; GYS7X8_7_UNIT 8</t>
  </si>
  <si>
    <t>60115A</t>
  </si>
  <si>
    <t>60386E</t>
  </si>
  <si>
    <t>60794A</t>
  </si>
  <si>
    <t>60795A</t>
  </si>
  <si>
    <t>61092A</t>
  </si>
  <si>
    <t>61093A</t>
  </si>
  <si>
    <t>61094A</t>
  </si>
  <si>
    <t>61288A</t>
  </si>
  <si>
    <t>60118A</t>
  </si>
  <si>
    <t>60402E</t>
  </si>
  <si>
    <t>60111A</t>
  </si>
  <si>
    <t>60937A</t>
  </si>
  <si>
    <t>60947A</t>
  </si>
  <si>
    <t>60912A</t>
  </si>
  <si>
    <t>60112A</t>
  </si>
  <si>
    <t>60005A</t>
  </si>
  <si>
    <t>60690A</t>
  </si>
  <si>
    <t>60655A</t>
  </si>
  <si>
    <t>61211A</t>
  </si>
  <si>
    <t>60604A</t>
  </si>
  <si>
    <t>60124A</t>
  </si>
  <si>
    <t>60073E</t>
  </si>
  <si>
    <t>60117A</t>
  </si>
  <si>
    <t>60475A</t>
  </si>
  <si>
    <t>61590A</t>
  </si>
  <si>
    <t>60949A</t>
  </si>
  <si>
    <t>60837A</t>
  </si>
  <si>
    <t>60471A</t>
  </si>
  <si>
    <t>60004A</t>
  </si>
  <si>
    <t>62291A</t>
  </si>
  <si>
    <t>60074E</t>
  </si>
  <si>
    <t>60309A</t>
  </si>
  <si>
    <t>60321A</t>
  </si>
  <si>
    <t>60322A</t>
  </si>
  <si>
    <t>60485A</t>
  </si>
  <si>
    <t>60307E</t>
  </si>
  <si>
    <t>60940A</t>
  </si>
  <si>
    <t>60030A</t>
  </si>
  <si>
    <t>60389E</t>
  </si>
  <si>
    <t>60542A</t>
  </si>
  <si>
    <t>60409E</t>
  </si>
  <si>
    <t>60025A</t>
  </si>
  <si>
    <t>60391A</t>
  </si>
  <si>
    <t>60473A</t>
  </si>
  <si>
    <t>60292A</t>
  </si>
  <si>
    <t>60378A</t>
  </si>
  <si>
    <t>60802A</t>
  </si>
  <si>
    <t>61623A</t>
  </si>
  <si>
    <t>61624A</t>
  </si>
  <si>
    <t>60009A</t>
  </si>
  <si>
    <t>60443A</t>
  </si>
  <si>
    <t>60126E
60127E
60129E</t>
  </si>
  <si>
    <t>60741A</t>
  </si>
  <si>
    <t>60077A</t>
  </si>
  <si>
    <t>60139E</t>
  </si>
  <si>
    <t>61819A</t>
  </si>
  <si>
    <t>62273A</t>
  </si>
  <si>
    <t>62275A</t>
  </si>
  <si>
    <t>60310E</t>
  </si>
  <si>
    <t>60318E</t>
  </si>
  <si>
    <t>60396A</t>
  </si>
  <si>
    <t>61262A</t>
  </si>
  <si>
    <t>61723A
61724A</t>
  </si>
  <si>
    <t>60432A</t>
  </si>
  <si>
    <t>61019A</t>
  </si>
  <si>
    <t>61941A</t>
  </si>
  <si>
    <t>60007A</t>
  </si>
  <si>
    <t>60306A</t>
  </si>
  <si>
    <t>60315A</t>
  </si>
  <si>
    <t>60002A</t>
  </si>
  <si>
    <t>60692A</t>
  </si>
  <si>
    <t>Svp THROUGH 2016</t>
  </si>
  <si>
    <t>60370A</t>
  </si>
  <si>
    <t>60552A</t>
  </si>
  <si>
    <t>60482A</t>
  </si>
  <si>
    <t>60298A</t>
  </si>
  <si>
    <t>60369A</t>
  </si>
  <si>
    <t>61289A</t>
  </si>
  <si>
    <t>61345A</t>
  </si>
  <si>
    <t>60430A</t>
  </si>
  <si>
    <t>60487A</t>
  </si>
  <si>
    <t>60695A</t>
  </si>
  <si>
    <t>61287A</t>
  </si>
  <si>
    <t>61591A</t>
  </si>
  <si>
    <t>61196A</t>
  </si>
  <si>
    <t>61197A</t>
  </si>
  <si>
    <t>61385A</t>
  </si>
  <si>
    <t xml:space="preserve">60374A; 60429E </t>
  </si>
  <si>
    <t>62250A</t>
  </si>
  <si>
    <t>60489A</t>
  </si>
  <si>
    <t>61400A</t>
  </si>
  <si>
    <t>60853A</t>
  </si>
  <si>
    <t>61570A</t>
  </si>
  <si>
    <t>61108F; 61108F; 61110F</t>
  </si>
  <si>
    <t>EDF Renewable Services Inc</t>
  </si>
  <si>
    <t>EIA ID</t>
  </si>
  <si>
    <t xml:space="preserve"> J&amp;A-Santa Maria II</t>
  </si>
  <si>
    <t>57100; 57101</t>
  </si>
  <si>
    <t>EIA</t>
  </si>
  <si>
    <t>S9276</t>
  </si>
  <si>
    <t>S9244</t>
  </si>
  <si>
    <t>S9245</t>
  </si>
  <si>
    <t>S9277</t>
  </si>
  <si>
    <t>Exeter</t>
  </si>
  <si>
    <t>61615A; 61616A; 61719A</t>
  </si>
  <si>
    <t>Ivanhoe</t>
  </si>
  <si>
    <t>61659A; 61660A; 61722A</t>
  </si>
  <si>
    <t>Lindsay</t>
  </si>
  <si>
    <t>61661A; 61726A; 61727A</t>
  </si>
  <si>
    <t>Tulare 1 and 2</t>
  </si>
  <si>
    <t>61733A; 61734A</t>
  </si>
  <si>
    <t>62713A; 62714A; 62715A</t>
  </si>
  <si>
    <t>Farmersville 1 - 3</t>
  </si>
  <si>
    <t>Hanford 1 - 2</t>
  </si>
  <si>
    <t>61720A; 61721A</t>
  </si>
  <si>
    <t>SCE - Snowline - Duncan Road (North)</t>
  </si>
  <si>
    <t>62670A</t>
  </si>
  <si>
    <t>SCE - Snowline - Duncan Road (South)</t>
  </si>
  <si>
    <t>62669A</t>
  </si>
  <si>
    <t>Landpro 8159</t>
  </si>
  <si>
    <t>Landpro 8160-61-1</t>
  </si>
  <si>
    <t>Landpro 8160-61-2</t>
  </si>
  <si>
    <t>62310A</t>
  </si>
  <si>
    <t>62311A</t>
  </si>
  <si>
    <t>62312A</t>
  </si>
  <si>
    <t>Division 1</t>
  </si>
  <si>
    <t>Division 2</t>
  </si>
  <si>
    <t>Division 3</t>
  </si>
  <si>
    <t>62375A</t>
  </si>
  <si>
    <t>62376A</t>
  </si>
  <si>
    <t>62374A</t>
  </si>
  <si>
    <t>Kettering 1</t>
  </si>
  <si>
    <t>Kettering 2</t>
  </si>
  <si>
    <t>62378A</t>
  </si>
  <si>
    <t>62377A</t>
  </si>
  <si>
    <t>Rutan</t>
  </si>
  <si>
    <t>61787A; 61785A; 61786A</t>
  </si>
  <si>
    <t>Arrache 4006</t>
  </si>
  <si>
    <t>61756A; 61757A</t>
  </si>
  <si>
    <t>SC55520; SC55521</t>
  </si>
  <si>
    <t>Watts 3115</t>
  </si>
  <si>
    <t>61796A; 61797A</t>
  </si>
  <si>
    <t>SC55560; SC55561</t>
  </si>
  <si>
    <t>SC65208</t>
  </si>
  <si>
    <t>SC55459</t>
  </si>
  <si>
    <t>SC55460</t>
  </si>
  <si>
    <t>SC55469</t>
  </si>
  <si>
    <t>SC55512</t>
  </si>
  <si>
    <t>SC55488</t>
  </si>
  <si>
    <t>SC55297</t>
  </si>
  <si>
    <t>SC55298</t>
  </si>
  <si>
    <t>SC55494</t>
  </si>
  <si>
    <t>Powhatan Solar Power Generation Station 1</t>
  </si>
  <si>
    <t>61608A</t>
  </si>
  <si>
    <t>SC55439</t>
  </si>
  <si>
    <t>Otoe Solar Power Generation Station 1</t>
  </si>
  <si>
    <t>61606A</t>
  </si>
  <si>
    <t>SC55440</t>
  </si>
  <si>
    <t>Navajo Solar Power Generation Station 1</t>
  </si>
  <si>
    <t>61610A</t>
  </si>
  <si>
    <t>SC55442</t>
  </si>
  <si>
    <t>SC55496</t>
  </si>
  <si>
    <t>Voyager Solar</t>
  </si>
  <si>
    <t>SC55549
SC55550
SC55551</t>
  </si>
  <si>
    <t>SC55477</t>
  </si>
  <si>
    <t>SC55478</t>
  </si>
  <si>
    <t>SC76361</t>
  </si>
  <si>
    <t>SC76362</t>
  </si>
  <si>
    <t>SC55570</t>
  </si>
  <si>
    <t>SC55571</t>
  </si>
  <si>
    <t>SC55572</t>
  </si>
  <si>
    <t>SC55573</t>
  </si>
  <si>
    <t>SC55574</t>
  </si>
  <si>
    <t>SC55578</t>
  </si>
  <si>
    <t>SC55585</t>
  </si>
  <si>
    <t>Isabella Fish Flow Hydroelectric Project</t>
  </si>
  <si>
    <t>SC44206</t>
  </si>
  <si>
    <t>61354A</t>
  </si>
  <si>
    <t>SC55607</t>
  </si>
  <si>
    <t>SC55609</t>
  </si>
  <si>
    <t>SC55610</t>
  </si>
  <si>
    <t>SC55605</t>
  </si>
  <si>
    <t>SC55606</t>
  </si>
  <si>
    <t>SC55622</t>
  </si>
  <si>
    <t>SC55626</t>
  </si>
  <si>
    <t>SC55627</t>
  </si>
  <si>
    <t>SC55628</t>
  </si>
  <si>
    <t>SC55630</t>
  </si>
  <si>
    <t>SC55619
SC55620
SC55631</t>
  </si>
  <si>
    <t>SC55645</t>
  </si>
  <si>
    <t>SC55646</t>
  </si>
  <si>
    <t>SC55650</t>
  </si>
  <si>
    <t>SC55656</t>
  </si>
  <si>
    <t>SC55657</t>
  </si>
  <si>
    <t>SC55621</t>
  </si>
  <si>
    <t>SC55659</t>
  </si>
  <si>
    <t>SC55660</t>
  </si>
  <si>
    <t>SC55661</t>
  </si>
  <si>
    <t>SC55662</t>
  </si>
  <si>
    <t xml:space="preserve">Sequoia PV 2, LLC </t>
  </si>
  <si>
    <t>SC55667
SC55668</t>
  </si>
  <si>
    <t>Desert Hot Springs Solar</t>
  </si>
  <si>
    <t>CES DHS Solar, LLC</t>
  </si>
  <si>
    <t>62466A</t>
  </si>
  <si>
    <t>SC55675
SC55676</t>
  </si>
  <si>
    <t>Mitchell Solar, LLC</t>
  </si>
  <si>
    <t>SC55692</t>
  </si>
  <si>
    <t>Rudy Solar, LLC</t>
  </si>
  <si>
    <t>SC55693</t>
  </si>
  <si>
    <t>Madelyn Solar, LLC</t>
  </si>
  <si>
    <t>SC55694</t>
  </si>
  <si>
    <t>SC55617</t>
  </si>
  <si>
    <t>SC55700</t>
  </si>
  <si>
    <t>SC55701</t>
  </si>
  <si>
    <t>SC55690</t>
  </si>
  <si>
    <t>SC55691</t>
  </si>
  <si>
    <t>SC55695</t>
  </si>
  <si>
    <t>SC55745</t>
  </si>
  <si>
    <t>SC55753</t>
  </si>
  <si>
    <t>SC55755</t>
  </si>
  <si>
    <t>SC55756</t>
  </si>
  <si>
    <t>SC55757</t>
  </si>
  <si>
    <t>SC55758</t>
  </si>
  <si>
    <t>SC55759</t>
  </si>
  <si>
    <t>SC55702</t>
  </si>
  <si>
    <t>SC55703</t>
  </si>
  <si>
    <t>SC55715</t>
  </si>
  <si>
    <t>SC55716</t>
  </si>
  <si>
    <t>SC55767</t>
  </si>
  <si>
    <t>SC55774</t>
  </si>
  <si>
    <t>SC55777</t>
  </si>
  <si>
    <t>SC55778</t>
  </si>
  <si>
    <t>SC55799</t>
  </si>
  <si>
    <t>SC55800</t>
  </si>
  <si>
    <t>SC55801</t>
  </si>
  <si>
    <t>SC55511</t>
  </si>
  <si>
    <t>61620C</t>
  </si>
  <si>
    <t>SC55744</t>
  </si>
  <si>
    <t>SC55625</t>
  </si>
  <si>
    <t>SC55629</t>
  </si>
  <si>
    <t>SC55284</t>
  </si>
  <si>
    <t>SC55412</t>
  </si>
  <si>
    <t>SC55413</t>
  </si>
  <si>
    <t>SC55804</t>
  </si>
  <si>
    <t>AV Solar Ranch One</t>
  </si>
  <si>
    <t>AKA Desert Center Solar Farm</t>
  </si>
  <si>
    <t>PG2800</t>
  </si>
  <si>
    <t>Treen Solar</t>
  </si>
  <si>
    <t>S9246</t>
  </si>
  <si>
    <t>S9222</t>
  </si>
  <si>
    <t>S9283</t>
  </si>
  <si>
    <t>S9214</t>
  </si>
  <si>
    <t>S0293</t>
  </si>
  <si>
    <r>
      <t xml:space="preserve">Table 1a:  </t>
    </r>
    <r>
      <rPr>
        <sz val="12"/>
        <color indexed="8"/>
        <rFont val="Arial"/>
        <family val="2"/>
      </rPr>
      <t>2015 Summary - Total Operational RPS Eligible Renewable Generation For Planning RNS</t>
    </r>
  </si>
  <si>
    <t xml:space="preserve">     http://energyalmanac.ca.gov/electricity/s-2_supply_forms_2015</t>
  </si>
  <si>
    <t>2014 Power Source Disclosure Program reports.</t>
  </si>
  <si>
    <t>ESTIMATED GWh Purchases</t>
  </si>
  <si>
    <t>QFID</t>
  </si>
  <si>
    <t>QF14-754-000</t>
  </si>
  <si>
    <t>QF14-755-000</t>
  </si>
  <si>
    <t>QF15-141-000</t>
  </si>
  <si>
    <t>QF14-575-000</t>
  </si>
  <si>
    <t>PG1029</t>
  </si>
  <si>
    <t>Blake's Landing - 80kW Generator</t>
  </si>
  <si>
    <t>PG2048</t>
  </si>
  <si>
    <t>PG50036</t>
  </si>
  <si>
    <t>PG50037</t>
  </si>
  <si>
    <t>PG50038</t>
  </si>
  <si>
    <t>PG50039</t>
  </si>
  <si>
    <t>PG50040</t>
  </si>
  <si>
    <t>PG50041</t>
  </si>
  <si>
    <t>PG50042</t>
  </si>
  <si>
    <t>PG50043</t>
  </si>
  <si>
    <t>PG50044</t>
  </si>
  <si>
    <t>PG50045</t>
  </si>
  <si>
    <t>PG5059</t>
  </si>
  <si>
    <t>PG5076</t>
  </si>
  <si>
    <t>PG5078</t>
  </si>
  <si>
    <t>PG5091</t>
  </si>
  <si>
    <t>PG5127</t>
  </si>
  <si>
    <t>SC50027</t>
  </si>
  <si>
    <t>SC50044</t>
  </si>
  <si>
    <t>SC50048</t>
  </si>
  <si>
    <t>SC55447</t>
  </si>
  <si>
    <t>SC55600</t>
  </si>
  <si>
    <t>SC55601</t>
  </si>
  <si>
    <t>SC55602</t>
  </si>
  <si>
    <t>Lone Valley Solar Park I, LLC (f/k/a Agincourt)</t>
  </si>
  <si>
    <t>Lone Valley Solar Park II, LLC (f/k/a Marathon)</t>
  </si>
  <si>
    <t>SC55785</t>
  </si>
  <si>
    <t>SD4001</t>
  </si>
  <si>
    <t>SD5008</t>
  </si>
  <si>
    <t>SD5016</t>
  </si>
  <si>
    <t>SD5034</t>
  </si>
  <si>
    <t>SD5037</t>
  </si>
  <si>
    <t>SD5048</t>
  </si>
  <si>
    <t>SC55597
SC55598
SC55599</t>
  </si>
  <si>
    <t>SD5001, SD5002</t>
  </si>
  <si>
    <t>SCE Service territory</t>
  </si>
  <si>
    <t>SC55587
SC55588
SC55589</t>
  </si>
  <si>
    <t>SC55590
SC55591
SC55592</t>
  </si>
  <si>
    <t>SD5026
SD5027</t>
  </si>
  <si>
    <t>SC55603
SC55604</t>
  </si>
  <si>
    <t>SD5028
SD5029</t>
  </si>
  <si>
    <t>biogas</t>
  </si>
  <si>
    <t>PG5025
PG5026</t>
  </si>
  <si>
    <t xml:space="preserve"> 1/1/2006 </t>
  </si>
  <si>
    <t>POU - LADWP (210 MW) Burbank (40 MW)</t>
  </si>
  <si>
    <t>PSDP; operation on digester gas at the Scattergood Generating Station will not be
feasible nor possible beyond 2016.</t>
  </si>
  <si>
    <t>TID/Merced</t>
  </si>
  <si>
    <t>Sources: Quarterly Fuels and Energy Report 2006 – 2014 &lt;http://www.energy.ca.gov/forms/cec-1304.html, California Energy Commission&gt;, Ventyx, Velocity Suite (from EPA and hourly CEMS data),</t>
  </si>
  <si>
    <t>RPS / WREGIS ID</t>
  </si>
  <si>
    <t>Resource Type</t>
  </si>
  <si>
    <t>Incremental Retirements</t>
  </si>
  <si>
    <r>
      <rPr>
        <b/>
        <sz val="12"/>
        <color indexed="8"/>
        <rFont val="Arial"/>
        <family val="2"/>
      </rPr>
      <t>Table 1b2</t>
    </r>
    <r>
      <rPr>
        <sz val="12"/>
        <color indexed="8"/>
        <rFont val="Arial"/>
        <family val="2"/>
      </rPr>
      <t>:  In-State RPS Eligible Renewable Generation Less than 1 MW (on-line by 12/31/2014) for Planning RNS</t>
    </r>
  </si>
  <si>
    <r>
      <rPr>
        <b/>
        <sz val="12"/>
        <color indexed="8"/>
        <rFont val="Arial"/>
        <family val="2"/>
      </rPr>
      <t>Table 1d</t>
    </r>
    <r>
      <rPr>
        <sz val="12"/>
        <color indexed="8"/>
        <rFont val="Arial"/>
        <family val="2"/>
      </rPr>
      <t>:  In-State RPS Eligible Renewable Generation (on-line in 2015) for Planning RNS</t>
    </r>
  </si>
  <si>
    <r>
      <rPr>
        <b/>
        <sz val="12"/>
        <color indexed="8"/>
        <rFont val="Arial"/>
        <family val="2"/>
      </rPr>
      <t>Table 1g</t>
    </r>
    <r>
      <rPr>
        <sz val="12"/>
        <color indexed="8"/>
        <rFont val="Arial"/>
        <family val="2"/>
      </rPr>
      <t>: Expiring Out-Of-State Contract Between 2019 and 2026.</t>
    </r>
  </si>
  <si>
    <t>Quarterly Fuels and Energy Report and the Wind Performance Reporting System</t>
  </si>
  <si>
    <t>Utility Energy and Capacity Supply Plan filed with the Energy Commission</t>
  </si>
  <si>
    <t>CPUC RPS Contract Database Accessed November 2015</t>
  </si>
  <si>
    <t>CPUC RPS Compliance filings accessed November 2015</t>
  </si>
  <si>
    <r>
      <rPr>
        <b/>
        <sz val="12"/>
        <color indexed="8"/>
        <rFont val="Arial"/>
        <family val="2"/>
      </rPr>
      <t>Table 1f</t>
    </r>
    <r>
      <rPr>
        <sz val="12"/>
        <color indexed="8"/>
        <rFont val="Arial"/>
        <family val="2"/>
      </rPr>
      <t>:  Out-of-State RPS-Eligible Renewable Generation (on-line in 2015 and contract expiration after 12/31/2019) for Planning RNS</t>
    </r>
  </si>
  <si>
    <r>
      <rPr>
        <b/>
        <sz val="12"/>
        <color indexed="8"/>
        <rFont val="Arial"/>
        <family val="2"/>
      </rPr>
      <t>Table 1e</t>
    </r>
    <r>
      <rPr>
        <sz val="12"/>
        <color indexed="8"/>
        <rFont val="Arial"/>
        <family val="2"/>
      </rPr>
      <t>:  Out-of-State RPS-Eligible Renewable Generation (on-line by 12/31/2014 and contract expiration after 12/31/2019) for Planning RNS</t>
    </r>
  </si>
  <si>
    <r>
      <rPr>
        <b/>
        <sz val="12"/>
        <color indexed="8"/>
        <rFont val="Arial"/>
        <family val="2"/>
      </rPr>
      <t>Table 1c</t>
    </r>
    <r>
      <rPr>
        <sz val="12"/>
        <color indexed="8"/>
        <rFont val="Arial"/>
        <family val="2"/>
      </rPr>
      <t>:  In-State Small Hydro RPS Eligible Renewable Generation (on-line by 12/31/2014) for Planning RNS</t>
    </r>
  </si>
  <si>
    <r>
      <rPr>
        <b/>
        <sz val="12"/>
        <color indexed="8"/>
        <rFont val="Arial"/>
        <family val="2"/>
      </rPr>
      <t>Table 1b</t>
    </r>
    <r>
      <rPr>
        <sz val="12"/>
        <color indexed="8"/>
        <rFont val="Arial"/>
        <family val="2"/>
      </rPr>
      <t>:  In-State RPS Eligible Renewable Generation (on-line by 12/31/2014) for Planning RNS</t>
    </r>
  </si>
  <si>
    <t>Power Sold to Salt River Project</t>
  </si>
  <si>
    <t>Granger Electric of South Jordan</t>
  </si>
  <si>
    <t>Table 1b: In-State Operational Renewable Generation (Excluding Small Hydro) For Planning RNS</t>
  </si>
  <si>
    <t>Table 1b: In-State Operational Renewable Generation Less Than 1 MW (Excluding Small Hydro) For Planning RNS</t>
  </si>
  <si>
    <t>Not included due to lack of certification.</t>
  </si>
  <si>
    <t>S0408</t>
  </si>
  <si>
    <t>S0409</t>
  </si>
  <si>
    <t>S0412</t>
  </si>
  <si>
    <t>Adera Solar</t>
  </si>
  <si>
    <t>S0421</t>
  </si>
  <si>
    <t>2015
(GWh)</t>
  </si>
  <si>
    <t>S0423</t>
  </si>
  <si>
    <t>S0425</t>
  </si>
  <si>
    <t>S0426</t>
  </si>
  <si>
    <t>S0428</t>
  </si>
  <si>
    <t>S0429</t>
  </si>
  <si>
    <t>S0430</t>
  </si>
  <si>
    <t>S0431</t>
  </si>
  <si>
    <t>S0433</t>
  </si>
  <si>
    <t>TA High Desert Antelope Power Plant</t>
  </si>
  <si>
    <t>AES Tehachapi Wind</t>
  </si>
  <si>
    <t>Windridge</t>
  </si>
  <si>
    <t>2015 Net GWh Purchase</t>
  </si>
  <si>
    <t>Desert Stateline Solar Facility</t>
  </si>
  <si>
    <t>S0457</t>
  </si>
  <si>
    <t>Desert Stateline</t>
  </si>
  <si>
    <t>Expected 2016 Deliveries</t>
  </si>
  <si>
    <t>S0410</t>
  </si>
  <si>
    <t>S0411</t>
  </si>
  <si>
    <t>S0422</t>
  </si>
  <si>
    <t>S0339</t>
  </si>
  <si>
    <t xml:space="preserve">Atwell Island West LLC CED </t>
  </si>
  <si>
    <t>S0335</t>
  </si>
  <si>
    <t>S0434</t>
  </si>
  <si>
    <t>S0424</t>
  </si>
  <si>
    <t>S0427</t>
  </si>
  <si>
    <t>S0342</t>
  </si>
  <si>
    <t>S0346</t>
  </si>
  <si>
    <t>S0404</t>
  </si>
  <si>
    <t>S0355</t>
  </si>
  <si>
    <t>S0353</t>
  </si>
  <si>
    <t>S0354</t>
  </si>
  <si>
    <t>S0432</t>
  </si>
  <si>
    <t>S9251</t>
  </si>
  <si>
    <t>Venable Solar 1</t>
  </si>
  <si>
    <t>S0406</t>
  </si>
  <si>
    <t>S0407</t>
  </si>
  <si>
    <t>S0417</t>
  </si>
  <si>
    <t>S0418</t>
  </si>
  <si>
    <t>zzzzz</t>
  </si>
  <si>
    <t>zzzz</t>
  </si>
  <si>
    <t>zzz</t>
  </si>
  <si>
    <t>S0413</t>
  </si>
  <si>
    <t>S9409</t>
  </si>
  <si>
    <t>S9410</t>
  </si>
  <si>
    <t>E0257</t>
  </si>
  <si>
    <t>E0301</t>
  </si>
  <si>
    <t>North Bay Solar 1</t>
  </si>
  <si>
    <t>S-Power (Sustainable Power Group)</t>
  </si>
  <si>
    <t>S0414</t>
  </si>
  <si>
    <t>S0415</t>
  </si>
  <si>
    <t>contract terminated</t>
  </si>
  <si>
    <t>Woodmere Solar Farm</t>
  </si>
  <si>
    <t>RAM</t>
  </si>
  <si>
    <t xml:space="preserve">Enerparc CA2, LLC </t>
  </si>
  <si>
    <t>Orland, Glenn</t>
  </si>
  <si>
    <t>Goose Valley Hydro</t>
  </si>
  <si>
    <t>2275 Hattesen</t>
  </si>
  <si>
    <t>Pristine Power LLC</t>
  </si>
  <si>
    <t>kings</t>
  </si>
  <si>
    <t>Little Rock PHAM</t>
  </si>
  <si>
    <t>EDF Renewable</t>
  </si>
  <si>
    <t>terminated</t>
  </si>
  <si>
    <t>Central Antelope Dry Ranch B</t>
  </si>
  <si>
    <t>Milestone Wildomar, LLC</t>
  </si>
  <si>
    <t>One Ten Partners, LLC</t>
  </si>
  <si>
    <t>Wildomar</t>
  </si>
  <si>
    <t>Palmdale</t>
  </si>
  <si>
    <t>Blackwell Solar Park, LLC</t>
  </si>
  <si>
    <t>CED Lost Hills Solar</t>
  </si>
  <si>
    <t>Henrietta Solar</t>
  </si>
  <si>
    <t>2105 Hart</t>
  </si>
  <si>
    <t>Peterson Rd. Solar I</t>
  </si>
  <si>
    <t>Corning, Tehama</t>
  </si>
  <si>
    <t>Wasco, Kern</t>
  </si>
  <si>
    <t>Calico Ranch Solar Project</t>
  </si>
  <si>
    <t>Lancaster WAD B</t>
  </si>
  <si>
    <t>ADERA_1_SOLAR1</t>
  </si>
  <si>
    <t>CALPSS_6_SOLAR1</t>
  </si>
  <si>
    <t>DELAMO_2_SOLAR3</t>
  </si>
  <si>
    <t xml:space="preserve">Dracker Project Unit 1 f.k.a  Blythe Solar Power Project </t>
  </si>
  <si>
    <t>DRACKR_2_SOLAR1</t>
  </si>
  <si>
    <t>FRNTBW_6_SOLAR1</t>
  </si>
  <si>
    <t>HENRTA_6_SOLAR1</t>
  </si>
  <si>
    <t>Kingbird Solar A</t>
  </si>
  <si>
    <t>Kingbird Solar B</t>
  </si>
  <si>
    <t>KNGBRD_2_SOLAR1</t>
  </si>
  <si>
    <t>KNGBRD_2_SOLAR2</t>
  </si>
  <si>
    <t>LITLRK_6_SOLAR3</t>
  </si>
  <si>
    <t>LITLRK_6_SOLAR4</t>
  </si>
  <si>
    <t>MARCPW_6_SOLAR1</t>
  </si>
  <si>
    <t>MNDOTA_1_SOLAR2</t>
  </si>
  <si>
    <t>OASIS_6_SOLAR2</t>
  </si>
  <si>
    <t>Rio Bravo Solar 1</t>
  </si>
  <si>
    <t>PMPJCK_1_SOLAR2</t>
  </si>
  <si>
    <t>Bowerman Power</t>
  </si>
  <si>
    <t>LFG</t>
  </si>
  <si>
    <t>SANTGO_2_LNDFL1</t>
  </si>
  <si>
    <t>Pottrero Hills</t>
  </si>
  <si>
    <t>PEABDY_2_LNDFL1</t>
  </si>
  <si>
    <t>SKERN_6_SOLAR2</t>
  </si>
  <si>
    <t>VENWD_1_WIND3</t>
  </si>
  <si>
    <t>VESTAL_2_SOLAR2</t>
  </si>
  <si>
    <t>Wildwood Solar 2</t>
  </si>
  <si>
    <t>WLDWD_1_SOLAR2</t>
  </si>
  <si>
    <t>Algonquin SKIC 10 Solar, LLC</t>
  </si>
  <si>
    <t>Adelanto Solar, LLC</t>
  </si>
  <si>
    <t>Highlander Solar 1 (Duke Energy) SEPV8</t>
  </si>
  <si>
    <t>Highlander Solar 2 (Duke Energy) SEPV9</t>
  </si>
  <si>
    <t>Forever 21 HQ building</t>
  </si>
  <si>
    <t>Port of LA</t>
  </si>
  <si>
    <t>Beacon Solar 1</t>
  </si>
  <si>
    <t>Beacon Solar 3</t>
  </si>
  <si>
    <t>Beacon Solar 4</t>
  </si>
  <si>
    <t xml:space="preserve">Western Antelope Blue Sky Ranch B LLC </t>
  </si>
  <si>
    <t>Palo Alto</t>
  </si>
  <si>
    <t xml:space="preserve">Western Antelope Dry Ranch </t>
  </si>
  <si>
    <t>Lancaster Choice Energy</t>
  </si>
  <si>
    <t>SCPPA</t>
  </si>
  <si>
    <t xml:space="preserve">Solverde 1 Project </t>
  </si>
  <si>
    <t>CDWR</t>
  </si>
  <si>
    <t>Hecate Energy</t>
  </si>
  <si>
    <t xml:space="preserve">Antelope Big Sky Ranch LLC </t>
  </si>
  <si>
    <t xml:space="preserve">Antelope DSR 1 LLC </t>
  </si>
  <si>
    <t xml:space="preserve">Antelope DSR 2 LLC </t>
  </si>
  <si>
    <t>Blythe Solar 110, LLC</t>
  </si>
  <si>
    <t>S0347</t>
  </si>
  <si>
    <t>S0440</t>
  </si>
  <si>
    <t>Corcoran 3 Solar</t>
  </si>
  <si>
    <t>S0520</t>
  </si>
  <si>
    <t>Weymouth Solar Plant</t>
  </si>
  <si>
    <t>S0527</t>
  </si>
  <si>
    <t>Cottonwood Carport Solar</t>
  </si>
  <si>
    <t>S0528</t>
  </si>
  <si>
    <t>Marin</t>
  </si>
  <si>
    <t>S0519</t>
  </si>
  <si>
    <t xml:space="preserve">Elevation Solar C LLC </t>
  </si>
  <si>
    <t>S0436</t>
  </si>
  <si>
    <t>S0525</t>
  </si>
  <si>
    <t>S0445</t>
  </si>
  <si>
    <t>Annual Expected Deliveries (GWh/yr)</t>
  </si>
  <si>
    <t>MCE until 2019</t>
  </si>
  <si>
    <t>Operational (true/False)</t>
  </si>
  <si>
    <t>Self Gen</t>
  </si>
  <si>
    <t>Corcoran 2 Solar LLC CED</t>
  </si>
  <si>
    <t>Cottonwood Corcoran City</t>
  </si>
  <si>
    <t>EE Kettleman Solar 1</t>
  </si>
  <si>
    <t>Golden Hills</t>
  </si>
  <si>
    <t>W0461</t>
  </si>
  <si>
    <t>Maricopa West Solar PV</t>
  </si>
  <si>
    <t>Quinto Solar PV Project</t>
  </si>
  <si>
    <t>S0443</t>
  </si>
  <si>
    <t>Sierra Solar Greenworks</t>
  </si>
  <si>
    <t>TERRA FRANCESCO</t>
  </si>
  <si>
    <t>Venable Solar 2</t>
  </si>
  <si>
    <t>Frontier Solar LLC</t>
  </si>
  <si>
    <t>S0459</t>
  </si>
  <si>
    <t>Stanislaus</t>
  </si>
  <si>
    <t>S9233</t>
  </si>
  <si>
    <t>S9234</t>
  </si>
  <si>
    <t>61481A</t>
  </si>
  <si>
    <t>60878A</t>
  </si>
  <si>
    <t>Blythe Solar II, LLC</t>
  </si>
  <si>
    <t>63129A</t>
  </si>
  <si>
    <t>60938A</t>
  </si>
  <si>
    <t>62899A</t>
  </si>
  <si>
    <t>Calipatria Solar Farm 70SM1</t>
  </si>
  <si>
    <t>63015A</t>
  </si>
  <si>
    <t>Central Antelope Dry Ranch C</t>
  </si>
  <si>
    <t>61324A</t>
  </si>
  <si>
    <t>61388A</t>
  </si>
  <si>
    <t>62783A</t>
  </si>
  <si>
    <t>CED Corcoran Solar 3, LLC</t>
  </si>
  <si>
    <t>62248A</t>
  </si>
  <si>
    <t>Five Points Solar Park LLC</t>
  </si>
  <si>
    <t>62621A</t>
  </si>
  <si>
    <t>Fresno</t>
  </si>
  <si>
    <t>61894A</t>
  </si>
  <si>
    <t>62424A</t>
  </si>
  <si>
    <t>61815A</t>
  </si>
  <si>
    <t>Immoda</t>
  </si>
  <si>
    <t>SEIA Operating</t>
  </si>
  <si>
    <t>SEIA Under development</t>
  </si>
  <si>
    <t>Rio Bravo Solar 2</t>
  </si>
  <si>
    <t>SEIA Under Construction</t>
  </si>
  <si>
    <t>Springbok Solar Farm 1</t>
  </si>
  <si>
    <t>Panoche Valley Solar</t>
  </si>
  <si>
    <t>Paicines</t>
  </si>
  <si>
    <t>Peacock Solar Project</t>
  </si>
  <si>
    <t>Green Light Energy Corp</t>
  </si>
  <si>
    <t>Lemoore 1</t>
  </si>
  <si>
    <t>2154 Foote</t>
  </si>
  <si>
    <t>2192 Ramirez</t>
  </si>
  <si>
    <t>Butte</t>
  </si>
  <si>
    <t>Tehame</t>
  </si>
  <si>
    <t>SEIA Under Construction. Likely to come in phases. Unsure how many MW will be operating in 2016. Operation of full project likely 2019.</t>
  </si>
  <si>
    <t>70SM1 8ME, LLC</t>
  </si>
  <si>
    <t>62629A</t>
  </si>
  <si>
    <t>62827A</t>
  </si>
  <si>
    <t>62888A</t>
  </si>
  <si>
    <t>62900A</t>
  </si>
  <si>
    <t>Parrey, LLC</t>
  </si>
  <si>
    <t>61841A</t>
  </si>
  <si>
    <t>63116A</t>
  </si>
  <si>
    <t>Rancho Seco Solar, LLC</t>
  </si>
  <si>
    <t>63102A</t>
  </si>
  <si>
    <t>Sacramento</t>
  </si>
  <si>
    <t>61156A</t>
  </si>
  <si>
    <t>61830A</t>
  </si>
  <si>
    <t>62721A</t>
  </si>
  <si>
    <t>62725A</t>
  </si>
  <si>
    <t>63125C</t>
  </si>
  <si>
    <t>63124C</t>
  </si>
  <si>
    <t>certification disapproved</t>
  </si>
  <si>
    <t>63154C</t>
  </si>
  <si>
    <t>62626C</t>
  </si>
  <si>
    <t>63263C</t>
  </si>
  <si>
    <t>63159C</t>
  </si>
  <si>
    <t>63144C</t>
  </si>
  <si>
    <t>63043C</t>
  </si>
  <si>
    <t>61518C</t>
  </si>
  <si>
    <t>61328C</t>
  </si>
  <si>
    <t>Beacon Solar 2</t>
  </si>
  <si>
    <t>Beacon Solar 5</t>
  </si>
  <si>
    <t>62870C</t>
  </si>
  <si>
    <t>63153C</t>
  </si>
  <si>
    <t>62871C</t>
  </si>
  <si>
    <t>62872C</t>
  </si>
  <si>
    <t>63152C</t>
  </si>
  <si>
    <t>61323C</t>
  </si>
  <si>
    <t>63192C</t>
  </si>
  <si>
    <t>61309C</t>
  </si>
  <si>
    <t>Milliken Landfill Solar</t>
  </si>
  <si>
    <t>60858C</t>
  </si>
  <si>
    <t>62382C</t>
  </si>
  <si>
    <t>62716C</t>
  </si>
  <si>
    <t>Garland Solar A</t>
  </si>
  <si>
    <t>Southern Power</t>
  </si>
  <si>
    <t>S0458</t>
  </si>
  <si>
    <t>Augustine Energy PV</t>
  </si>
  <si>
    <t>S0460</t>
  </si>
  <si>
    <t>S0461</t>
  </si>
  <si>
    <t>of 300 MW under construction.</t>
  </si>
  <si>
    <t>S0531</t>
  </si>
  <si>
    <t>Blythe Solar III, LLC</t>
  </si>
  <si>
    <t>Blythe Solar IV, LLC</t>
  </si>
  <si>
    <t>Springbok Solar Farm 2</t>
  </si>
  <si>
    <t>S0526</t>
  </si>
  <si>
    <t>RE Barren Ridge 1</t>
  </si>
  <si>
    <t>S0530</t>
  </si>
  <si>
    <t>Blythe 2 Solar</t>
  </si>
  <si>
    <t>Not Blythe Solar II LLC</t>
  </si>
  <si>
    <t>S0532</t>
  </si>
  <si>
    <t>Installed Capacity
(MW)</t>
  </si>
  <si>
    <t>S0438</t>
  </si>
  <si>
    <t>S0439</t>
  </si>
  <si>
    <t>Imperial Valley Solar Company (IVSC) 2 LLC</t>
  </si>
  <si>
    <t>S0441</t>
  </si>
  <si>
    <t>S0435</t>
  </si>
  <si>
    <t>S0442</t>
  </si>
  <si>
    <t>Placer Solar</t>
  </si>
  <si>
    <t>S9188</t>
  </si>
  <si>
    <t>S0447</t>
  </si>
  <si>
    <t>San Diego City Regional Airport Authority</t>
  </si>
  <si>
    <t>S0401</t>
  </si>
  <si>
    <t>Sun Harvest Solar NDP1</t>
  </si>
  <si>
    <t>S0437</t>
  </si>
  <si>
    <t>SunE - Dupont Ontario</t>
  </si>
  <si>
    <t>SunE - E Philadelphia Ontario</t>
  </si>
  <si>
    <t>SunE - Mira Loma</t>
  </si>
  <si>
    <t>SunE - Oxnard</t>
  </si>
  <si>
    <t>SunE - San Bernardino</t>
  </si>
  <si>
    <t>SunE- Redlands</t>
  </si>
  <si>
    <t>S0449</t>
  </si>
  <si>
    <t>S0453</t>
  </si>
  <si>
    <t>S0454</t>
  </si>
  <si>
    <t>S0448</t>
  </si>
  <si>
    <t>S0450</t>
  </si>
  <si>
    <t>S0451</t>
  </si>
  <si>
    <t>S0455</t>
  </si>
  <si>
    <t>S0452</t>
  </si>
  <si>
    <t>SunE - Torrance</t>
  </si>
  <si>
    <t>SunE - Jurupa Fontana</t>
  </si>
  <si>
    <t>S0444</t>
  </si>
  <si>
    <t>USMC</t>
  </si>
  <si>
    <t>S0402</t>
  </si>
  <si>
    <t>CECPlantID</t>
  </si>
  <si>
    <t>S9210</t>
  </si>
  <si>
    <t>Abby Power  LLC</t>
  </si>
  <si>
    <t>1</t>
  </si>
  <si>
    <t>S9149</t>
  </si>
  <si>
    <t>Advanced Micro Decives</t>
  </si>
  <si>
    <t>S9200</t>
  </si>
  <si>
    <t>Agua Caliente (Bena A)</t>
  </si>
  <si>
    <t>S9047</t>
  </si>
  <si>
    <t>Airport Division City of San Jose</t>
  </si>
  <si>
    <t>S9121</t>
  </si>
  <si>
    <t>Alameda Water District</t>
  </si>
  <si>
    <t>S9046</t>
  </si>
  <si>
    <t>Almond Process Parreira</t>
  </si>
  <si>
    <t>S9006</t>
  </si>
  <si>
    <t>Alza Corporation (700 Eubanks)</t>
  </si>
  <si>
    <t>S9110</t>
  </si>
  <si>
    <t>Amir Development Company</t>
  </si>
  <si>
    <t>S9211</t>
  </si>
  <si>
    <t>Amy Solar  LLC</t>
  </si>
  <si>
    <t>S9137</t>
  </si>
  <si>
    <t>Angels PH  Utica Power Authority</t>
  </si>
  <si>
    <t>S9074</t>
  </si>
  <si>
    <t>Anheuser Busch Fairfield  PV Phase/Anheuser Busch</t>
  </si>
  <si>
    <t>S9148</t>
  </si>
  <si>
    <t>ANHEUSER BUSCH INC</t>
  </si>
  <si>
    <t>S9212</t>
  </si>
  <si>
    <t>S9075</t>
  </si>
  <si>
    <t>Applied Materials Inc.</t>
  </si>
  <si>
    <t>S9073</t>
  </si>
  <si>
    <t>AT&amp;T San Ramon (PV)/AT&amp;T Services Inc</t>
  </si>
  <si>
    <t>S9142</t>
  </si>
  <si>
    <t>AT&amp;T Services  Inc.</t>
  </si>
  <si>
    <t>S9025</t>
  </si>
  <si>
    <t>AT&amp;T Services Inc.</t>
  </si>
  <si>
    <t>S0336</t>
  </si>
  <si>
    <t>S9213</t>
  </si>
  <si>
    <t>Ayden Power  LLC</t>
  </si>
  <si>
    <t>S9038</t>
  </si>
  <si>
    <t>Beret &amp; Kees Jan De Jong</t>
  </si>
  <si>
    <t>S0373</t>
  </si>
  <si>
    <t>Bolthouse Farms - S&amp;P</t>
  </si>
  <si>
    <t>San Diego</t>
  </si>
  <si>
    <t>S0372</t>
  </si>
  <si>
    <t>Borrego Solar - Twin Oaks</t>
  </si>
  <si>
    <t>S0375</t>
  </si>
  <si>
    <t>CA Correctional Institution</t>
  </si>
  <si>
    <t>S0376</t>
  </si>
  <si>
    <t>CA Correctional Institution II</t>
  </si>
  <si>
    <t>S9164</t>
  </si>
  <si>
    <t>CA Dept of Correctionns Chowchilla</t>
  </si>
  <si>
    <t>S9166</t>
  </si>
  <si>
    <t>CA Dept of Correctionns Corcoran</t>
  </si>
  <si>
    <t>Monterey</t>
  </si>
  <si>
    <t>S9163</t>
  </si>
  <si>
    <t>CA Dept of Correctionns Salinas (SVSP)</t>
  </si>
  <si>
    <t>S9165</t>
  </si>
  <si>
    <t>CA Dept of Correctionns WASCO (WSP)</t>
  </si>
  <si>
    <t>S9162</t>
  </si>
  <si>
    <t>CA Dept of Corrections Solano</t>
  </si>
  <si>
    <t>S0356</t>
  </si>
  <si>
    <t>CA State Prison LA County</t>
  </si>
  <si>
    <t>S9026</t>
  </si>
  <si>
    <t>CA State University Fresno</t>
  </si>
  <si>
    <t>S9077</t>
  </si>
  <si>
    <t>California National Guard</t>
  </si>
  <si>
    <t>S9062</t>
  </si>
  <si>
    <t>California Natural Products</t>
  </si>
  <si>
    <t>S9275</t>
  </si>
  <si>
    <t>Cami Solar  LLC</t>
  </si>
  <si>
    <t>S9083</t>
  </si>
  <si>
    <t>Carl Zeiss Meditec Inc.</t>
  </si>
  <si>
    <t>S9215</t>
  </si>
  <si>
    <t>Carly Solar  LLC</t>
  </si>
  <si>
    <t>S9157</t>
  </si>
  <si>
    <t>CBS Television City</t>
  </si>
  <si>
    <t>S9082</t>
  </si>
  <si>
    <t>Cemex Construction Materials Pacific LLC</t>
  </si>
  <si>
    <t>S9216</t>
  </si>
  <si>
    <t>Central Antelope Dry Ranch B2 LLC</t>
  </si>
  <si>
    <t>S9130</t>
  </si>
  <si>
    <t>Central Marin Sanitation Agency</t>
  </si>
  <si>
    <t>S9123</t>
  </si>
  <si>
    <t>Chabot - Las Positas Community College</t>
  </si>
  <si>
    <t>S9146</t>
  </si>
  <si>
    <t>Chabot Las Positas Community College District</t>
  </si>
  <si>
    <t>Sonoma</t>
  </si>
  <si>
    <t>S9309</t>
  </si>
  <si>
    <t>Chalk Hill Solar Project  LLC_(CHSP)</t>
  </si>
  <si>
    <t>S9089</t>
  </si>
  <si>
    <t>Charles R. Crain Jr.</t>
  </si>
  <si>
    <t>S9090</t>
  </si>
  <si>
    <t>City of Atwater</t>
  </si>
  <si>
    <t>S9021</t>
  </si>
  <si>
    <t>City of Chico</t>
  </si>
  <si>
    <t>S9060</t>
  </si>
  <si>
    <t>City of Dinuba</t>
  </si>
  <si>
    <t>S9145</t>
  </si>
  <si>
    <t>City of Fresno - Fresno Yosemite Airport</t>
  </si>
  <si>
    <t>S9061</t>
  </si>
  <si>
    <t>City of Hollister</t>
  </si>
  <si>
    <t>S9048</t>
  </si>
  <si>
    <t>City of Madera</t>
  </si>
  <si>
    <t>S9094</t>
  </si>
  <si>
    <t>City of San Jose</t>
  </si>
  <si>
    <t>S9095</t>
  </si>
  <si>
    <t>City of Santa Clara</t>
  </si>
  <si>
    <t>S9124</t>
  </si>
  <si>
    <t>City of Santa Cruz Wastewater Treatment Plant</t>
  </si>
  <si>
    <t>S9150</t>
  </si>
  <si>
    <t>City of Stockton - Wastewater Control Facility</t>
  </si>
  <si>
    <t>S9134</t>
  </si>
  <si>
    <t>City of Sunnyvale Wastewater Treatment Plant</t>
  </si>
  <si>
    <t>S9099</t>
  </si>
  <si>
    <t>City of Yuba</t>
  </si>
  <si>
    <t>S9055</t>
  </si>
  <si>
    <t>Clos Du Bois Wines Inc.</t>
  </si>
  <si>
    <t>S9305</t>
  </si>
  <si>
    <t>Cloverdale Solar 1  LLC_(FSEC1)</t>
  </si>
  <si>
    <t>S9306</t>
  </si>
  <si>
    <t>Cloverdale Solar 2  LLC_(FSEC2)</t>
  </si>
  <si>
    <t>S9010</t>
  </si>
  <si>
    <t>Co. Inc. #21 Walgreens</t>
  </si>
  <si>
    <t>S0350</t>
  </si>
  <si>
    <t>Coalinga State Hospital</t>
  </si>
  <si>
    <t>S9024</t>
  </si>
  <si>
    <t>Codding Enterprises</t>
  </si>
  <si>
    <t>S9057</t>
  </si>
  <si>
    <t>Codding Enterprises Ltd Partnership</t>
  </si>
  <si>
    <t>S9016</t>
  </si>
  <si>
    <t>College District Contra Costa Community 1</t>
  </si>
  <si>
    <t>S9017</t>
  </si>
  <si>
    <t>College District Contra Costa Community 2</t>
  </si>
  <si>
    <t>S9045</t>
  </si>
  <si>
    <t>College District Kern Community</t>
  </si>
  <si>
    <t>S9187</t>
  </si>
  <si>
    <t>S9039</t>
  </si>
  <si>
    <t>Community College District Chabot Las Positas</t>
  </si>
  <si>
    <t>S9052</t>
  </si>
  <si>
    <t>Community College Mendocino</t>
  </si>
  <si>
    <t>S9063</t>
  </si>
  <si>
    <t>Community Hospital of Monterey Peninsula</t>
  </si>
  <si>
    <t>S9117</t>
  </si>
  <si>
    <t>Contra Costa Community College - DVC</t>
  </si>
  <si>
    <t>S9118</t>
  </si>
  <si>
    <t>Contra Costa Community College - Los Medanos</t>
  </si>
  <si>
    <t>S0165</t>
  </si>
  <si>
    <t>Coronus 29-Palms North 1</t>
  </si>
  <si>
    <t>S0166</t>
  </si>
  <si>
    <t>Coronus 29-Palms North 2</t>
  </si>
  <si>
    <t>S0167</t>
  </si>
  <si>
    <t>Coronus 29-Palms North 3</t>
  </si>
  <si>
    <t>S0172</t>
  </si>
  <si>
    <t>Coronus Joshua Tree East 1</t>
  </si>
  <si>
    <t>S0173</t>
  </si>
  <si>
    <t>Coronus Joshua Tree East 2</t>
  </si>
  <si>
    <t>S0174</t>
  </si>
  <si>
    <t>Coronus Joshua Tree East 3</t>
  </si>
  <si>
    <t>S0169</t>
  </si>
  <si>
    <t>Coronus Yucca Valley East 1</t>
  </si>
  <si>
    <t>S0170</t>
  </si>
  <si>
    <t>Coronus Yucca Valley East 2</t>
  </si>
  <si>
    <t>S0171</t>
  </si>
  <si>
    <t>Coronus Yucca Valley East 3</t>
  </si>
  <si>
    <t>S9079</t>
  </si>
  <si>
    <t>County of Kern</t>
  </si>
  <si>
    <t>S9015</t>
  </si>
  <si>
    <t>County of Lake</t>
  </si>
  <si>
    <t>S9101</t>
  </si>
  <si>
    <t>County of Santa Clara</t>
  </si>
  <si>
    <t>S9103</t>
  </si>
  <si>
    <t>S9125</t>
  </si>
  <si>
    <t>S9219</t>
  </si>
  <si>
    <t>CSC Solar  LLC</t>
  </si>
  <si>
    <t>S9217</t>
  </si>
  <si>
    <t>CSC Solar I  LLC</t>
  </si>
  <si>
    <t>S9218</t>
  </si>
  <si>
    <t>CSC Solar II  LLC</t>
  </si>
  <si>
    <t>S9027</t>
  </si>
  <si>
    <t>CSU Bakersfield</t>
  </si>
  <si>
    <t>S9028</t>
  </si>
  <si>
    <t>CSU Monterey Bay - PV</t>
  </si>
  <si>
    <t>S9220</t>
  </si>
  <si>
    <t>D2 Solar 1  LLC</t>
  </si>
  <si>
    <t>S9221</t>
  </si>
  <si>
    <t>D2 Solar 2  LLC</t>
  </si>
  <si>
    <t>S0389</t>
  </si>
  <si>
    <t>Del Sur Elementary School</t>
  </si>
  <si>
    <t>S0184</t>
  </si>
  <si>
    <t>Dependable Highway Express</t>
  </si>
  <si>
    <t>S9116</t>
  </si>
  <si>
    <t>Dependable Highway Express Inc</t>
  </si>
  <si>
    <t>S9288</t>
  </si>
  <si>
    <t>Descanso Solar - CRE</t>
  </si>
  <si>
    <t>S9223</t>
  </si>
  <si>
    <t>DT Solar 1  LLC</t>
  </si>
  <si>
    <t>S9224</t>
  </si>
  <si>
    <t>DT Solar 2  LLC</t>
  </si>
  <si>
    <t>S9225</t>
  </si>
  <si>
    <t>DT Solar 3  LLC</t>
  </si>
  <si>
    <t>S9035</t>
  </si>
  <si>
    <t>E &amp; J Gallo Winery</t>
  </si>
  <si>
    <t>S9056</t>
  </si>
  <si>
    <t>E&amp;J Gallo Winery</t>
  </si>
  <si>
    <t>S9290</t>
  </si>
  <si>
    <t>Ecos Energy   LLC_(Bear Creek Solar Project)</t>
  </si>
  <si>
    <t>S0369</t>
  </si>
  <si>
    <t>ELACC - Parking Lot</t>
  </si>
  <si>
    <t>S9131</t>
  </si>
  <si>
    <t>Equity Office Property</t>
  </si>
  <si>
    <t>S9226</t>
  </si>
  <si>
    <t>Erika Solar  LLC</t>
  </si>
  <si>
    <t>S0390</t>
  </si>
  <si>
    <t>Fairfield Grossmont Trolley</t>
  </si>
  <si>
    <t>S0362</t>
  </si>
  <si>
    <t>Fairfield-Suisun Sewer District - WTP</t>
  </si>
  <si>
    <t>Shasta</t>
  </si>
  <si>
    <t>S9004</t>
  </si>
  <si>
    <t>Farm ACW</t>
  </si>
  <si>
    <t>S9008</t>
  </si>
  <si>
    <t>Foods Inc. United Natural</t>
  </si>
  <si>
    <t>S9135</t>
  </si>
  <si>
    <t>Foothill - De Anza Community College District</t>
  </si>
  <si>
    <t>S9136</t>
  </si>
  <si>
    <t>Foothill College - Pv Capstone</t>
  </si>
  <si>
    <t>S9289</t>
  </si>
  <si>
    <t>Foothill Farmington 2MW PV Project (2) (2012 PV RFO - 1)</t>
  </si>
  <si>
    <t>S9161</t>
  </si>
  <si>
    <t>Fort Hunter Liggett Dept of Army</t>
  </si>
  <si>
    <t>S9013</t>
  </si>
  <si>
    <t>Fosters Wine Estates Inc.</t>
  </si>
  <si>
    <t>S9194</t>
  </si>
  <si>
    <t>Fotowatio Renewable Ventures</t>
  </si>
  <si>
    <t>S9085</t>
  </si>
  <si>
    <t>Fowler Packing Company Inc.</t>
  </si>
  <si>
    <t>S9086</t>
  </si>
  <si>
    <t>S9001</t>
  </si>
  <si>
    <t>FPUD - Sanitary</t>
  </si>
  <si>
    <t>S9064</t>
  </si>
  <si>
    <t>Fremont Group  50 Beale/DG Cogen Partners LLC</t>
  </si>
  <si>
    <t>S9113</t>
  </si>
  <si>
    <t>Fremont Group Inc.  50 Beale/DG Cogen Partners LLC</t>
  </si>
  <si>
    <t>S9182</t>
  </si>
  <si>
    <t>Fresh Air Energy  LLC_(Pioneer 1)</t>
  </si>
  <si>
    <t>S9201</t>
  </si>
  <si>
    <t>Garces (Oswell A)</t>
  </si>
  <si>
    <t>S9303</t>
  </si>
  <si>
    <t>GASNA 27P (GASNA 27P) - RAM 2</t>
  </si>
  <si>
    <t>S0403</t>
  </si>
  <si>
    <t>Genentech Inc</t>
  </si>
  <si>
    <t>S9065</t>
  </si>
  <si>
    <t>General Chemical Corp/Chevron Energy Solutions</t>
  </si>
  <si>
    <t>S9076</t>
  </si>
  <si>
    <t>George Jackson</t>
  </si>
  <si>
    <t>S9066</t>
  </si>
  <si>
    <t>Ghiradelli Chocolate</t>
  </si>
  <si>
    <t>S9012</t>
  </si>
  <si>
    <t>Golden State Vintners</t>
  </si>
  <si>
    <t>S9202</t>
  </si>
  <si>
    <t>Goodbar Solar 1  LLC</t>
  </si>
  <si>
    <t>S9005</t>
  </si>
  <si>
    <t>Google Inc.</t>
  </si>
  <si>
    <t>S9031</t>
  </si>
  <si>
    <t>S9102</t>
  </si>
  <si>
    <t>Granite Construction Company</t>
  </si>
  <si>
    <t>S9087</t>
  </si>
  <si>
    <t>Grimmway Enterprises  Inc.</t>
  </si>
  <si>
    <t>S9088</t>
  </si>
  <si>
    <t>S9091</t>
  </si>
  <si>
    <t>Grimmway Enterprises Inc.</t>
  </si>
  <si>
    <t>S9014</t>
  </si>
  <si>
    <t>Grundfos Pumps</t>
  </si>
  <si>
    <t>S0182</t>
  </si>
  <si>
    <t>Harbor College  LACCD</t>
  </si>
  <si>
    <t>S9037</t>
  </si>
  <si>
    <t>Health Plan Inc. Kaiser Foundation</t>
  </si>
  <si>
    <t>S9049</t>
  </si>
  <si>
    <t>S0380</t>
  </si>
  <si>
    <t>S9003</t>
  </si>
  <si>
    <t>Hewlett Packard</t>
  </si>
  <si>
    <t>S0391</t>
  </si>
  <si>
    <t>Hunter Industries</t>
  </si>
  <si>
    <t>S9300</t>
  </si>
  <si>
    <t>Ignite Solar LLC_(Achomawi)</t>
  </si>
  <si>
    <t>S9301</t>
  </si>
  <si>
    <t>Ignite Solar LLC_(Ahjumawi)</t>
  </si>
  <si>
    <t>S9195</t>
  </si>
  <si>
    <t>Ignite Solar LLC_(Alkali Gardner A)</t>
  </si>
  <si>
    <t>S9196</t>
  </si>
  <si>
    <t>Ignite Solar LLC_(Merced Ave A)</t>
  </si>
  <si>
    <t>S9197</t>
  </si>
  <si>
    <t>Ignite Solar LLC_(Merced Ave B)</t>
  </si>
  <si>
    <t>S9198</t>
  </si>
  <si>
    <t>Ignite Solar LLC_(Merced Ave C)</t>
  </si>
  <si>
    <t>S9320</t>
  </si>
  <si>
    <t>ImModo California 1 LLC_(Alta 1)</t>
  </si>
  <si>
    <t>S9321</t>
  </si>
  <si>
    <t>ImModo California 1 LLC_(Alta 3)</t>
  </si>
  <si>
    <t>S9322</t>
  </si>
  <si>
    <t>ImModo California 1 LLC_(Alta 4)</t>
  </si>
  <si>
    <t>S9323</t>
  </si>
  <si>
    <t>ImModo California 1 LLC_(Alta 5)</t>
  </si>
  <si>
    <t>S9324</t>
  </si>
  <si>
    <t>ImModo California 1 LLC_(Alta 6)</t>
  </si>
  <si>
    <t>S9325</t>
  </si>
  <si>
    <t>ImModo California 1 LLC_(East Orosi 1)</t>
  </si>
  <si>
    <t>S9326</t>
  </si>
  <si>
    <t>ImModo California 1 LLC_(East Orosi 2)</t>
  </si>
  <si>
    <t>S9327</t>
  </si>
  <si>
    <t>ImModo California 1 LLC_(East Orosi 3)</t>
  </si>
  <si>
    <t>S0392</t>
  </si>
  <si>
    <t>S0357</t>
  </si>
  <si>
    <t>Ironwood State Prison II</t>
  </si>
  <si>
    <t>S9203</t>
  </si>
  <si>
    <t>Josh Energy  LLC</t>
  </si>
  <si>
    <t>S9227</t>
  </si>
  <si>
    <t>JRam Solar 1  LLC</t>
  </si>
  <si>
    <t>S9228</t>
  </si>
  <si>
    <t>JRam Solar 2  LLC</t>
  </si>
  <si>
    <t>S9229</t>
  </si>
  <si>
    <t>JRam Solar 3  LLC</t>
  </si>
  <si>
    <t>S9193</t>
  </si>
  <si>
    <t>KDW Solar 1  LLC  (KDW Solar 1 )</t>
  </si>
  <si>
    <t>S9230</t>
  </si>
  <si>
    <t>Kell Solar 1  LLC</t>
  </si>
  <si>
    <t>S9231</t>
  </si>
  <si>
    <t>Kell Solar 2  LLC</t>
  </si>
  <si>
    <t>S9204</t>
  </si>
  <si>
    <t>Kern River (Bena B)</t>
  </si>
  <si>
    <t>S0183</t>
  </si>
  <si>
    <t>LA County MTA/Metro</t>
  </si>
  <si>
    <t>S0388</t>
  </si>
  <si>
    <t>Ladera Ranch I</t>
  </si>
  <si>
    <t>S9232</t>
  </si>
  <si>
    <t>Lancaster Del Sur Ranch C2 LLC</t>
  </si>
  <si>
    <t>S9406</t>
  </si>
  <si>
    <t>LanEast Solar PV LLC</t>
  </si>
  <si>
    <t>S0219</t>
  </si>
  <si>
    <t>LAPC Carport Shade Structures (Los Angeles Pierce College)</t>
  </si>
  <si>
    <t>S9235</t>
  </si>
  <si>
    <t>Leolani Solar 1  LLC</t>
  </si>
  <si>
    <t>S9236</t>
  </si>
  <si>
    <t>Leolani Solar 2  LLC</t>
  </si>
  <si>
    <t>S9268</t>
  </si>
  <si>
    <t>Lincoln Solar Millenium Fund LLC_(Lincoln Solar #A)</t>
  </si>
  <si>
    <t>S9269</t>
  </si>
  <si>
    <t>Lincoln Solar Millenium Fund LLC_(Lincoln Solar #B)</t>
  </si>
  <si>
    <t>S9270</t>
  </si>
  <si>
    <t>Lincoln Solar Millenium Fund LLC_(Nicholas Solar #C)</t>
  </si>
  <si>
    <t>S9237</t>
  </si>
  <si>
    <t>Lola Energy 1  LLC</t>
  </si>
  <si>
    <t>S9238</t>
  </si>
  <si>
    <t>Lola Energy 2  LLC</t>
  </si>
  <si>
    <t>S9153</t>
  </si>
  <si>
    <t>Loma Linda VA Health Care System</t>
  </si>
  <si>
    <t>S9032</t>
  </si>
  <si>
    <t>Lomo Cold Storage LLC</t>
  </si>
  <si>
    <t>S9158</t>
  </si>
  <si>
    <t>Los Angeles Community College District</t>
  </si>
  <si>
    <t>S9053</t>
  </si>
  <si>
    <t>Los Gatos Tomato Products</t>
  </si>
  <si>
    <t>S9059</t>
  </si>
  <si>
    <t>Madera Community Hospital</t>
  </si>
  <si>
    <t>S9009</t>
  </si>
  <si>
    <t>Mariani Packing Co. Inc.</t>
  </si>
  <si>
    <t>S0385</t>
  </si>
  <si>
    <t>S9068</t>
  </si>
  <si>
    <t>Market &amp; Second Inc/Real Energy</t>
  </si>
  <si>
    <t>S9034</t>
  </si>
  <si>
    <t>Maxco Supply Inc.</t>
  </si>
  <si>
    <t>S9132</t>
  </si>
  <si>
    <t>Mid Valley Dairy</t>
  </si>
  <si>
    <t>S9205</t>
  </si>
  <si>
    <t>MJ Power  LLC</t>
  </si>
  <si>
    <t>S9114</t>
  </si>
  <si>
    <t>MTA</t>
  </si>
  <si>
    <t>S9023</t>
  </si>
  <si>
    <t>Napa Valley College</t>
  </si>
  <si>
    <t>S9278</t>
  </si>
  <si>
    <t>S0297</t>
  </si>
  <si>
    <t>Naval Air Weapons Station China Lake</t>
  </si>
  <si>
    <t>S9128</t>
  </si>
  <si>
    <t>Network Appliance</t>
  </si>
  <si>
    <t>S9069</t>
  </si>
  <si>
    <t>Network Appliance/Chevron Energy Solutions</t>
  </si>
  <si>
    <t>S9107</t>
  </si>
  <si>
    <t>Nilsen Farms</t>
  </si>
  <si>
    <t>S9239</t>
  </si>
  <si>
    <t>Niner Energy 1 LLC</t>
  </si>
  <si>
    <t>S9240</t>
  </si>
  <si>
    <t>Niner Energy 2 LLC</t>
  </si>
  <si>
    <t>S9241</t>
  </si>
  <si>
    <t>Niner Energy 3 LLC</t>
  </si>
  <si>
    <t>S0358</t>
  </si>
  <si>
    <t>North Kern State Prison</t>
  </si>
  <si>
    <t>S0359</t>
  </si>
  <si>
    <t>North Kern State Prison II</t>
  </si>
  <si>
    <t>S9100</t>
  </si>
  <si>
    <t>Norvartis Pharmaceuticals Corp</t>
  </si>
  <si>
    <t>S9156</t>
  </si>
  <si>
    <t>Occidental College Solar Project</t>
  </si>
  <si>
    <t>S9081</t>
  </si>
  <si>
    <t>Ohlone Community College District</t>
  </si>
  <si>
    <t>S9126</t>
  </si>
  <si>
    <t>Olam West Coast</t>
  </si>
  <si>
    <t>S0386</t>
  </si>
  <si>
    <t>S9133</t>
  </si>
  <si>
    <t>Oro Loma Sanitary District</t>
  </si>
  <si>
    <t>S9280</t>
  </si>
  <si>
    <t>S0393</t>
  </si>
  <si>
    <t>Pacific Station</t>
  </si>
  <si>
    <t>S0363</t>
  </si>
  <si>
    <t>Palm Springs SD - Cathedral City HS</t>
  </si>
  <si>
    <t>S0365</t>
  </si>
  <si>
    <t>Palm Springs SD - Palm Springs HS</t>
  </si>
  <si>
    <t>S0367</t>
  </si>
  <si>
    <t>Palm Springs SD - Rancho Mirage HS</t>
  </si>
  <si>
    <t>S9011</t>
  </si>
  <si>
    <t>Paramount Farms Inc.</t>
  </si>
  <si>
    <t>S0361</t>
  </si>
  <si>
    <t>Patton State Hospital II </t>
  </si>
  <si>
    <t>S9043</t>
  </si>
  <si>
    <t>Peralta Community College Dist</t>
  </si>
  <si>
    <t>S9307</t>
  </si>
  <si>
    <t>Petaluma Solar Millennium Fund LLC_(Petaluma Solar #1101)</t>
  </si>
  <si>
    <t>S9308</t>
  </si>
  <si>
    <t>Petaluma Solar Millennium Fund LLC_(Petaluma Solar #1102)</t>
  </si>
  <si>
    <t>S0181</t>
  </si>
  <si>
    <t>Pierce College LACCD</t>
  </si>
  <si>
    <t>S0349</t>
  </si>
  <si>
    <t>Pleasant Valley State Prison</t>
  </si>
  <si>
    <t>S9070</t>
  </si>
  <si>
    <t>Pokka Bottling</t>
  </si>
  <si>
    <t>S0142</t>
  </si>
  <si>
    <t>Port of Los Angeles Berth 93</t>
  </si>
  <si>
    <t>S9030</t>
  </si>
  <si>
    <t>Port of Oakland</t>
  </si>
  <si>
    <t>S9019</t>
  </si>
  <si>
    <t>Power Agency Northern CA</t>
  </si>
  <si>
    <t>S9051</t>
  </si>
  <si>
    <t>Power Agency Northern California</t>
  </si>
  <si>
    <t>S9281</t>
  </si>
  <si>
    <t>S9044</t>
  </si>
  <si>
    <t>Primex Farms LLC</t>
  </si>
  <si>
    <t>S9317</t>
  </si>
  <si>
    <t>Pristine Sun Fund 5 LLC_(2020_Rolf)</t>
  </si>
  <si>
    <t>S9312</t>
  </si>
  <si>
    <t>Pristine Sun Fund 5 LLC_(2021_Doran)</t>
  </si>
  <si>
    <t>S9315</t>
  </si>
  <si>
    <t>Pristine Sun Fund 5 LLC_(2039_Flournoy)</t>
  </si>
  <si>
    <t>S9313</t>
  </si>
  <si>
    <t>Pristine Sun Fund 5 LLC_(2040_Alvares)</t>
  </si>
  <si>
    <t>S9314</t>
  </si>
  <si>
    <t>Pristine Sun Fund 5 LLC_(2119_Lvvorn)</t>
  </si>
  <si>
    <t>S9186</t>
  </si>
  <si>
    <t>Pristine Sun Fund 6 Butte PGE LLC_(2129_Ballard)</t>
  </si>
  <si>
    <t>S9298</t>
  </si>
  <si>
    <t>Pristine Sun Fund 7 San Luis Obispo PGE LLC_(2050_Gomez)</t>
  </si>
  <si>
    <t>S9293</t>
  </si>
  <si>
    <t>Pristine Sun Fund 7 San Luis Obispo PGE LLC_(2052_Cossa)</t>
  </si>
  <si>
    <t>S9299</t>
  </si>
  <si>
    <t>Pristine Sun Fund 7 San Luis Obispo PGE LLC_(2053_Pisciotta)</t>
  </si>
  <si>
    <t>S9295</t>
  </si>
  <si>
    <t>Pristine Sun Fund 7 San Luis Obispo PGE LLC_(2163_Bray)</t>
  </si>
  <si>
    <t>S0368</t>
  </si>
  <si>
    <t>Procter &amp; Gamble - Oxnard</t>
  </si>
  <si>
    <t>S9206</t>
  </si>
  <si>
    <t>Rachel Energy  LLC</t>
  </si>
  <si>
    <t>S0446</t>
  </si>
  <si>
    <t>S0220</t>
  </si>
  <si>
    <t>RE Mohican</t>
  </si>
  <si>
    <t>S0222</t>
  </si>
  <si>
    <t>RE North Face</t>
  </si>
  <si>
    <t>S9007</t>
  </si>
  <si>
    <t>Rice Mill Inc. Far West</t>
  </si>
  <si>
    <t>S9242</t>
  </si>
  <si>
    <t>Rodeo Solar A2 LLC</t>
  </si>
  <si>
    <t>S9243</t>
  </si>
  <si>
    <t>Rodeo Solar B2 LLC</t>
  </si>
  <si>
    <t>S9120</t>
  </si>
  <si>
    <t>Roplast Industries Inc.</t>
  </si>
  <si>
    <t>S9407</t>
  </si>
  <si>
    <t>Rugged Solar LLC</t>
  </si>
  <si>
    <t>S9000</t>
  </si>
  <si>
    <t>Ruiz Foods</t>
  </si>
  <si>
    <t>S9071</t>
  </si>
  <si>
    <t>Salinas Valley Memorial Hospital</t>
  </si>
  <si>
    <t>S0378</t>
  </si>
  <si>
    <t>San Diego - Alta Rd. EMDF Canopy</t>
  </si>
  <si>
    <t>S9119</t>
  </si>
  <si>
    <t>San Francisco State University</t>
  </si>
  <si>
    <t>S9127</t>
  </si>
  <si>
    <t>San Jose Evergreen Community College</t>
  </si>
  <si>
    <t>S9054</t>
  </si>
  <si>
    <t>San Miguel Winery</t>
  </si>
  <si>
    <t>S0394</t>
  </si>
  <si>
    <t>S0379</t>
  </si>
  <si>
    <t>SCE - Corona</t>
  </si>
  <si>
    <t>S0371</t>
  </si>
  <si>
    <t>SCE - Isis</t>
  </si>
  <si>
    <t>S0395</t>
  </si>
  <si>
    <t>S9155</t>
  </si>
  <si>
    <t>Sepulveda Ambulatory Care Center</t>
  </si>
  <si>
    <t>S9207</t>
  </si>
  <si>
    <t>Sequoia (Bena C)</t>
  </si>
  <si>
    <t>S0516</t>
  </si>
  <si>
    <t>Sequoia PV1</t>
  </si>
  <si>
    <t>S0517</t>
  </si>
  <si>
    <t>Sequoia PV2</t>
  </si>
  <si>
    <t>S0518</t>
  </si>
  <si>
    <t>Sequoia PV3</t>
  </si>
  <si>
    <t>Services  Inc. #345 Ikea Distribution</t>
  </si>
  <si>
    <t>S9002</t>
  </si>
  <si>
    <t>Shasta College</t>
  </si>
  <si>
    <t>S0160</t>
  </si>
  <si>
    <t>Sierra Nevada Brewing Solar</t>
  </si>
  <si>
    <t>S0351</t>
  </si>
  <si>
    <t>S0352</t>
  </si>
  <si>
    <t>Snowline - White Road (South)</t>
  </si>
  <si>
    <t>S0374</t>
  </si>
  <si>
    <t>Soledad</t>
  </si>
  <si>
    <t>S0360</t>
  </si>
  <si>
    <t>SolFocus - Victor Valley Community College</t>
  </si>
  <si>
    <t>S0399</t>
  </si>
  <si>
    <t>Southwestern Community College</t>
  </si>
  <si>
    <t>S9151</t>
  </si>
  <si>
    <t>Spansion LLC</t>
  </si>
  <si>
    <t>S0366</t>
  </si>
  <si>
    <t>Staples - La Mirada</t>
  </si>
  <si>
    <t>S9129</t>
  </si>
  <si>
    <t>Stocker Resources/ Plains Exploration &amp; Production Company</t>
  </si>
  <si>
    <t>S0405</t>
  </si>
  <si>
    <t>Strata Roof 1</t>
  </si>
  <si>
    <t>S9247</t>
  </si>
  <si>
    <t>S9248</t>
  </si>
  <si>
    <t>S9249</t>
  </si>
  <si>
    <t>S9250</t>
  </si>
  <si>
    <t>S9252</t>
  </si>
  <si>
    <t>Summer Solar F2 LLC</t>
  </si>
  <si>
    <t>S9253</t>
  </si>
  <si>
    <t>Summer Solar G2 LLC</t>
  </si>
  <si>
    <t>S9254</t>
  </si>
  <si>
    <t>Summer Solar H2 LLC</t>
  </si>
  <si>
    <t>S9108</t>
  </si>
  <si>
    <t>Superior Packing Co.</t>
  </si>
  <si>
    <t>S0416</t>
  </si>
  <si>
    <t>Tahquitz High School</t>
  </si>
  <si>
    <t>S9209</t>
  </si>
  <si>
    <t>Tehachapi (Oswell B)</t>
  </si>
  <si>
    <t>S9020</t>
  </si>
  <si>
    <t>The Gap Inc</t>
  </si>
  <si>
    <t>S9408</t>
  </si>
  <si>
    <t>Tierra Del Sol Solar Farm LLC</t>
  </si>
  <si>
    <t>S9022</t>
  </si>
  <si>
    <t>Tony's Fine Foods</t>
  </si>
  <si>
    <t>S9282</t>
  </si>
  <si>
    <t>Toro Power 1  LLC</t>
  </si>
  <si>
    <t>S9284</t>
  </si>
  <si>
    <t>Toro Power 2  LLC</t>
  </si>
  <si>
    <t>S0396</t>
  </si>
  <si>
    <t>Towers at Bressi Ranch</t>
  </si>
  <si>
    <t>S9257</t>
  </si>
  <si>
    <t>TUUSO Energy  LLC</t>
  </si>
  <si>
    <t>S9109</t>
  </si>
  <si>
    <t>U.S. Coast Guard</t>
  </si>
  <si>
    <t>S9029</t>
  </si>
  <si>
    <t>UC Merced</t>
  </si>
  <si>
    <t>S0129</t>
  </si>
  <si>
    <t>UCSD Solar PV System</t>
  </si>
  <si>
    <t>S9041</t>
  </si>
  <si>
    <t>Unified School District Morgan Hill</t>
  </si>
  <si>
    <t>S9258</t>
  </si>
  <si>
    <t>United States Department of Agriculture  Forest Service</t>
  </si>
  <si>
    <t>S9138</t>
  </si>
  <si>
    <t>University of San Francisco</t>
  </si>
  <si>
    <t>Orange</t>
  </si>
  <si>
    <t>S0400</t>
  </si>
  <si>
    <t>USMC Maintenance Officer</t>
  </si>
  <si>
    <t>S9159</t>
  </si>
  <si>
    <t>VA Speulveda Ambulatory Care Center</t>
  </si>
  <si>
    <t>S9304</t>
  </si>
  <si>
    <t>Vaca Solar Millenium Fund LLC (Vaca Solar #100)</t>
  </si>
  <si>
    <t>S9115</t>
  </si>
  <si>
    <t>Vallejo Sanitation and Flood Control District</t>
  </si>
  <si>
    <t>S9080</t>
  </si>
  <si>
    <t>Vaquero Energy Inc.</t>
  </si>
  <si>
    <t>S9285</t>
  </si>
  <si>
    <t>S0419</t>
  </si>
  <si>
    <t>S0420</t>
  </si>
  <si>
    <t>S0364</t>
  </si>
  <si>
    <t>Walgreens - Moreno Valley</t>
  </si>
  <si>
    <t>S9084</t>
  </si>
  <si>
    <t>Wal-Mart</t>
  </si>
  <si>
    <t>S9018</t>
  </si>
  <si>
    <t>Warmer Packing LLC</t>
  </si>
  <si>
    <t>S9093</t>
  </si>
  <si>
    <t>Wastewater District West County</t>
  </si>
  <si>
    <t>S9143</t>
  </si>
  <si>
    <t>Wawona Frozen Foods / Alluvial Project</t>
  </si>
  <si>
    <t>S9144</t>
  </si>
  <si>
    <t>Wawona Frozen Foods / Cedar Project</t>
  </si>
  <si>
    <t>S9154</t>
  </si>
  <si>
    <t>West Los Angeles VA Health Care System</t>
  </si>
  <si>
    <t>S9058</t>
  </si>
  <si>
    <t>West Valley Mission Community College</t>
  </si>
  <si>
    <t>S9263</t>
  </si>
  <si>
    <t>S0397</t>
  </si>
  <si>
    <t>Wilco Investments</t>
  </si>
  <si>
    <t>S9040</t>
  </si>
  <si>
    <t>Wines US Inc. Constellation</t>
  </si>
  <si>
    <t>S0398</t>
  </si>
  <si>
    <t>S0115</t>
  </si>
  <si>
    <t>Yolo County Solar Project</t>
  </si>
  <si>
    <t>S9078</t>
  </si>
  <si>
    <t>Yuba College</t>
  </si>
  <si>
    <t>SDG&amp;E RAM</t>
  </si>
  <si>
    <t>63219A</t>
  </si>
  <si>
    <t>MEA</t>
  </si>
  <si>
    <t>60936A</t>
  </si>
  <si>
    <t>63123C</t>
  </si>
  <si>
    <t>63130C</t>
  </si>
  <si>
    <t>63131C</t>
  </si>
  <si>
    <t>62818A</t>
  </si>
  <si>
    <t>63059C</t>
  </si>
  <si>
    <t>61270A</t>
  </si>
  <si>
    <t>61269A</t>
  </si>
  <si>
    <t>61314C</t>
  </si>
  <si>
    <t>61369C</t>
  </si>
  <si>
    <t>62879C</t>
  </si>
  <si>
    <t>Springbok Solar Farm 3</t>
  </si>
  <si>
    <t>61825A</t>
  </si>
  <si>
    <t>63108C</t>
  </si>
  <si>
    <t>SCAPPA</t>
  </si>
  <si>
    <t>Tulare Solar 2</t>
  </si>
  <si>
    <t>Tulare Solar 1</t>
  </si>
  <si>
    <t>Nicolis, LLC</t>
  </si>
  <si>
    <t>62418C</t>
  </si>
  <si>
    <t>10017 RGA2 Solar</t>
  </si>
  <si>
    <t>California PV Energy</t>
  </si>
  <si>
    <t>63155A</t>
  </si>
  <si>
    <t>Diamond Ranch HS</t>
  </si>
  <si>
    <t>63104A</t>
  </si>
  <si>
    <t>Enterprise Solar</t>
  </si>
  <si>
    <t>63329A</t>
  </si>
  <si>
    <t>RE Mustang</t>
  </si>
  <si>
    <t>RE Mustang 3</t>
  </si>
  <si>
    <t>RE Mustang 4</t>
  </si>
  <si>
    <t>61261A</t>
  </si>
  <si>
    <t>62862A</t>
  </si>
  <si>
    <t>62863A</t>
  </si>
  <si>
    <t>RE Mustang LLC</t>
  </si>
  <si>
    <t>RE Mustang 3 LLC</t>
  </si>
  <si>
    <t>RE Mustang 4 LLC</t>
  </si>
  <si>
    <t>415-675-1500</t>
  </si>
  <si>
    <t>RE Tranquillity</t>
  </si>
  <si>
    <t>Saddleback Valley USD - El Toro HS at Lake Forrest</t>
  </si>
  <si>
    <t>63204A</t>
  </si>
  <si>
    <t>Summer Solar</t>
  </si>
  <si>
    <t>61501A</t>
  </si>
  <si>
    <t>University of Californa Mesa</t>
  </si>
  <si>
    <t>University of California Social Sciences</t>
  </si>
  <si>
    <t>63296A</t>
  </si>
  <si>
    <t>63294A</t>
  </si>
  <si>
    <t>561-604-6039</t>
  </si>
  <si>
    <t>DG Irvine Solar 1, LLC</t>
  </si>
  <si>
    <t xml:space="preserve">Augustine Band of Cahuilla Indians of the Coachella Valley </t>
  </si>
  <si>
    <t>California Flats North</t>
  </si>
  <si>
    <t>62873C</t>
  </si>
  <si>
    <t>Apple</t>
  </si>
  <si>
    <t>PPA with Apple</t>
  </si>
  <si>
    <t>Sustainable Power Group, LLC</t>
  </si>
  <si>
    <t>Apple Campus 2 Fuel Cell</t>
  </si>
  <si>
    <t>Fuel cell - On site only</t>
  </si>
  <si>
    <t>Golden Springs Building L</t>
  </si>
  <si>
    <t>Golden Springs Building F</t>
  </si>
  <si>
    <t>CED Avenal</t>
  </si>
  <si>
    <t>SR Solis Rocket, LLC</t>
  </si>
  <si>
    <t>62840C</t>
  </si>
  <si>
    <t>CED Ducor 1</t>
  </si>
  <si>
    <t>CED Ducor 2</t>
  </si>
  <si>
    <t>CED Ducor 3</t>
  </si>
  <si>
    <t>CED Ducor 4</t>
  </si>
  <si>
    <t>62884C</t>
  </si>
  <si>
    <t>62882C</t>
  </si>
  <si>
    <t>62883C</t>
  </si>
  <si>
    <t>62881C</t>
  </si>
  <si>
    <t>Golden Springs Development Company LLC</t>
  </si>
  <si>
    <t>Dulles</t>
  </si>
  <si>
    <t>63030C</t>
  </si>
  <si>
    <t>Midway Solar Farm II</t>
  </si>
  <si>
    <t>96WI 8ME, LLC</t>
  </si>
  <si>
    <t>63016C</t>
  </si>
  <si>
    <t>415-814-5253</t>
  </si>
  <si>
    <t>Ecos Energy LLC</t>
  </si>
  <si>
    <t>Munro Valley Solar AKA Owens Valley Solar Project</t>
  </si>
  <si>
    <t>63212C
63211C</t>
  </si>
  <si>
    <t>775-852-8826</t>
  </si>
  <si>
    <t>Inyo</t>
  </si>
  <si>
    <t>North Lancaster Ranch</t>
  </si>
  <si>
    <t>61538C</t>
  </si>
  <si>
    <t>415.692.7575</t>
  </si>
  <si>
    <t>Azusa,  Colton,  Riverside</t>
  </si>
  <si>
    <t xml:space="preserve">Azusa,   Pasadena,   Riverside </t>
  </si>
  <si>
    <t>Azusa, Pasadena and Riverside</t>
  </si>
  <si>
    <t>RE Astoria</t>
  </si>
  <si>
    <t>Azusa, Colton, 
Riverside and Vernon</t>
  </si>
  <si>
    <t>CED Oro Loma</t>
  </si>
  <si>
    <t>61835C</t>
  </si>
  <si>
    <t>Portal Ridge Solar C, LLC</t>
  </si>
  <si>
    <t>61684C</t>
  </si>
  <si>
    <t>415-935-2519</t>
  </si>
  <si>
    <t>RE Astoria 2</t>
  </si>
  <si>
    <t>62284C</t>
  </si>
  <si>
    <t>62691C</t>
  </si>
  <si>
    <t>Garland Solar</t>
  </si>
  <si>
    <t>63SU 8me, LLC</t>
  </si>
  <si>
    <t>Tropico Solar PV Plant</t>
  </si>
  <si>
    <t>US-TOPCO (Soccer Center)</t>
  </si>
  <si>
    <t>SolarCity Corporation</t>
  </si>
  <si>
    <t>Longboat Solar</t>
  </si>
  <si>
    <t>Longboat Solar, LLC</t>
  </si>
  <si>
    <t>3-Phases</t>
  </si>
  <si>
    <t>partial short-term</t>
  </si>
  <si>
    <t>ROSEVILLE, MID, 3-phases (ST)</t>
  </si>
  <si>
    <t>Confidential (LT)</t>
  </si>
  <si>
    <t>Double A Dairy Digester</t>
  </si>
  <si>
    <t>Iberdrola Renewables, LLC</t>
  </si>
  <si>
    <t>Contracted Procurement
(GWh)</t>
  </si>
  <si>
    <t>Contract Expiration Date</t>
  </si>
  <si>
    <t>Confidential - LT</t>
  </si>
  <si>
    <t>Falls Creek Hydroelectric Project, LP.</t>
  </si>
  <si>
    <t>CNE</t>
  </si>
  <si>
    <t>Arrowrock Hydro Electric</t>
  </si>
  <si>
    <t>Power County Wind Park - North</t>
  </si>
  <si>
    <t>Power County Wind Park - South</t>
  </si>
  <si>
    <t>Kittitas Valley Wind Farm</t>
  </si>
  <si>
    <t>Expected 252 GWh/y</t>
  </si>
  <si>
    <t>Confidential</t>
  </si>
  <si>
    <t>Roosevelt Biogas</t>
  </si>
  <si>
    <t>SCPPA (LADWP GLENDALE and Burbank); Anaheim; Truckee</t>
  </si>
  <si>
    <t>30 GWh/y</t>
  </si>
  <si>
    <t>440 GWh/y</t>
  </si>
  <si>
    <t>Kettle Falls Biomass (Avista)</t>
  </si>
  <si>
    <t>Dokie</t>
  </si>
  <si>
    <t>BC</t>
  </si>
  <si>
    <t>17 GWh/y</t>
  </si>
  <si>
    <t xml:space="preserve">Energy America, LLC </t>
  </si>
  <si>
    <t>Solar City</t>
  </si>
  <si>
    <t>Solar</t>
  </si>
  <si>
    <t>Various</t>
  </si>
  <si>
    <t>Luning Solar Plant</t>
  </si>
  <si>
    <t>CalPECO</t>
  </si>
  <si>
    <t>NV Energy</t>
  </si>
  <si>
    <t>60674A, 60675A, 60676A, 60677A, 60664A</t>
  </si>
  <si>
    <t>Noble</t>
  </si>
  <si>
    <t>Ashton</t>
  </si>
  <si>
    <t>Pacificor - CA</t>
  </si>
  <si>
    <t>Big Fork</t>
  </si>
  <si>
    <t>Blundell</t>
  </si>
  <si>
    <t>Clearwater 1 and 2</t>
  </si>
  <si>
    <t>Fish Creek</t>
  </si>
  <si>
    <t>Foote Creek</t>
  </si>
  <si>
    <t>WY</t>
  </si>
  <si>
    <t>Oneida</t>
  </si>
  <si>
    <t>Pioneer</t>
  </si>
  <si>
    <t>Bogus Creek - Lower Cold Springs</t>
  </si>
  <si>
    <t>Bogus Creek - Upper Cold Springs</t>
  </si>
  <si>
    <t>Pacificor CA</t>
  </si>
  <si>
    <t>Rock River</t>
  </si>
  <si>
    <t>Slide Creek</t>
  </si>
  <si>
    <t>Soda Springs</t>
  </si>
  <si>
    <t>Wolverine</t>
  </si>
  <si>
    <t>12/31/22025</t>
  </si>
  <si>
    <t>ROSEVILLE, MID, Pacificorp-CA (1.5%)</t>
  </si>
  <si>
    <t>Pacificorp 1.5% through 2030 (4.5 GWh/y)</t>
  </si>
  <si>
    <t>Pioneer Wind</t>
  </si>
  <si>
    <t>Latigo</t>
  </si>
  <si>
    <t>Arbuckle Mountain Hydro</t>
  </si>
  <si>
    <t>60194E</t>
  </si>
  <si>
    <t>Charcoal Ravine</t>
  </si>
  <si>
    <t>PG40011</t>
  </si>
  <si>
    <t>60202E</t>
  </si>
  <si>
    <t>Eric And Debbie Wattenburg</t>
  </si>
  <si>
    <t>60209E</t>
  </si>
  <si>
    <t>PG40020</t>
  </si>
  <si>
    <t>PG40139</t>
  </si>
  <si>
    <t>60228A</t>
  </si>
  <si>
    <t>Humboldt Bay MWD</t>
  </si>
  <si>
    <t>James B. Peter</t>
  </si>
  <si>
    <t>PG40016</t>
  </si>
  <si>
    <t>60218E</t>
  </si>
  <si>
    <t>James Crane Hydro</t>
  </si>
  <si>
    <t>PG40062</t>
  </si>
  <si>
    <t>60219E</t>
  </si>
  <si>
    <t>John Neerhout Jr.</t>
  </si>
  <si>
    <t>PG40059</t>
  </si>
  <si>
    <t>60220E</t>
  </si>
  <si>
    <t>Lincoln Metering and Hydroelectric Station</t>
  </si>
  <si>
    <t>PG4128</t>
  </si>
  <si>
    <t>62470A</t>
  </si>
  <si>
    <t>Lofton Ranch</t>
  </si>
  <si>
    <t>PG40038</t>
  </si>
  <si>
    <t>60223E</t>
  </si>
  <si>
    <t>Malacha Hydro L.P.</t>
  </si>
  <si>
    <t>PG40080</t>
  </si>
  <si>
    <t>Schaads Hydro</t>
  </si>
  <si>
    <t>PG40033</t>
  </si>
  <si>
    <t>60238A</t>
  </si>
  <si>
    <t>Scotts Flat Powerhouse</t>
  </si>
  <si>
    <t>SGE Site #1</t>
  </si>
  <si>
    <t>60970A</t>
  </si>
  <si>
    <t>Sierra Green Energy LLC</t>
  </si>
  <si>
    <t>PG4114</t>
  </si>
  <si>
    <t>Snow Mountain Hydro</t>
  </si>
  <si>
    <t>Sutter's Mill</t>
  </si>
  <si>
    <t>Shamrock Utilities, LLC</t>
  </si>
  <si>
    <t>60246E</t>
  </si>
  <si>
    <t>PG40018</t>
  </si>
  <si>
    <t>Swiss America</t>
  </si>
  <si>
    <t>60247E</t>
  </si>
  <si>
    <t>PG40002</t>
  </si>
  <si>
    <t>Swiss American Company</t>
  </si>
  <si>
    <t>Tom Benninghoven</t>
  </si>
  <si>
    <t>PG40003</t>
  </si>
  <si>
    <t>60249E</t>
  </si>
  <si>
    <t>South Sutter Water District</t>
  </si>
  <si>
    <t>Vanjop No. 1</t>
  </si>
  <si>
    <t>Wright Ranch Hydroelectric</t>
  </si>
  <si>
    <t>PG40051</t>
  </si>
  <si>
    <t>60196E</t>
  </si>
  <si>
    <t>Bertha Wright Bertillion</t>
  </si>
  <si>
    <t>PG40086
PG40086
PG40088
PG40087
PG40085</t>
  </si>
  <si>
    <t>PG40131</t>
  </si>
  <si>
    <t>SC44213</t>
  </si>
  <si>
    <t>87RL 8ME LLC</t>
  </si>
  <si>
    <t>PG50020</t>
  </si>
  <si>
    <t>PG5103</t>
  </si>
  <si>
    <t>60946A</t>
  </si>
  <si>
    <t>60945A</t>
  </si>
  <si>
    <t>W805; 60553A</t>
  </si>
  <si>
    <t>60987A; W3978</t>
  </si>
  <si>
    <t>60988A; W3979</t>
  </si>
  <si>
    <t>AB, CAN</t>
  </si>
  <si>
    <t>PG1030</t>
  </si>
  <si>
    <t>60628A</t>
  </si>
  <si>
    <t>PG10015</t>
  </si>
  <si>
    <t>60190A</t>
  </si>
  <si>
    <t>62842A</t>
  </si>
  <si>
    <t>60084A</t>
  </si>
  <si>
    <t>Villa Sorriso Solar AKA Robin Williams Solar Power Gen</t>
  </si>
  <si>
    <t>60085A</t>
  </si>
  <si>
    <t>60488A</t>
  </si>
  <si>
    <t>61069A</t>
  </si>
  <si>
    <t>60639A</t>
  </si>
  <si>
    <t>61617A</t>
  </si>
  <si>
    <t>SKIC Solar 1 (AKA South Kern Solar PV Plant)</t>
  </si>
  <si>
    <t>61344A</t>
  </si>
  <si>
    <t>60096E</t>
  </si>
  <si>
    <t>61517A</t>
  </si>
  <si>
    <t>60094E</t>
  </si>
  <si>
    <t>62045A</t>
  </si>
  <si>
    <t>61467A</t>
  </si>
  <si>
    <t>61468A</t>
  </si>
  <si>
    <t>60095A</t>
  </si>
  <si>
    <t>Redwood 4 Solar Farm</t>
  </si>
  <si>
    <t>54KR 8me LLC</t>
  </si>
  <si>
    <t>63107C</t>
  </si>
  <si>
    <t>PG50079</t>
  </si>
  <si>
    <t>Aspiration Solar G</t>
  </si>
  <si>
    <t>PG50061</t>
  </si>
  <si>
    <t>Bakersfield Industrial 1</t>
  </si>
  <si>
    <t>PG50073</t>
  </si>
  <si>
    <t>Bakersfield 1</t>
  </si>
  <si>
    <t>PG50067</t>
  </si>
  <si>
    <t>Bayshore Solar A</t>
  </si>
  <si>
    <t>Bayshore Solar B</t>
  </si>
  <si>
    <t>Bayshore Solar C</t>
  </si>
  <si>
    <t>Los Angeles County</t>
  </si>
  <si>
    <t>PG50068</t>
  </si>
  <si>
    <t>PG50069</t>
  </si>
  <si>
    <t>PG50070</t>
  </si>
  <si>
    <t>63133C</t>
  </si>
  <si>
    <t>63134C</t>
  </si>
  <si>
    <t>63135C</t>
  </si>
  <si>
    <t>PG50059</t>
  </si>
  <si>
    <t>PG5121</t>
  </si>
  <si>
    <t>PG50049</t>
  </si>
  <si>
    <t>PG5155</t>
  </si>
  <si>
    <t>PG50077</t>
  </si>
  <si>
    <t>61837C</t>
  </si>
  <si>
    <t>62839C</t>
  </si>
  <si>
    <t>San Joaquin 1A</t>
  </si>
  <si>
    <t>San Joaquin 1B</t>
  </si>
  <si>
    <t>PG50072</t>
  </si>
  <si>
    <t>PG50071</t>
  </si>
  <si>
    <t>20</t>
  </si>
  <si>
    <t>61185C</t>
  </si>
  <si>
    <t>Westside Solar</t>
  </si>
  <si>
    <t>Westside Solar, LLC</t>
  </si>
  <si>
    <t>561-267-1079</t>
  </si>
  <si>
    <t>PG50060</t>
  </si>
  <si>
    <t>62893A</t>
  </si>
  <si>
    <t>CSE Arizona Facility</t>
  </si>
  <si>
    <t>62894A</t>
  </si>
  <si>
    <t>Stotz Southern Generation</t>
  </si>
  <si>
    <t>OneEnergy Wind</t>
  </si>
  <si>
    <t>OneEnergy Biomass</t>
  </si>
  <si>
    <t>Clearwater Paper Corporation - #3 and #4</t>
  </si>
  <si>
    <t>SC55781</t>
  </si>
  <si>
    <t>SC55823</t>
  </si>
  <si>
    <t>Mine Water Discharge System</t>
  </si>
  <si>
    <t>Bishop Tungsten Development, LLC</t>
  </si>
  <si>
    <t>SC44202</t>
  </si>
  <si>
    <t>60825A</t>
  </si>
  <si>
    <t>SC55885</t>
  </si>
  <si>
    <t>Certification for 64 MW, Contract for 130 MW.</t>
  </si>
  <si>
    <t>63162C</t>
  </si>
  <si>
    <t>Broadview Energy JN, LLC</t>
  </si>
  <si>
    <t>NM</t>
  </si>
  <si>
    <t>Broadview Energy KW, LLC</t>
  </si>
  <si>
    <t>SC76379</t>
  </si>
  <si>
    <t>SC76368</t>
  </si>
  <si>
    <t>62643C</t>
  </si>
  <si>
    <t>Santa Rosa Hydro</t>
  </si>
  <si>
    <t>SC44352</t>
  </si>
  <si>
    <t>Calleguas MWD (Santa Rosa Hydro)</t>
  </si>
  <si>
    <t>60348A</t>
  </si>
  <si>
    <t>SC44252</t>
  </si>
  <si>
    <t>SC76091</t>
  </si>
  <si>
    <t>SC44225</t>
  </si>
  <si>
    <t>DG Solar Lessee II, LLC - E Philadelphia</t>
  </si>
  <si>
    <t>SC55795</t>
  </si>
  <si>
    <t>60350A</t>
  </si>
  <si>
    <t>Van Horne Turbine Generator</t>
  </si>
  <si>
    <t>Goleta Water District</t>
  </si>
  <si>
    <t>SC44222</t>
  </si>
  <si>
    <t>SC11238</t>
  </si>
  <si>
    <t>SunE Solar XVI Lessor, LLC (Rochester)</t>
  </si>
  <si>
    <t>SunE Rochester</t>
  </si>
  <si>
    <t>SC55791</t>
  </si>
  <si>
    <t>SC33106</t>
  </si>
  <si>
    <t>SC44316</t>
  </si>
  <si>
    <t>60357E</t>
  </si>
  <si>
    <t>Ontario Hydroelectric Station (Station No. 1)</t>
  </si>
  <si>
    <t>Water Facilities Authority</t>
  </si>
  <si>
    <t>SC44150</t>
  </si>
  <si>
    <t>SC76052; SC76452</t>
  </si>
  <si>
    <t>60388A</t>
  </si>
  <si>
    <t>60326E</t>
  </si>
  <si>
    <t>Hi Head Hydro Incorporated</t>
  </si>
  <si>
    <t>SC44004</t>
  </si>
  <si>
    <t>60332E</t>
  </si>
  <si>
    <t>San Bernardino MWD</t>
  </si>
  <si>
    <t>Palm - San Bernardino MWD</t>
  </si>
  <si>
    <t>SC44014</t>
  </si>
  <si>
    <t>400 MWh/y</t>
  </si>
  <si>
    <t>Non-operational</t>
  </si>
  <si>
    <t>60337A</t>
  </si>
  <si>
    <t>Snow Creek Project</t>
  </si>
  <si>
    <t>0.361</t>
  </si>
  <si>
    <t>SC44026</t>
  </si>
  <si>
    <t>60340E</t>
  </si>
  <si>
    <t>Daniel M. Bates, et al.</t>
  </si>
  <si>
    <t>Daniel M. Bates</t>
  </si>
  <si>
    <t>SC44030</t>
  </si>
  <si>
    <t>60342E</t>
  </si>
  <si>
    <t>60356A</t>
  </si>
  <si>
    <t>Monte Vista Water District</t>
  </si>
  <si>
    <t>SC44207</t>
  </si>
  <si>
    <t>62771A</t>
  </si>
  <si>
    <t>Gibraltar Conduit Plant</t>
  </si>
  <si>
    <t>City of Santa Barbara</t>
  </si>
  <si>
    <t>SC44216</t>
  </si>
  <si>
    <t>SC44255</t>
  </si>
  <si>
    <t>SC55283</t>
  </si>
  <si>
    <t>SC55415</t>
  </si>
  <si>
    <t>61362A</t>
  </si>
  <si>
    <t>270 GWh/y</t>
  </si>
  <si>
    <t>61419A</t>
  </si>
  <si>
    <t>USDA Forest Service San Dimas Technology</t>
  </si>
  <si>
    <t>61993A</t>
  </si>
  <si>
    <t>61707A</t>
  </si>
  <si>
    <t>Marinos Ventures LLC</t>
  </si>
  <si>
    <t>SC55740</t>
  </si>
  <si>
    <t>61222A</t>
  </si>
  <si>
    <t>SC55786</t>
  </si>
  <si>
    <t>3 GWh/y</t>
  </si>
  <si>
    <t>SC55787</t>
  </si>
  <si>
    <t>SC76102
SC76103
SC76104</t>
  </si>
  <si>
    <t>SC76355</t>
  </si>
  <si>
    <t>SC76456</t>
  </si>
  <si>
    <t>SC76358</t>
  </si>
  <si>
    <t>SC76397</t>
  </si>
  <si>
    <t>60411A</t>
  </si>
  <si>
    <t>SC5519</t>
  </si>
  <si>
    <t>SC55251</t>
  </si>
  <si>
    <t>62694C</t>
  </si>
  <si>
    <t>Sunray Energy 2, LLC</t>
  </si>
  <si>
    <t>208-639-3232</t>
  </si>
  <si>
    <t>63260C</t>
  </si>
  <si>
    <t>Sunray Energy 3 LLC</t>
  </si>
  <si>
    <t>13.8</t>
  </si>
  <si>
    <t>SC55405</t>
  </si>
  <si>
    <t>63281C</t>
  </si>
  <si>
    <t>RE Tranquillity 8 Azul</t>
  </si>
  <si>
    <t>Fresno County</t>
  </si>
  <si>
    <t>SC55246</t>
  </si>
  <si>
    <t>63322C</t>
  </si>
  <si>
    <t>Mirasol Murrieta 1</t>
  </si>
  <si>
    <t>323-786-3211</t>
  </si>
  <si>
    <t>63323C</t>
  </si>
  <si>
    <t>Mirasol Pomona 1</t>
  </si>
  <si>
    <t>0.5</t>
  </si>
  <si>
    <t>SC55219</t>
  </si>
  <si>
    <t>SC55220</t>
  </si>
  <si>
    <t>62786C</t>
  </si>
  <si>
    <t>El Cabo Wind</t>
  </si>
  <si>
    <t>SC76369</t>
  </si>
  <si>
    <t>SC55888</t>
  </si>
  <si>
    <t>SC55875</t>
  </si>
  <si>
    <t>SC55876</t>
  </si>
  <si>
    <t>SC55874</t>
  </si>
  <si>
    <t>63031C</t>
  </si>
  <si>
    <t>Freeway Springs</t>
  </si>
  <si>
    <t>949-412-4440</t>
  </si>
  <si>
    <t>SC55877</t>
  </si>
  <si>
    <t>SC55878</t>
  </si>
  <si>
    <t>SC55762</t>
  </si>
  <si>
    <t>SC55748</t>
  </si>
  <si>
    <t>SC55834</t>
  </si>
  <si>
    <t>SC55835</t>
  </si>
  <si>
    <t>SC55836</t>
  </si>
  <si>
    <t>SC55837</t>
  </si>
  <si>
    <t>SC55838</t>
  </si>
  <si>
    <t>63057C</t>
  </si>
  <si>
    <t>Jacumba Solar</t>
  </si>
  <si>
    <t>760-846-4421</t>
  </si>
  <si>
    <t>SC55833</t>
  </si>
  <si>
    <t>SC55827</t>
  </si>
  <si>
    <t>SC55828</t>
  </si>
  <si>
    <t>SC55829</t>
  </si>
  <si>
    <t>Portal Ridge Solar B, LLC</t>
  </si>
  <si>
    <t>SC55826</t>
  </si>
  <si>
    <t>63120C</t>
  </si>
  <si>
    <t>Portal Ridge Solar A, LLC.</t>
  </si>
  <si>
    <t>415-935-2512</t>
  </si>
  <si>
    <t>62835C</t>
  </si>
  <si>
    <t>SC55822</t>
  </si>
  <si>
    <t>SC55490</t>
  </si>
  <si>
    <t>SC55485</t>
  </si>
  <si>
    <t>SC55463</t>
  </si>
  <si>
    <t>Mesquite Solar 2</t>
  </si>
  <si>
    <t>SD5064</t>
  </si>
  <si>
    <t>62362C</t>
  </si>
  <si>
    <t>NLP Valley Center Solar, LLC</t>
  </si>
  <si>
    <t>949-398-3915</t>
  </si>
  <si>
    <t>SD5065</t>
  </si>
  <si>
    <t>Midway Solar Farm III</t>
  </si>
  <si>
    <t>SD5077</t>
  </si>
  <si>
    <t>61296C</t>
  </si>
  <si>
    <t>SD5049</t>
  </si>
  <si>
    <t>SD1004; SD1028</t>
  </si>
  <si>
    <t>SD5004</t>
  </si>
  <si>
    <t>SD5050</t>
  </si>
  <si>
    <t>SD5052</t>
  </si>
  <si>
    <t>SD5066</t>
  </si>
  <si>
    <t>SD5067</t>
  </si>
  <si>
    <t>SD5068</t>
  </si>
  <si>
    <t>SD5069</t>
  </si>
  <si>
    <t>SD5070</t>
  </si>
  <si>
    <t>SD5071</t>
  </si>
  <si>
    <t>SD5072</t>
  </si>
  <si>
    <t>SD5073</t>
  </si>
  <si>
    <t>SD5074</t>
  </si>
  <si>
    <t>SD5075</t>
  </si>
  <si>
    <t>SD5076</t>
  </si>
  <si>
    <t>324 GWh/y</t>
  </si>
  <si>
    <t>Avista</t>
  </si>
  <si>
    <t>Kettle Falls</t>
  </si>
  <si>
    <t>SCP</t>
  </si>
  <si>
    <t>Partial</t>
  </si>
  <si>
    <t>2010-2015 Average 
(GWh)</t>
  </si>
  <si>
    <t>60110A</t>
  </si>
  <si>
    <t>CLTN</t>
  </si>
  <si>
    <t>ROSEVILLE, MID, 3-phases (ST);</t>
  </si>
  <si>
    <t>NCPA</t>
  </si>
  <si>
    <t>Roseville purchases output until 2019. After, gets 1%</t>
  </si>
  <si>
    <t>Cape Scott Wind Farm</t>
  </si>
  <si>
    <t>Roseville</t>
  </si>
  <si>
    <t>Fixed quantity</t>
  </si>
  <si>
    <t>Confidential; Roseville</t>
  </si>
  <si>
    <t>61360A</t>
  </si>
  <si>
    <t>60600A</t>
  </si>
  <si>
    <t>Nippon</t>
  </si>
  <si>
    <t>61252A</t>
  </si>
  <si>
    <t>Quality Wind</t>
  </si>
  <si>
    <t>DIRECT ENERGY; Roseville</t>
  </si>
  <si>
    <t>12/31/2022; 12/31/2025</t>
  </si>
  <si>
    <t>Gridley</t>
  </si>
  <si>
    <t>61938A</t>
  </si>
  <si>
    <t>60305A</t>
  </si>
  <si>
    <t>SCPPA/LADWP</t>
  </si>
  <si>
    <t>PWRPA</t>
  </si>
  <si>
    <t>60368A</t>
  </si>
  <si>
    <t>Conergy Solar Project</t>
  </si>
  <si>
    <t>Sutter Landing Solar</t>
  </si>
  <si>
    <t>SMUD in 2017</t>
  </si>
  <si>
    <t>Raley's Distribution Center- A</t>
  </si>
  <si>
    <t>Raley's Distribution Center- B</t>
  </si>
  <si>
    <t>Raley's Distribution Center Ph. 2</t>
  </si>
  <si>
    <t>Los Rios Community College District- Parking Garage</t>
  </si>
  <si>
    <t>62810A</t>
  </si>
  <si>
    <t>Verizon Data Services</t>
  </si>
  <si>
    <t>2015 (GWh)</t>
  </si>
  <si>
    <t>Grady Wind Center</t>
  </si>
  <si>
    <t>63229C</t>
  </si>
  <si>
    <t>SVP</t>
  </si>
  <si>
    <t>Jenny Strand Solar Park</t>
  </si>
  <si>
    <t>62563A</t>
  </si>
  <si>
    <t>CA - Santa Clara - Tasman Parking</t>
  </si>
  <si>
    <t>TID</t>
  </si>
  <si>
    <t>62603A</t>
  </si>
  <si>
    <t>62595A</t>
  </si>
  <si>
    <t>62596A</t>
  </si>
  <si>
    <t>62593A</t>
  </si>
  <si>
    <t>62594A</t>
  </si>
  <si>
    <t>62597A</t>
  </si>
  <si>
    <t>62598A</t>
  </si>
  <si>
    <t>62605A</t>
  </si>
  <si>
    <t>62606A</t>
  </si>
  <si>
    <t>MORENO VALLEY; Vernon</t>
  </si>
  <si>
    <t>Vernon</t>
  </si>
  <si>
    <t>Moapa Solar</t>
  </si>
  <si>
    <t>62019C</t>
  </si>
  <si>
    <t>62047C</t>
  </si>
  <si>
    <t>Cert withdrawn</t>
  </si>
  <si>
    <t>City of Anaheim</t>
  </si>
  <si>
    <t>certification withdrawn</t>
  </si>
  <si>
    <t>Certification not approved</t>
  </si>
  <si>
    <t>62471A</t>
  </si>
  <si>
    <t>No certification</t>
  </si>
  <si>
    <t>60762A</t>
  </si>
  <si>
    <t>61922A</t>
  </si>
  <si>
    <t>60883A</t>
  </si>
  <si>
    <t>Arrache 8083-1</t>
  </si>
  <si>
    <t>Arrache 8083-2</t>
  </si>
  <si>
    <t>Arrache 8083-3</t>
  </si>
  <si>
    <t>61759A</t>
  </si>
  <si>
    <t>61760A</t>
  </si>
  <si>
    <t>61761A</t>
  </si>
  <si>
    <t>SC55523</t>
  </si>
  <si>
    <t>SC55524</t>
  </si>
  <si>
    <t>SC55525</t>
  </si>
  <si>
    <t>60882A</t>
  </si>
  <si>
    <t>certificatin not approved</t>
  </si>
  <si>
    <t>62048C</t>
  </si>
  <si>
    <t>certificatoin not approved</t>
  </si>
  <si>
    <t>62294A</t>
  </si>
  <si>
    <t>61241A</t>
  </si>
  <si>
    <t>61251A</t>
  </si>
  <si>
    <t>61250A</t>
  </si>
  <si>
    <t>certification not approved</t>
  </si>
  <si>
    <t>no certification</t>
  </si>
  <si>
    <t>62049C</t>
  </si>
  <si>
    <t>same as Watts 3115</t>
  </si>
  <si>
    <t>same as Watts 3116</t>
  </si>
  <si>
    <t>60884A</t>
  </si>
  <si>
    <t>S9255
S9256</t>
  </si>
  <si>
    <t>S9259
S9260
S9261</t>
  </si>
  <si>
    <t>61992A</t>
  </si>
  <si>
    <t>62429A</t>
  </si>
  <si>
    <t>60881A</t>
  </si>
  <si>
    <t>no cert</t>
  </si>
  <si>
    <t>Pacific Gas &amp; Electric Company</t>
  </si>
  <si>
    <t>61488A</t>
  </si>
  <si>
    <t>62804A
63110A</t>
  </si>
  <si>
    <t>Duplicate S0300</t>
  </si>
  <si>
    <t>Alvarado Solar</t>
  </si>
  <si>
    <t>62087A</t>
  </si>
  <si>
    <t>Chinatown Public Health</t>
  </si>
  <si>
    <t>SFPUC</t>
  </si>
  <si>
    <t>KSI Solar Whiteman, LLC</t>
  </si>
  <si>
    <t>Sun Edison Solar</t>
  </si>
  <si>
    <t>63210A</t>
  </si>
  <si>
    <t>City Hall - City of Rancho Cucamonga</t>
  </si>
  <si>
    <t>Redding</t>
  </si>
  <si>
    <t>1200 MWh/y; PSDP</t>
  </si>
  <si>
    <t>47 MWh/y; PSDP</t>
  </si>
  <si>
    <t>1794 MWh/y; PSDP</t>
  </si>
  <si>
    <t>1100 MWh/h; PSDP</t>
  </si>
  <si>
    <t>1874 MWh/y; PSDP</t>
  </si>
  <si>
    <t>H0135</t>
  </si>
  <si>
    <t>500 MWh/y; PSDP</t>
  </si>
  <si>
    <t>60255E</t>
  </si>
  <si>
    <t>60635A</t>
  </si>
  <si>
    <t>60636A</t>
  </si>
  <si>
    <t>60674E</t>
  </si>
  <si>
    <t>60886A</t>
  </si>
  <si>
    <t>62370A</t>
  </si>
  <si>
    <t>62323A</t>
  </si>
  <si>
    <t>Amylin Pharmaceuticals</t>
  </si>
  <si>
    <t>61249A</t>
  </si>
  <si>
    <t>Sanford-burnham Medical Research Institute I</t>
  </si>
  <si>
    <t>Cal Expo Parking Solarport</t>
  </si>
  <si>
    <t>60733A</t>
  </si>
  <si>
    <t>Castelanelli Bros Dairy</t>
  </si>
  <si>
    <t>CHASE 4680 SAN FERNANDO</t>
  </si>
  <si>
    <t>62663A</t>
  </si>
  <si>
    <t>Chinatown Library</t>
  </si>
  <si>
    <t>62222A</t>
  </si>
  <si>
    <t>CCSF</t>
  </si>
  <si>
    <t>City Distribution Division</t>
  </si>
  <si>
    <t>62215A</t>
  </si>
  <si>
    <t>CITY OF WATSONVILLE</t>
  </si>
  <si>
    <t>Davies Symphony Hall Solar</t>
  </si>
  <si>
    <t>62769A</t>
  </si>
  <si>
    <t>Downtown High School</t>
  </si>
  <si>
    <t>63215A</t>
  </si>
  <si>
    <t>NR Border Valley Trading</t>
  </si>
  <si>
    <t>NR Cal Almond</t>
  </si>
  <si>
    <t>NR City of Patterson Wastewater #1</t>
  </si>
  <si>
    <t>NR City of Patterson Wastewater #2</t>
  </si>
  <si>
    <t>NR Cortez Growers Inc</t>
  </si>
  <si>
    <t>NR Costco Wholesale</t>
  </si>
  <si>
    <t>NR Cunningham Ranch</t>
  </si>
  <si>
    <t>NR Grower Direct Nut</t>
  </si>
  <si>
    <t>NR Hughson Nut Inc</t>
  </si>
  <si>
    <t>NR Mid-Valley Nut Cold Storage</t>
  </si>
  <si>
    <t>NR Montpelier Orchards</t>
  </si>
  <si>
    <t>NR Northern Merced Hulling-North</t>
  </si>
  <si>
    <t>NR Northern Merced Hulling-South</t>
  </si>
  <si>
    <t>NR Pohl and Holmes Inc</t>
  </si>
  <si>
    <t>NR Roy Johnson Farms</t>
  </si>
  <si>
    <t>NR Spycher Brothers Farms #1</t>
  </si>
  <si>
    <t>NR Spycher Brothers Farms #2</t>
  </si>
  <si>
    <t>NR W.W. Grainger, Inc.</t>
  </si>
  <si>
    <t>NR-Braden Farms, Inc./RMB Hulling, LLC.</t>
  </si>
  <si>
    <t>62608A</t>
  </si>
  <si>
    <t>62600A</t>
  </si>
  <si>
    <t>62609A</t>
  </si>
  <si>
    <t>62599A</t>
  </si>
  <si>
    <t>62604A</t>
  </si>
  <si>
    <t>62607A</t>
  </si>
  <si>
    <t>62601A</t>
  </si>
  <si>
    <t>62602A</t>
  </si>
  <si>
    <t>62773A</t>
  </si>
  <si>
    <t>62782A</t>
  </si>
  <si>
    <t>Glendale Community College- Glen Solar 1</t>
  </si>
  <si>
    <t>62057A</t>
  </si>
  <si>
    <t>Hydro Solar</t>
  </si>
  <si>
    <t>62543A</t>
  </si>
  <si>
    <t>Moscone Center Esplanade A</t>
  </si>
  <si>
    <t>Moscone Center Esplanade B</t>
  </si>
  <si>
    <t>Moscone Center South Lobby</t>
  </si>
  <si>
    <t>62218A</t>
  </si>
  <si>
    <t>62219A</t>
  </si>
  <si>
    <t>62220A</t>
  </si>
  <si>
    <t>San Francisco Public Utilities Commission</t>
  </si>
  <si>
    <t>MTA Ways and Structure Facility 700 Pennsylvania Ave.</t>
  </si>
  <si>
    <t>62770A</t>
  </si>
  <si>
    <t>62217A</t>
  </si>
  <si>
    <t>MTA Woods Bus Facility Muni Woods Motor Coach Facility</t>
  </si>
  <si>
    <t xml:space="preserve">Paul Luckey </t>
  </si>
  <si>
    <t>60782A</t>
  </si>
  <si>
    <t>Pier 96</t>
  </si>
  <si>
    <t>62214A</t>
  </si>
  <si>
    <t>62787A</t>
  </si>
  <si>
    <t>62788A</t>
  </si>
  <si>
    <t>63158A</t>
  </si>
  <si>
    <t>SD Community College District- Skills Center</t>
  </si>
  <si>
    <t>63052A</t>
  </si>
  <si>
    <t>SDG&amp;E-Owned PV System at X-nth</t>
  </si>
  <si>
    <t>TKG Engineering</t>
  </si>
  <si>
    <t>SF Service Center Solar Array 1</t>
  </si>
  <si>
    <t>SF Service Center Solar Array 2</t>
  </si>
  <si>
    <t>SFPUC Southeastern Plant Solar</t>
  </si>
  <si>
    <t>Sirius Solar</t>
  </si>
  <si>
    <t>62221A</t>
  </si>
  <si>
    <t>Maxine Hall Elementary School</t>
  </si>
  <si>
    <t>62518A</t>
  </si>
  <si>
    <t>33R324</t>
  </si>
  <si>
    <t>Pasadena Windsor Resevoir</t>
  </si>
  <si>
    <t>62024A</t>
  </si>
  <si>
    <t>North Point Water Pollution Control Facility</t>
  </si>
  <si>
    <t>62216A</t>
  </si>
  <si>
    <t>TWh RPS Estimate</t>
  </si>
  <si>
    <t>61486C</t>
  </si>
  <si>
    <t>63138C</t>
  </si>
  <si>
    <t>61310A</t>
  </si>
  <si>
    <t>61667A</t>
  </si>
  <si>
    <t>62514A</t>
  </si>
  <si>
    <t>63077A</t>
  </si>
  <si>
    <t>61700A</t>
  </si>
  <si>
    <t>63139C</t>
  </si>
  <si>
    <t>63032C</t>
  </si>
  <si>
    <t>63034C</t>
  </si>
  <si>
    <t>62805C</t>
  </si>
  <si>
    <t>In State Renewables Contracted Annual Generation With COD January 1, 2016, Through December 31, 2016</t>
  </si>
  <si>
    <t>IN-STATE RENEWABLE  (operational with COD prior to 12/31/2016)</t>
  </si>
  <si>
    <t>OUT-OF-STATE RENEWABLE (operational with COD prior to 12/31/2016)</t>
  </si>
  <si>
    <t>Out of State Renewables Contracted  Annual Generation With COD January 1, 2016, Through December 31, 2016</t>
  </si>
  <si>
    <t>CA</t>
  </si>
  <si>
    <t>H0019</t>
  </si>
  <si>
    <t>H0020</t>
  </si>
  <si>
    <t>H0023</t>
  </si>
  <si>
    <t>H0027</t>
  </si>
  <si>
    <t>H0028</t>
  </si>
  <si>
    <t>H0030</t>
  </si>
  <si>
    <t>H0032</t>
  </si>
  <si>
    <t>H0034</t>
  </si>
  <si>
    <t>H0036</t>
  </si>
  <si>
    <t>H0052</t>
  </si>
  <si>
    <t>H0057</t>
  </si>
  <si>
    <t>H0081</t>
  </si>
  <si>
    <t>H0087</t>
  </si>
  <si>
    <t>H0088</t>
  </si>
  <si>
    <t>H0090</t>
  </si>
  <si>
    <t>H0095</t>
  </si>
  <si>
    <t>H0107</t>
  </si>
  <si>
    <t>H0121</t>
  </si>
  <si>
    <t>H0137</t>
  </si>
  <si>
    <t>H0141</t>
  </si>
  <si>
    <t>H0144</t>
  </si>
  <si>
    <t>H0145</t>
  </si>
  <si>
    <t>H0154</t>
  </si>
  <si>
    <t>H0155</t>
  </si>
  <si>
    <t>H0161</t>
  </si>
  <si>
    <t>H0164</t>
  </si>
  <si>
    <t>H0171</t>
  </si>
  <si>
    <t>H0175</t>
  </si>
  <si>
    <t>H0186</t>
  </si>
  <si>
    <t>H0191</t>
  </si>
  <si>
    <t>H0215</t>
  </si>
  <si>
    <t>H0229</t>
  </si>
  <si>
    <t>H0250</t>
  </si>
  <si>
    <t>H0253</t>
  </si>
  <si>
    <t>H0257</t>
  </si>
  <si>
    <t>H0266</t>
  </si>
  <si>
    <t>H0269</t>
  </si>
  <si>
    <t>H0270</t>
  </si>
  <si>
    <t>H0272</t>
  </si>
  <si>
    <t>H0275</t>
  </si>
  <si>
    <t>H0289</t>
  </si>
  <si>
    <t>H0313</t>
  </si>
  <si>
    <t>H0337</t>
  </si>
  <si>
    <t>H0352</t>
  </si>
  <si>
    <t>H0353</t>
  </si>
  <si>
    <t>H0354</t>
  </si>
  <si>
    <t>H0381</t>
  </si>
  <si>
    <t>H0387</t>
  </si>
  <si>
    <t>H0388</t>
  </si>
  <si>
    <t>H0389</t>
  </si>
  <si>
    <t>H0390</t>
  </si>
  <si>
    <t>H0391</t>
  </si>
  <si>
    <t>H0392</t>
  </si>
  <si>
    <t>H0393</t>
  </si>
  <si>
    <t>H0395</t>
  </si>
  <si>
    <t>H0406</t>
  </si>
  <si>
    <t>H0431</t>
  </si>
  <si>
    <t>H0452</t>
  </si>
  <si>
    <t>H0471</t>
  </si>
  <si>
    <t>H0475</t>
  </si>
  <si>
    <t>H0493</t>
  </si>
  <si>
    <t>H0498</t>
  </si>
  <si>
    <t>H0510</t>
  </si>
  <si>
    <t>H0516</t>
  </si>
  <si>
    <t>H0520</t>
  </si>
  <si>
    <t>H0532</t>
  </si>
  <si>
    <t>H0533</t>
  </si>
  <si>
    <t>H0565</t>
  </si>
  <si>
    <t>H0567</t>
  </si>
  <si>
    <t>H0573</t>
  </si>
  <si>
    <t>H0576</t>
  </si>
  <si>
    <t>H0601</t>
  </si>
  <si>
    <t>H0613</t>
  </si>
  <si>
    <t>H0623</t>
  </si>
  <si>
    <t>H0242</t>
  </si>
  <si>
    <t>Year</t>
  </si>
  <si>
    <t>Capacity</t>
  </si>
  <si>
    <t>NetMWh</t>
  </si>
  <si>
    <t>1//2017</t>
  </si>
  <si>
    <t>62662C</t>
  </si>
  <si>
    <t>Mesquite Solar 3</t>
  </si>
  <si>
    <t>62664C</t>
  </si>
  <si>
    <t>62897C</t>
  </si>
  <si>
    <t>60675A</t>
  </si>
  <si>
    <t>60676A</t>
  </si>
  <si>
    <t>60677A</t>
  </si>
  <si>
    <t>60664A</t>
  </si>
  <si>
    <t>Brady</t>
  </si>
  <si>
    <t>Steamboat 3</t>
  </si>
  <si>
    <t>Steamboat 2</t>
  </si>
  <si>
    <t>Beowawe Power, LLC</t>
  </si>
  <si>
    <t>Richard Burdette Geothermal Plant</t>
  </si>
  <si>
    <t>63261C</t>
  </si>
  <si>
    <t>Energia Sierra Juarez Wind Energy Project</t>
  </si>
  <si>
    <t>BA, MX</t>
  </si>
  <si>
    <t>Crescent Dunes Solar Energy Project</t>
  </si>
  <si>
    <t>Ste With Storage</t>
  </si>
  <si>
    <t>2016 Retail sales (excluding pumping and non-participating LSEs</t>
  </si>
  <si>
    <t>Operational Facilities Before the End of the 2016</t>
  </si>
  <si>
    <t>RPS as a Percentage of eligible Retail Sales</t>
  </si>
  <si>
    <t>Average 2010-2015
(GWh)</t>
  </si>
  <si>
    <t xml:space="preserve">Operational </t>
  </si>
  <si>
    <t>Bend</t>
  </si>
  <si>
    <t>Simpson Biomass</t>
  </si>
  <si>
    <t>55607
55608
55609</t>
  </si>
  <si>
    <t>Pavant Solar II LLC</t>
  </si>
  <si>
    <t>Glenrock</t>
  </si>
  <si>
    <t>Goodnoe Hills</t>
  </si>
  <si>
    <t>Pacificor</t>
  </si>
  <si>
    <t>Dunlap</t>
  </si>
  <si>
    <t>Eagle Point</t>
  </si>
  <si>
    <t>Conduit Hydroelectric</t>
  </si>
  <si>
    <t>Granite</t>
  </si>
  <si>
    <t>High Plains</t>
  </si>
  <si>
    <t>Last Chance</t>
  </si>
  <si>
    <t>Marengo</t>
  </si>
  <si>
    <t>Marengo II</t>
  </si>
  <si>
    <t>McFadden Ridge</t>
  </si>
  <si>
    <t>Central Hurburt</t>
  </si>
  <si>
    <t>Notes</t>
  </si>
  <si>
    <t>Olmsted</t>
  </si>
  <si>
    <t>Paris</t>
  </si>
  <si>
    <t>Prospect No. 1</t>
  </si>
  <si>
    <t>Prospect No. 3</t>
  </si>
  <si>
    <t>Prospect No. 4</t>
  </si>
  <si>
    <t>Rolling Hills</t>
  </si>
  <si>
    <t>Seven Mile Hill</t>
  </si>
  <si>
    <t>Seven Mile Hill II</t>
  </si>
  <si>
    <t>Soda</t>
  </si>
  <si>
    <t>St. Anthony Hydro, LLC (LU)</t>
  </si>
  <si>
    <t>Stairs</t>
  </si>
  <si>
    <t>Viva Naughton</t>
  </si>
  <si>
    <t>Wallowa Falls</t>
  </si>
  <si>
    <t>Weber</t>
  </si>
  <si>
    <t>2009-2015 Ave Gen (GWh)</t>
  </si>
  <si>
    <t>TWh RNS</t>
  </si>
  <si>
    <t>Out-of-State Long-Term  Renewable Purchase Claims (Table 1e)</t>
  </si>
  <si>
    <t>2010-2015 QFER Excluding Small Hydro (Table 1b)</t>
  </si>
  <si>
    <t>61665A</t>
  </si>
  <si>
    <t>Solar Star XIII</t>
  </si>
  <si>
    <t>Matthews Dam Hydro</t>
  </si>
  <si>
    <t>Hydro Partners</t>
  </si>
  <si>
    <t>Clover Creek (Mega Hydro #1)</t>
  </si>
  <si>
    <t>Enel Green Power of North America</t>
  </si>
  <si>
    <t>Snow Mountain Hydro, LLC</t>
  </si>
  <si>
    <t>Hydro Sierra Energy LLC</t>
  </si>
  <si>
    <t>Yolo County Flood Control &amp; Water Conservation District (YCFC)</t>
  </si>
  <si>
    <t>Assumed CF</t>
  </si>
  <si>
    <t>http://www.energy.ca.gov/2014publications/CEC-200-2014-003/CEC-200-2014-003-SD.pdf</t>
  </si>
  <si>
    <t>Solar - Photovoltaic</t>
  </si>
  <si>
    <t>Wind - Class 4</t>
  </si>
  <si>
    <t>Staff estimate</t>
  </si>
  <si>
    <t>Dual Flash; Binary</t>
  </si>
  <si>
    <t>Conventional Combined-Cycle (CC)</t>
  </si>
  <si>
    <t>Solar - Parabolic Trough</t>
  </si>
  <si>
    <t xml:space="preserve">RENEWABLES LESS THAN 1 MW (Table 1b.2) </t>
  </si>
  <si>
    <t>QFER In-State Small Hydro Generation (RPS Average 2014 - 2015, RNS Average 2004 – 2015)</t>
  </si>
  <si>
    <t>LADWP - confirmed operational.</t>
  </si>
  <si>
    <t>Whitney Point Solar LLC</t>
  </si>
  <si>
    <t xml:space="preserve"> Power and Water Resources Pooling Authority (11 MW), City of Moreno Valley (4.5 MW), Pittsburg Power Co. (2.5 MW) and Eastside Power Authority (2 MW)</t>
  </si>
  <si>
    <t>Stanford Solar Generating Station</t>
  </si>
  <si>
    <t>Stanford</t>
  </si>
  <si>
    <t>TID Solar Generating Station</t>
  </si>
  <si>
    <t>AKA Golden Fields Solar</t>
  </si>
  <si>
    <t>Operational Renewable Generation For Use in the 
2016 Planning Renewable Net Short
California Energy Commission
Energy Assessment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</si>
</sst>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000"/>
    <numFmt numFmtId="168" formatCode="0.000000"/>
    <numFmt numFmtId="169" formatCode="[$-409]mmm\-yy;@"/>
    <numFmt numFmtId="170" formatCode="#,##0;\(#,##0\)"/>
    <numFmt numFmtId="171" formatCode="&quot;$&quot;#,##0.0;[Red]\-&quot;$&quot;#,##0.0"/>
    <numFmt numFmtId="172" formatCode="#,##0.000\¢;\(#,##0.000\¢\)"/>
    <numFmt numFmtId="173" formatCode="#,##0_);[Red]\(#,##0\);&quot;-&quot;_);@_)"/>
    <numFmt numFmtId="174" formatCode="&quot;$&quot;#,##0_);[Red]\(&quot;$&quot;#,##0\);&quot;-&quot;_);@_)"/>
    <numFmt numFmtId="175" formatCode="_([$€-2]* #,##0.00_);_([$€-2]* \(#,##0.00\);_([$€-2]* &quot;-&quot;??_)"/>
    <numFmt numFmtId="176" formatCode="_-* #,##0.0_-;\-* #,##0.0_-;_-* &quot;-&quot;??_-;_-@_-"/>
    <numFmt numFmtId="177" formatCode="#,##0.00&quot; $&quot;;\-#,##0.00&quot; $&quot;"/>
    <numFmt numFmtId="178" formatCode="[Red][&gt;8760]General;[Black][&lt;=8760]General"/>
    <numFmt numFmtId="179" formatCode="[Red][=1]General;[Black][&lt;&gt;1]General"/>
    <numFmt numFmtId="180" formatCode="_(&quot;N$&quot;* #,##0_);_(&quot;N$&quot;* \(#,##0\);_(&quot;N$&quot;* &quot;-&quot;_);_(@_)"/>
    <numFmt numFmtId="181" formatCode="_(&quot;N$&quot;* #,##0.00_);_(&quot;N$&quot;* \(#,##0.00\);_(&quot;N$&quot;* &quot;-&quot;??_);_(@_)"/>
    <numFmt numFmtId="182" formatCode="#,##0.0000\ ;[Red]\(#,##0.0000\)"/>
    <numFmt numFmtId="183" formatCode="0.0%"/>
    <numFmt numFmtId="184" formatCode="[&lt;0]&quot;&quot;;[Black][&gt;0]\(00.0%\);General"/>
    <numFmt numFmtId="185" formatCode="_-* #,##0_-;\-* #,##0_-;_-* &quot;-&quot;_-;_-@_-"/>
    <numFmt numFmtId="186" formatCode="_-* #,##0.00_-;\-* #,##0.00_-;_-* &quot;-&quot;??_-;_-@_-"/>
    <numFmt numFmtId="187" formatCode="_-&quot;£&quot;* #,##0_-;\-&quot;£&quot;* #,##0_-;_-&quot;£&quot;* &quot;-&quot;_-;_-@_-"/>
    <numFmt numFmtId="188" formatCode="_-&quot;£&quot;* #,##0.00_-;\-&quot;£&quot;* #,##0.00_-;_-&quot;£&quot;* &quot;-&quot;??_-;_-@_-"/>
    <numFmt numFmtId="189" formatCode="#,##0;\-#,##0;&quot;-&quot;"/>
    <numFmt numFmtId="190" formatCode="&quot;$&quot;#,\);\(&quot;$&quot;#,##0\)"/>
    <numFmt numFmtId="191" formatCode="hh:mm"/>
    <numFmt numFmtId="192" formatCode="00000"/>
    <numFmt numFmtId="193" formatCode="#,##0.00;[Red]#,##0.00"/>
    <numFmt numFmtId="194" formatCode="yyyy"/>
    <numFmt numFmtId="195" formatCode="General_)"/>
    <numFmt numFmtId="196" formatCode="&quot;$&quot;#,##0"/>
    <numFmt numFmtId="197" formatCode="_(* #,##0.0_);_(* \(#,##0.0\);_(* &quot;-&quot;??_);_(@_)"/>
    <numFmt numFmtId="198" formatCode="mm/dd/yyyy"/>
    <numFmt numFmtId="199" formatCode="_(* #,##0_);_(* \(#,##0\);_(* &quot;0.0&quot;_);_(@_)"/>
    <numFmt numFmtId="200" formatCode="m\-d\-yy"/>
    <numFmt numFmtId="201" formatCode="0.000_)"/>
    <numFmt numFmtId="202" formatCode="#,##0.00;[Red]\(#,##0.00\)"/>
    <numFmt numFmtId="203" formatCode="0.000"/>
    <numFmt numFmtId="204" formatCode="&quot;$&quot;#,##0\ ;\(&quot;$&quot;#,##0\)"/>
    <numFmt numFmtId="205" formatCode="0.00_)"/>
    <numFmt numFmtId="206" formatCode="0000"/>
    <numFmt numFmtId="207" formatCode="[$-409]mmmm\-yy;@"/>
    <numFmt numFmtId="208" formatCode="_(* #,##0.00_);_(* \(#,##0.00\);_(* \-??_);_(@_)"/>
    <numFmt numFmtId="209" formatCode="_(* #,##0.000_);_(* \(#,##0.000\);_(* &quot;-&quot;??_);_(@_)"/>
    <numFmt numFmtId="210" formatCode="#,##0.000"/>
    <numFmt numFmtId="211" formatCode="#,##0."/>
    <numFmt numFmtId="212" formatCode="&quot;$&quot;#."/>
    <numFmt numFmtId="213" formatCode="#.00"/>
  </numFmts>
  <fonts count="189">
    <font>
      <sz val="11"/>
      <color theme="1"/>
      <name val="Calibri"/>
      <family val="2"/>
      <scheme val="minor"/>
    </font>
    <font>
      <sz val="11"/>
      <color indexed="8"/>
      <name val="Calibri"/>
      <family val="2"/>
    </font>
    <font>
      <b/>
      <sz val="11"/>
      <color indexed="9"/>
      <name val="Calibri"/>
      <family val="2"/>
    </font>
    <font>
      <sz val="11"/>
      <color indexed="9"/>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0"/>
      <name val="Arial"/>
      <family val="2"/>
    </font>
    <font>
      <b/>
      <sz val="10"/>
      <name val="Arial"/>
      <family val="2"/>
    </font>
    <font>
      <sz val="12"/>
      <name val="Times New Roman"/>
      <family val="1"/>
    </font>
    <font>
      <sz val="12"/>
      <name val="Helv"/>
    </font>
    <font>
      <sz val="10"/>
      <name val="Times New Roman"/>
      <family val="1"/>
    </font>
    <font>
      <sz val="12"/>
      <name val="Arial"/>
      <family val="2"/>
    </font>
    <font>
      <i/>
      <sz val="14"/>
      <name val="Arial"/>
      <family val="2"/>
    </font>
    <font>
      <sz val="10"/>
      <name val="Helv"/>
      <charset val="177"/>
    </font>
    <font>
      <b/>
      <sz val="12"/>
      <name val="Helv"/>
    </font>
    <font>
      <sz val="10"/>
      <name val="Helvetica"/>
      <family val="2"/>
    </font>
    <font>
      <sz val="11"/>
      <name val="??"/>
      <family val="3"/>
      <charset val="129"/>
    </font>
    <font>
      <sz val="10"/>
      <name val="Helv"/>
    </font>
    <font>
      <sz val="8"/>
      <name val="Arial"/>
      <family val="2"/>
    </font>
    <font>
      <b/>
      <u/>
      <sz val="11"/>
      <color indexed="37"/>
      <name val="Arial"/>
      <family val="2"/>
    </font>
    <font>
      <b/>
      <i/>
      <sz val="14"/>
      <color indexed="9"/>
      <name val="Arial"/>
      <family val="2"/>
    </font>
    <font>
      <sz val="10"/>
      <color indexed="12"/>
      <name val="Arial"/>
      <family val="2"/>
    </font>
    <font>
      <u/>
      <sz val="10"/>
      <color indexed="12"/>
      <name val="Arial"/>
      <family val="2"/>
    </font>
    <font>
      <u/>
      <sz val="12"/>
      <color indexed="12"/>
      <name val="Times New Roman"/>
      <family val="1"/>
    </font>
    <font>
      <sz val="7"/>
      <name val="Small Fonts"/>
      <family val="2"/>
    </font>
    <font>
      <b/>
      <i/>
      <sz val="16"/>
      <name val="Helv"/>
    </font>
    <font>
      <sz val="5"/>
      <name val="Helv"/>
    </font>
    <font>
      <b/>
      <sz val="11"/>
      <name val="Times New Roman"/>
      <family val="1"/>
    </font>
    <font>
      <sz val="8"/>
      <color indexed="12"/>
      <name val="Arial"/>
      <family val="2"/>
    </font>
    <font>
      <sz val="10"/>
      <name val="Courier"/>
      <family val="3"/>
    </font>
    <font>
      <b/>
      <sz val="10"/>
      <color indexed="8"/>
      <name val="Arial"/>
      <family val="2"/>
    </font>
    <font>
      <sz val="10"/>
      <name val="Arial"/>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1"/>
      <color theme="1"/>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9"/>
      <name val="Helv"/>
    </font>
    <font>
      <sz val="12"/>
      <color indexed="8"/>
      <name val="Courier"/>
      <family val="3"/>
    </font>
    <font>
      <sz val="10"/>
      <name val="MS Serif"/>
      <family val="1"/>
    </font>
    <font>
      <sz val="11"/>
      <name val="Book Antiqua"/>
      <family val="1"/>
    </font>
    <font>
      <sz val="10"/>
      <color indexed="16"/>
      <name val="MS Serif"/>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sz val="12"/>
      <name val="Arial"/>
      <family val="2"/>
    </font>
    <font>
      <sz val="11"/>
      <name val="Tms Rmn"/>
    </font>
    <font>
      <sz val="22"/>
      <name val="UBSHeadline"/>
      <family val="1"/>
    </font>
    <font>
      <sz val="10"/>
      <color indexed="14"/>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sz val="10"/>
      <color indexed="39"/>
      <name val="Arial"/>
      <family val="2"/>
    </font>
    <font>
      <b/>
      <sz val="11"/>
      <color theme="1"/>
      <name val="Arial"/>
      <family val="2"/>
    </font>
    <font>
      <sz val="12"/>
      <color theme="1"/>
      <name val="Arial"/>
      <family val="2"/>
    </font>
    <font>
      <sz val="10"/>
      <color theme="1"/>
      <name val="Calibri"/>
      <family val="2"/>
    </font>
    <font>
      <b/>
      <sz val="12"/>
      <color theme="1"/>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0"/>
      <name val="楲污麬ឬ⠭"/>
    </font>
    <font>
      <b/>
      <sz val="10"/>
      <name val="Arial Narrow"/>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Narrow"/>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b/>
      <sz val="10"/>
      <color rgb="FFFA7D00"/>
      <name val="Arial"/>
      <family val="2"/>
    </font>
    <font>
      <b/>
      <sz val="10"/>
      <color rgb="FFFA7D00"/>
      <name val="Calibri"/>
      <family val="2"/>
    </font>
    <font>
      <b/>
      <sz val="10"/>
      <color theme="0"/>
      <name val="Arial"/>
      <family val="2"/>
    </font>
    <font>
      <b/>
      <sz val="10"/>
      <color theme="0"/>
      <name val="Calibri"/>
      <family val="2"/>
    </font>
    <font>
      <sz val="11"/>
      <name val="Tms Rmn"/>
      <family val="1"/>
    </font>
    <font>
      <sz val="11"/>
      <name val="Arial"/>
      <family val="2"/>
    </font>
    <font>
      <sz val="12"/>
      <color rgb="FF000000"/>
      <name val="Arial"/>
      <family val="2"/>
    </font>
    <font>
      <b/>
      <sz val="12"/>
      <color rgb="FF000000"/>
      <name val="Arial"/>
      <family val="2"/>
    </font>
    <font>
      <sz val="12"/>
      <color indexed="8"/>
      <name val="Arial"/>
      <family val="2"/>
    </font>
    <font>
      <b/>
      <sz val="12"/>
      <color indexed="8"/>
      <name val="Arial"/>
      <family val="2"/>
    </font>
    <font>
      <b/>
      <sz val="11"/>
      <color indexed="8"/>
      <name val="Arial"/>
      <family val="2"/>
    </font>
    <font>
      <b/>
      <sz val="11"/>
      <name val="Arial"/>
      <family val="2"/>
    </font>
    <font>
      <sz val="9"/>
      <color indexed="81"/>
      <name val="Tahoma"/>
      <family val="2"/>
    </font>
    <font>
      <b/>
      <sz val="9"/>
      <color indexed="81"/>
      <name val="Tahoma"/>
      <family val="2"/>
    </font>
    <font>
      <sz val="11"/>
      <color theme="1"/>
      <name val="Calibri"/>
      <family val="2"/>
    </font>
    <font>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0"/>
      <name val="MS Sans Serif"/>
      <family val="2"/>
    </font>
    <font>
      <sz val="11"/>
      <name val="Calibri"/>
      <family val="2"/>
    </font>
    <font>
      <b/>
      <sz val="18"/>
      <color theme="3"/>
      <name val="Cambria"/>
      <family val="2"/>
      <scheme val="major"/>
    </font>
    <font>
      <u/>
      <sz val="11"/>
      <color theme="10"/>
      <name val="Calibri"/>
      <family val="2"/>
      <scheme val="minor"/>
    </font>
    <font>
      <u/>
      <sz val="11"/>
      <color indexed="12"/>
      <name val="Calibri"/>
      <family val="2"/>
    </font>
    <font>
      <sz val="10"/>
      <name val="Arial"/>
      <family val="2"/>
    </font>
    <font>
      <sz val="11"/>
      <name val="Calibri"/>
      <family val="2"/>
    </font>
    <font>
      <sz val="11"/>
      <name val="??"/>
      <family val="3"/>
    </font>
    <font>
      <sz val="7"/>
      <color indexed="12"/>
      <name val="Arial"/>
      <family val="2"/>
    </font>
    <font>
      <u/>
      <sz val="10"/>
      <color indexed="10"/>
      <name val="Arial"/>
      <family val="2"/>
    </font>
    <font>
      <sz val="11"/>
      <name val="Times"/>
      <family val="1"/>
    </font>
    <font>
      <sz val="9"/>
      <color indexed="8"/>
      <name val="Arial"/>
      <family val="2"/>
    </font>
    <font>
      <sz val="5"/>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u/>
      <sz val="11"/>
      <color theme="10"/>
      <name val="Calibri"/>
      <family val="2"/>
    </font>
    <font>
      <u/>
      <sz val="8.4"/>
      <color theme="10"/>
      <name val="Arial"/>
      <family val="2"/>
    </font>
    <font>
      <sz val="10"/>
      <name val="Mangal"/>
      <family val="2"/>
    </font>
    <font>
      <sz val="11"/>
      <color indexed="8"/>
      <name val="Arial"/>
      <family val="2"/>
      <charset val="1"/>
    </font>
    <font>
      <sz val="11"/>
      <color indexed="8"/>
      <name val="Calibri"/>
      <family val="2"/>
      <charset val="1"/>
    </font>
    <font>
      <sz val="10"/>
      <name val="MS Sans Serif"/>
      <family val="2"/>
      <charset val="1"/>
    </font>
    <font>
      <u/>
      <sz val="7.7"/>
      <color theme="10"/>
      <name val="Arial"/>
      <family val="2"/>
    </font>
    <font>
      <sz val="11"/>
      <color rgb="FF9C0006"/>
      <name val="Arial"/>
      <family val="2"/>
    </font>
    <font>
      <sz val="10"/>
      <name val="Times New Roman"/>
      <family val="1"/>
      <charset val="204"/>
    </font>
    <font>
      <sz val="10"/>
      <color rgb="FF00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6"/>
      <color theme="1"/>
      <name val="Arial"/>
      <family val="2"/>
    </font>
    <font>
      <sz val="10"/>
      <name val="Palatino Linotype"/>
      <family val="1"/>
    </font>
    <font>
      <sz val="11"/>
      <color rgb="FF000000"/>
      <name val="Calibri"/>
    </font>
    <font>
      <sz val="10"/>
      <name val="Arial"/>
    </font>
    <font>
      <sz val="1"/>
      <color indexed="8"/>
      <name val="Courier"/>
      <family val="3"/>
    </font>
    <font>
      <u/>
      <sz val="8.5"/>
      <color indexed="12"/>
      <name val="Arial"/>
      <family val="2"/>
    </font>
    <font>
      <u/>
      <sz val="10"/>
      <color theme="10"/>
      <name val="Arial"/>
    </font>
    <font>
      <sz val="10"/>
      <name val="MS Sans Serif"/>
    </font>
    <font>
      <sz val="9"/>
      <color theme="1"/>
      <name val="Arial"/>
      <family val="2"/>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1"/>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solid">
        <fgColor indexed="43"/>
      </patternFill>
    </fill>
    <fill>
      <patternFill patternType="solid">
        <fgColor indexed="26"/>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43"/>
        <bgColor indexed="64"/>
      </patternFill>
    </fill>
    <fill>
      <patternFill patternType="solid">
        <fgColor rgb="FFD9D9D9"/>
        <bgColor indexed="64"/>
      </patternFill>
    </fill>
    <fill>
      <patternFill patternType="solid">
        <fgColor theme="0"/>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6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34"/>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bgColor indexed="52"/>
      </patternFill>
    </fill>
    <fill>
      <patternFill patternType="solid">
        <fgColor indexed="41"/>
        <bgColor indexed="64"/>
      </patternFill>
    </fill>
    <fill>
      <patternFill patternType="solid">
        <fgColor indexed="15"/>
        <bgColor indexed="64"/>
      </patternFill>
    </fill>
    <fill>
      <patternFill patternType="solid">
        <fgColor indexed="22"/>
        <bgColor indexed="31"/>
      </patternFill>
    </fill>
    <fill>
      <patternFill patternType="solid">
        <fgColor indexed="42"/>
        <bgColor indexed="64"/>
      </patternFill>
    </fill>
    <fill>
      <patternFill patternType="solid">
        <fgColor indexed="55"/>
        <bgColor indexed="23"/>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1"/>
      </patternFill>
    </fill>
    <fill>
      <patternFill patternType="solid">
        <fgColor rgb="FFFFC00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s>
  <borders count="49">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double">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medium">
        <color indexed="8"/>
      </right>
      <top/>
      <bottom style="medium">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bottom style="thin">
        <color indexed="64"/>
      </bottom>
      <diagonal/>
    </border>
    <border>
      <left style="thin">
        <color theme="0"/>
      </left>
      <right/>
      <top/>
      <bottom style="thin">
        <color theme="0"/>
      </bottom>
      <diagonal/>
    </border>
    <border>
      <left style="thin">
        <color theme="0"/>
      </left>
      <right style="thin">
        <color theme="0"/>
      </right>
      <top style="thin">
        <color theme="0"/>
      </top>
      <bottom/>
      <diagonal/>
    </border>
  </borders>
  <cellStyleXfs count="19947">
    <xf numFmtId="0" fontId="0"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170" fontId="19" fillId="0" borderId="0" applyBorder="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9" fontId="24" fillId="16" borderId="1" applyNumberFormat="0" applyFont="0" applyAlignment="0" applyProtection="0">
      <alignment vertical="top"/>
    </xf>
    <xf numFmtId="169" fontId="24" fillId="4" borderId="2" applyNumberFormat="0" applyFont="0" applyBorder="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171" fontId="23" fillId="21" borderId="3">
      <alignment horizontal="center" vertical="center"/>
    </xf>
    <xf numFmtId="0" fontId="10" fillId="3" borderId="0" applyNumberFormat="0" applyBorder="0" applyAlignment="0" applyProtection="0"/>
    <xf numFmtId="3" fontId="25" fillId="22" borderId="0" applyNumberFormat="0" applyBorder="0" applyAlignment="0" applyProtection="0">
      <alignment vertical="top"/>
    </xf>
    <xf numFmtId="169" fontId="26" fillId="0" borderId="0"/>
    <xf numFmtId="169" fontId="27" fillId="23" borderId="4" applyNumberFormat="0" applyBorder="0" applyAlignment="0" applyProtection="0"/>
    <xf numFmtId="0" fontId="14" fillId="24" borderId="5" applyNumberFormat="0" applyAlignment="0" applyProtection="0"/>
    <xf numFmtId="172" fontId="28" fillId="0" borderId="0" applyFont="0" applyAlignment="0"/>
    <xf numFmtId="0" fontId="2" fillId="25" borderId="6" applyNumberFormat="0" applyAlignment="0" applyProtection="0"/>
    <xf numFmtId="43" fontId="45" fillId="0" borderId="0" applyFont="0" applyFill="0" applyBorder="0" applyAlignment="0" applyProtection="0"/>
    <xf numFmtId="41" fontId="2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173" fontId="28" fillId="0" borderId="7" applyBorder="0">
      <alignment horizontal="center"/>
    </xf>
    <xf numFmtId="43" fontId="19"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39" fontId="19" fillId="0" borderId="0" applyFont="0" applyFill="0" applyBorder="0">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2"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0" fontId="22" fillId="0" borderId="0"/>
    <xf numFmtId="169" fontId="26" fillId="0" borderId="0"/>
    <xf numFmtId="169" fontId="26" fillId="0" borderId="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4" fontId="28" fillId="0" borderId="8"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7"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19"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5" fontId="19" fillId="0" borderId="0" applyFont="0" applyFill="0" applyBorder="0" applyAlignment="0" applyProtection="0"/>
    <xf numFmtId="6" fontId="29" fillId="0" borderId="0">
      <protection locked="0"/>
    </xf>
    <xf numFmtId="169" fontId="19" fillId="0" borderId="0" applyFont="0" applyFill="0" applyBorder="0" applyAlignment="0" applyProtection="0"/>
    <xf numFmtId="6" fontId="29" fillId="0" borderId="0">
      <protection locked="0"/>
    </xf>
    <xf numFmtId="185" fontId="19" fillId="0" borderId="0" applyFont="0" applyFill="0" applyBorder="0" applyAlignment="0" applyProtection="0"/>
    <xf numFmtId="186" fontId="19" fillId="0" borderId="0" applyFont="0" applyFill="0" applyBorder="0" applyAlignment="0" applyProtection="0"/>
    <xf numFmtId="37" fontId="22" fillId="26" borderId="0" applyNumberFormat="0" applyFont="0" applyBorder="0" applyAlignment="0" applyProtection="0"/>
    <xf numFmtId="175" fontId="19" fillId="0" borderId="0" applyFont="0" applyFill="0" applyBorder="0" applyAlignment="0" applyProtection="0"/>
    <xf numFmtId="0" fontId="17" fillId="0" borderId="0" applyNumberFormat="0" applyFill="0" applyBorder="0" applyAlignment="0" applyProtection="0"/>
    <xf numFmtId="176" fontId="19" fillId="0" borderId="0">
      <protection locked="0"/>
    </xf>
    <xf numFmtId="2" fontId="19" fillId="0" borderId="0" applyFont="0" applyFill="0" applyBorder="0" applyAlignment="0" applyProtection="0"/>
    <xf numFmtId="176" fontId="19" fillId="0" borderId="0">
      <protection locked="0"/>
    </xf>
    <xf numFmtId="0" fontId="30" fillId="0" borderId="0"/>
    <xf numFmtId="0" fontId="9" fillId="4" borderId="0" applyNumberFormat="0" applyBorder="0" applyAlignment="0" applyProtection="0"/>
    <xf numFmtId="5" fontId="24" fillId="16" borderId="1" applyNumberFormat="0" applyAlignment="0" applyProtection="0">
      <alignment vertical="top"/>
    </xf>
    <xf numFmtId="38" fontId="31" fillId="27" borderId="0" applyNumberFormat="0" applyBorder="0" applyAlignment="0" applyProtection="0"/>
    <xf numFmtId="0" fontId="32" fillId="0" borderId="0" applyNumberFormat="0" applyFill="0" applyBorder="0" applyAlignment="0" applyProtection="0"/>
    <xf numFmtId="169" fontId="33" fillId="28" borderId="0" applyProtection="0"/>
    <xf numFmtId="0" fontId="6" fillId="0" borderId="9"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177" fontId="19" fillId="0" borderId="0">
      <protection locked="0"/>
    </xf>
    <xf numFmtId="177" fontId="19" fillId="0" borderId="0">
      <protection locked="0"/>
    </xf>
    <xf numFmtId="0" fontId="34" fillId="0" borderId="12"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1" fillId="23" borderId="13" applyNumberFormat="0" applyBorder="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178" fontId="24" fillId="0" borderId="0" applyFill="0" applyBorder="0" applyAlignment="0" applyProtection="0">
      <alignment horizontal="center"/>
    </xf>
    <xf numFmtId="0" fontId="15" fillId="0" borderId="14" applyNumberFormat="0" applyFill="0" applyAlignment="0" applyProtection="0"/>
    <xf numFmtId="179" fontId="24" fillId="0" borderId="0" applyFill="0" applyBorder="0" applyAlignment="0" applyProtection="0">
      <alignment horizontal="center"/>
    </xf>
    <xf numFmtId="180" fontId="19" fillId="0" borderId="0" applyFont="0" applyFill="0" applyBorder="0" applyAlignment="0" applyProtection="0"/>
    <xf numFmtId="181" fontId="19" fillId="0" borderId="0" applyFont="0" applyFill="0" applyBorder="0" applyAlignment="0" applyProtection="0"/>
    <xf numFmtId="0" fontId="11" fillId="29" borderId="0" applyNumberFormat="0" applyBorder="0" applyAlignment="0" applyProtection="0"/>
    <xf numFmtId="169" fontId="22" fillId="0" borderId="0" applyFont="0" applyFill="0" applyBorder="0" applyAlignment="0" applyProtection="0">
      <alignment horizontal="center"/>
    </xf>
    <xf numFmtId="37" fontId="37" fillId="0" borderId="0"/>
    <xf numFmtId="182" fontId="23" fillId="0" borderId="0"/>
    <xf numFmtId="169" fontId="38" fillId="0" borderId="0"/>
    <xf numFmtId="182" fontId="23" fillId="0" borderId="0"/>
    <xf numFmtId="0" fontId="19" fillId="0" borderId="0"/>
    <xf numFmtId="0" fontId="4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21" fillId="0" borderId="0"/>
    <xf numFmtId="0" fontId="19"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19" fillId="0" borderId="0"/>
    <xf numFmtId="0" fontId="45" fillId="0" borderId="0"/>
    <xf numFmtId="37" fontId="39" fillId="0" borderId="0"/>
    <xf numFmtId="0" fontId="45" fillId="0" borderId="0"/>
    <xf numFmtId="0" fontId="4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169" fontId="19"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21" fillId="0" borderId="0"/>
    <xf numFmtId="0" fontId="21" fillId="0" borderId="0"/>
    <xf numFmtId="0" fontId="21" fillId="0" borderId="0"/>
    <xf numFmtId="0" fontId="21"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 fillId="30" borderId="15" applyNumberFormat="0" applyFont="0" applyAlignment="0" applyProtection="0"/>
    <xf numFmtId="0" fontId="13" fillId="24" borderId="16" applyNumberFormat="0" applyAlignment="0" applyProtection="0"/>
    <xf numFmtId="169" fontId="26" fillId="0" borderId="0"/>
    <xf numFmtId="9" fontId="45"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 fontId="24" fillId="31" borderId="0" applyNumberFormat="0" applyBorder="0" applyAlignment="0" applyProtection="0">
      <alignment vertical="top"/>
    </xf>
    <xf numFmtId="3" fontId="24" fillId="32" borderId="0" applyNumberFormat="0" applyFont="0" applyBorder="0" applyAlignment="0" applyProtection="0">
      <alignment vertical="top"/>
    </xf>
    <xf numFmtId="169" fontId="24" fillId="0" borderId="0" applyFont="0" applyFill="0" applyBorder="0" applyAlignment="0" applyProtection="0">
      <alignment vertical="top"/>
    </xf>
    <xf numFmtId="169" fontId="24" fillId="0" borderId="0" applyFont="0" applyFill="0" applyBorder="0" applyAlignment="0" applyProtection="0"/>
    <xf numFmtId="169" fontId="24" fillId="0" borderId="0" applyFont="0" applyFill="0" applyBorder="0" applyAlignment="0" applyProtection="0"/>
    <xf numFmtId="184" fontId="20" fillId="0" borderId="0" applyFill="0" applyBorder="0" applyAlignment="0" applyProtection="0">
      <alignment horizontal="center"/>
    </xf>
    <xf numFmtId="0" fontId="19" fillId="33" borderId="0"/>
    <xf numFmtId="168" fontId="19" fillId="0" borderId="0">
      <alignment horizontal="left" wrapText="1"/>
    </xf>
    <xf numFmtId="40" fontId="40" fillId="0" borderId="0"/>
    <xf numFmtId="0" fontId="5" fillId="0" borderId="0" applyNumberFormat="0" applyFill="0" applyBorder="0" applyAlignment="0" applyProtection="0"/>
    <xf numFmtId="0" fontId="18" fillId="0" borderId="17" applyNumberFormat="0" applyFill="0" applyAlignment="0" applyProtection="0"/>
    <xf numFmtId="37" fontId="31" fillId="34" borderId="0" applyNumberFormat="0" applyBorder="0" applyAlignment="0" applyProtection="0"/>
    <xf numFmtId="37" fontId="31" fillId="0" borderId="0"/>
    <xf numFmtId="3" fontId="41" fillId="0" borderId="12" applyProtection="0"/>
    <xf numFmtId="0" fontId="42" fillId="0" borderId="0"/>
    <xf numFmtId="187" fontId="19" fillId="0" borderId="0" applyFont="0" applyFill="0" applyBorder="0" applyAlignment="0" applyProtection="0"/>
    <xf numFmtId="188" fontId="19" fillId="0" borderId="0" applyFont="0" applyFill="0" applyBorder="0" applyAlignment="0" applyProtection="0"/>
    <xf numFmtId="0" fontId="16" fillId="0" borderId="0" applyNumberFormat="0" applyFill="0" applyBorder="0" applyAlignment="0" applyProtection="0"/>
    <xf numFmtId="14" fontId="19" fillId="23" borderId="13" applyNumberFormat="0" applyFont="0" applyAlignment="0" applyProtection="0">
      <alignment horizontal="centerContinuous"/>
    </xf>
    <xf numFmtId="0" fontId="50" fillId="0" borderId="0"/>
    <xf numFmtId="0" fontId="50" fillId="0" borderId="0"/>
    <xf numFmtId="0" fontId="51"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19" fillId="0" borderId="0" applyNumberFormat="0" applyFill="0" applyBorder="0" applyAlignment="0" applyProtection="0"/>
    <xf numFmtId="0" fontId="53" fillId="0" borderId="0" applyNumberFormat="0" applyFill="0" applyBorder="0" applyAlignment="0" applyProtection="0">
      <alignment vertical="top"/>
    </xf>
    <xf numFmtId="185" fontId="19" fillId="0" borderId="0" applyFont="0" applyFill="0" applyBorder="0" applyAlignment="0" applyProtection="0"/>
    <xf numFmtId="0" fontId="54" fillId="0" borderId="0" applyNumberFormat="0" applyFill="0" applyBorder="0" applyAlignment="0" applyProtection="0">
      <alignment vertical="top"/>
      <protection locked="0"/>
    </xf>
    <xf numFmtId="186" fontId="19" fillId="0" borderId="0" applyFont="0" applyFill="0" applyBorder="0" applyAlignment="0" applyProtection="0"/>
    <xf numFmtId="168" fontId="19" fillId="0" borderId="0">
      <alignment horizontal="left" wrapText="1"/>
    </xf>
    <xf numFmtId="168"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55" fillId="0" borderId="0" applyFill="0" applyBorder="0" applyProtection="0">
      <alignment horizontal="right"/>
    </xf>
    <xf numFmtId="189" fontId="4" fillId="0" borderId="0" applyFill="0" applyBorder="0" applyAlignment="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3" fontId="56" fillId="0" borderId="0">
      <protection locked="0"/>
    </xf>
    <xf numFmtId="0" fontId="57" fillId="0" borderId="0" applyNumberFormat="0" applyAlignment="0">
      <alignment horizontal="left"/>
    </xf>
    <xf numFmtId="191" fontId="19" fillId="0" borderId="0" applyFont="0" applyFill="0" applyBorder="0" applyAlignment="0" applyProtection="0"/>
    <xf numFmtId="192" fontId="58" fillId="0" borderId="0" applyFont="0" applyFill="0" applyBorder="0" applyAlignment="0" applyProtection="0"/>
    <xf numFmtId="193" fontId="30" fillId="0" borderId="0">
      <alignment horizontal="right"/>
      <protection locked="0"/>
    </xf>
    <xf numFmtId="0" fontId="59" fillId="0" borderId="0" applyNumberFormat="0" applyAlignment="0">
      <alignment horizontal="left"/>
    </xf>
    <xf numFmtId="0" fontId="21" fillId="0" borderId="0" applyNumberFormat="0" applyFill="0" applyBorder="0" applyAlignment="0" applyProtection="0"/>
    <xf numFmtId="0" fontId="60" fillId="0" borderId="0" applyProtection="0"/>
    <xf numFmtId="0" fontId="31" fillId="0" borderId="0" applyProtection="0"/>
    <xf numFmtId="0" fontId="61" fillId="0" borderId="0" applyProtection="0"/>
    <xf numFmtId="0" fontId="21" fillId="0" borderId="0" applyProtection="0"/>
    <xf numFmtId="0" fontId="62" fillId="0" borderId="0" applyProtection="0"/>
    <xf numFmtId="0" fontId="63" fillId="0" borderId="0" applyProtection="0"/>
    <xf numFmtId="0" fontId="64" fillId="0" borderId="0" applyProtection="0"/>
    <xf numFmtId="164" fontId="58" fillId="0" borderId="0" applyFont="0" applyFill="0" applyBorder="0" applyAlignment="0" applyProtection="0"/>
    <xf numFmtId="194" fontId="19" fillId="0" borderId="0" applyFont="0" applyFill="0" applyBorder="0" applyAlignment="0" applyProtection="0">
      <alignment horizontal="center"/>
    </xf>
    <xf numFmtId="0" fontId="65" fillId="0" borderId="19" applyNumberFormat="0" applyAlignment="0" applyProtection="0">
      <alignment horizontal="left" vertical="center"/>
    </xf>
    <xf numFmtId="0" fontId="65" fillId="0" borderId="21">
      <alignment horizontal="left" vertic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41"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195" fontId="66" fillId="0" borderId="0"/>
    <xf numFmtId="195" fontId="66" fillId="0" borderId="0"/>
    <xf numFmtId="195" fontId="66" fillId="0" borderId="0"/>
    <xf numFmtId="195" fontId="66" fillId="0" borderId="0"/>
    <xf numFmtId="195" fontId="66" fillId="0" borderId="0"/>
    <xf numFmtId="195" fontId="66" fillId="0" borderId="0"/>
    <xf numFmtId="195" fontId="66" fillId="0" borderId="0"/>
    <xf numFmtId="0" fontId="1" fillId="30" borderId="15" applyNumberFormat="0" applyFont="0" applyAlignment="0" applyProtection="0"/>
    <xf numFmtId="195" fontId="67" fillId="0" borderId="20">
      <alignment vertical="center"/>
    </xf>
    <xf numFmtId="9" fontId="23" fillId="0" borderId="0" applyFont="0" applyFill="0" applyBorder="0" applyAlignment="0" applyProtection="0"/>
    <xf numFmtId="10" fontId="23" fillId="0" borderId="0" applyFont="0" applyFill="0" applyBorder="0" applyAlignment="0" applyProtection="0"/>
    <xf numFmtId="0" fontId="68" fillId="0" borderId="0" applyNumberFormat="0" applyFill="0" applyBorder="0" applyAlignment="0"/>
    <xf numFmtId="196" fontId="55" fillId="0" borderId="0" applyFill="0" applyBorder="0" applyProtection="0">
      <alignment horizontal="right"/>
    </xf>
    <xf numFmtId="14" fontId="69" fillId="0" borderId="0" applyNumberFormat="0" applyFill="0" applyBorder="0" applyAlignment="0" applyProtection="0">
      <alignment horizontal="left"/>
    </xf>
    <xf numFmtId="0" fontId="70" fillId="37" borderId="0" applyNumberFormat="0" applyBorder="0" applyAlignment="0" applyProtection="0"/>
    <xf numFmtId="0" fontId="71" fillId="0" borderId="0" applyNumberFormat="0" applyFill="0" applyBorder="0" applyAlignment="0" applyProtection="0"/>
    <xf numFmtId="0" fontId="72" fillId="37" borderId="0" applyNumberFormat="0" applyBorder="0" applyAlignment="0" applyProtection="0"/>
    <xf numFmtId="0" fontId="65" fillId="0" borderId="0" applyNumberFormat="0" applyFill="0" applyBorder="0" applyAlignment="0" applyProtection="0"/>
    <xf numFmtId="0" fontId="20" fillId="37" borderId="0" applyNumberFormat="0" applyBorder="0" applyAlignment="0" applyProtection="0"/>
    <xf numFmtId="0" fontId="73" fillId="38" borderId="0" applyNumberFormat="0" applyBorder="0" applyAlignment="0" applyProtection="0"/>
    <xf numFmtId="0" fontId="73" fillId="38" borderId="0" applyNumberFormat="0" applyBorder="0" applyProtection="0">
      <alignment horizontal="center"/>
    </xf>
    <xf numFmtId="0" fontId="74" fillId="38" borderId="0" applyNumberFormat="0" applyBorder="0" applyAlignment="0" applyProtection="0"/>
    <xf numFmtId="0" fontId="19" fillId="0" borderId="0" applyNumberFormat="0" applyFont="0" applyFill="0" applyBorder="0" applyProtection="0">
      <alignment horizontal="right"/>
    </xf>
    <xf numFmtId="0" fontId="19" fillId="0" borderId="0" applyNumberFormat="0" applyFont="0" applyFill="0" applyBorder="0" applyProtection="0">
      <alignment horizontal="left"/>
    </xf>
    <xf numFmtId="0" fontId="31" fillId="0" borderId="0" applyNumberFormat="0" applyFill="0" applyBorder="0" applyAlignment="0" applyProtection="0"/>
    <xf numFmtId="0" fontId="75" fillId="0" borderId="0" applyNumberFormat="0" applyFill="0" applyBorder="0" applyAlignment="0" applyProtection="0"/>
    <xf numFmtId="0" fontId="19" fillId="39" borderId="0" applyNumberFormat="0" applyBorder="0" applyAlignment="0" applyProtection="0"/>
    <xf numFmtId="167" fontId="19" fillId="0" borderId="0" applyFont="0" applyFill="0" applyBorder="0" applyAlignment="0" applyProtection="0"/>
    <xf numFmtId="2" fontId="19" fillId="0" borderId="0" applyFont="0" applyFill="0" applyBorder="0" applyAlignment="0" applyProtection="0"/>
    <xf numFmtId="165" fontId="19" fillId="0" borderId="0" applyFont="0" applyFill="0" applyBorder="0" applyAlignment="0" applyProtection="0"/>
    <xf numFmtId="0" fontId="19" fillId="0" borderId="18" applyNumberFormat="0" applyFont="0" applyFill="0" applyAlignment="0" applyProtection="0"/>
    <xf numFmtId="0" fontId="4" fillId="0" borderId="0" applyNumberFormat="0" applyBorder="0" applyAlignment="0"/>
    <xf numFmtId="0" fontId="43" fillId="0" borderId="0" applyNumberFormat="0" applyBorder="0" applyAlignment="0"/>
    <xf numFmtId="40" fontId="76" fillId="0" borderId="0" applyBorder="0">
      <alignment horizontal="right"/>
    </xf>
    <xf numFmtId="49" fontId="77" fillId="0" borderId="20">
      <alignment vertical="center"/>
    </xf>
    <xf numFmtId="0" fontId="78" fillId="0" borderId="0" applyFill="0" applyBorder="0" applyAlignment="0"/>
    <xf numFmtId="0" fontId="4" fillId="0" borderId="0"/>
    <xf numFmtId="0" fontId="19" fillId="0" borderId="0"/>
    <xf numFmtId="0" fontId="4" fillId="0" borderId="0"/>
    <xf numFmtId="0" fontId="4" fillId="0" borderId="0"/>
    <xf numFmtId="43" fontId="1"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7" fontId="19" fillId="0" borderId="0"/>
    <xf numFmtId="7" fontId="19"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8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NumberFormat="0" applyFill="0" applyBorder="0" applyAlignment="0" applyProtection="0"/>
    <xf numFmtId="0" fontId="21" fillId="0" borderId="0" applyNumberFormat="0" applyFill="0" applyBorder="0" applyAlignment="0" applyProtection="0"/>
    <xf numFmtId="169"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NumberFormat="0" applyFill="0" applyBorder="0" applyAlignment="0" applyProtection="0"/>
    <xf numFmtId="169" fontId="19" fillId="0" borderId="0" applyNumberFormat="0" applyFill="0" applyBorder="0" applyAlignment="0" applyProtection="0"/>
    <xf numFmtId="0" fontId="19" fillId="0" borderId="0" applyNumberFormat="0" applyFill="0" applyBorder="0" applyAlignment="0" applyProtection="0"/>
    <xf numFmtId="170" fontId="19" fillId="0" borderId="0" applyBorder="0"/>
    <xf numFmtId="4" fontId="19" fillId="0" borderId="0"/>
    <xf numFmtId="4" fontId="19" fillId="0" borderId="0"/>
    <xf numFmtId="0" fontId="88" fillId="0" borderId="13" applyNumberFormat="0" applyFont="0" applyFill="0" applyAlignment="0" applyProtection="0"/>
    <xf numFmtId="0" fontId="46"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0" fontId="46" fillId="46" borderId="0" applyNumberFormat="0" applyBorder="0" applyAlignment="0" applyProtection="0"/>
    <xf numFmtId="0" fontId="45" fillId="69" borderId="0" applyNumberFormat="0" applyBorder="0" applyAlignment="0" applyProtection="0"/>
    <xf numFmtId="0" fontId="81" fillId="4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9" borderId="0" applyNumberFormat="0" applyBorder="0" applyAlignment="0" applyProtection="0"/>
    <xf numFmtId="0" fontId="1" fillId="2" borderId="0" applyNumberFormat="0" applyBorder="0" applyAlignment="0" applyProtection="0"/>
    <xf numFmtId="0" fontId="1" fillId="70"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0" borderId="0" applyNumberFormat="0" applyBorder="0" applyAlignment="0" applyProtection="0"/>
    <xf numFmtId="0" fontId="1" fillId="2"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169" fontId="1" fillId="2"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9"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69" borderId="0" applyNumberFormat="0" applyBorder="0" applyAlignment="0" applyProtection="0"/>
    <xf numFmtId="0" fontId="45" fillId="46" borderId="0" applyNumberFormat="0" applyBorder="0" applyAlignment="0" applyProtection="0"/>
    <xf numFmtId="0" fontId="1" fillId="69" borderId="0" applyNumberFormat="0" applyBorder="0" applyAlignment="0" applyProtection="0"/>
    <xf numFmtId="0" fontId="45" fillId="46" borderId="0" applyNumberFormat="0" applyBorder="0" applyAlignment="0" applyProtection="0"/>
    <xf numFmtId="0" fontId="1" fillId="69"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81" fillId="46"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0" fontId="46" fillId="50" borderId="0" applyNumberFormat="0" applyBorder="0" applyAlignment="0" applyProtection="0"/>
    <xf numFmtId="0" fontId="45" fillId="7" borderId="0" applyNumberFormat="0" applyBorder="0" applyAlignment="0" applyProtection="0"/>
    <xf numFmtId="0" fontId="81" fillId="5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1" borderId="0" applyNumberFormat="0" applyBorder="0" applyAlignment="0" applyProtection="0"/>
    <xf numFmtId="0" fontId="1" fillId="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169" fontId="1" fillId="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9" borderId="0" applyNumberFormat="0" applyBorder="0" applyAlignment="0" applyProtection="0"/>
    <xf numFmtId="0" fontId="45" fillId="50" borderId="0" applyNumberFormat="0" applyBorder="0" applyAlignment="0" applyProtection="0"/>
    <xf numFmtId="0" fontId="1" fillId="9" borderId="0" applyNumberFormat="0" applyBorder="0" applyAlignment="0" applyProtection="0"/>
    <xf numFmtId="0" fontId="45" fillId="50" borderId="0" applyNumberFormat="0" applyBorder="0" applyAlignment="0" applyProtection="0"/>
    <xf numFmtId="0" fontId="1" fillId="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81"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5" fillId="50"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0" fontId="46" fillId="54" borderId="0" applyNumberFormat="0" applyBorder="0" applyAlignment="0" applyProtection="0"/>
    <xf numFmtId="0" fontId="45" fillId="30" borderId="0" applyNumberFormat="0" applyBorder="0" applyAlignment="0" applyProtection="0"/>
    <xf numFmtId="0" fontId="81" fillId="5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72"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2" borderId="0" applyNumberFormat="0" applyBorder="0" applyAlignment="0" applyProtection="0"/>
    <xf numFmtId="0" fontId="1" fillId="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169" fontId="1" fillId="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 fillId="30" borderId="0" applyNumberFormat="0" applyBorder="0" applyAlignment="0" applyProtection="0"/>
    <xf numFmtId="0" fontId="45" fillId="54" borderId="0" applyNumberFormat="0" applyBorder="0" applyAlignment="0" applyProtection="0"/>
    <xf numFmtId="0" fontId="1" fillId="30" borderId="0" applyNumberFormat="0" applyBorder="0" applyAlignment="0" applyProtection="0"/>
    <xf numFmtId="0" fontId="45" fillId="54" borderId="0" applyNumberFormat="0" applyBorder="0" applyAlignment="0" applyProtection="0"/>
    <xf numFmtId="0" fontId="1" fillId="3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81" fillId="54"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6"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6" fillId="58" borderId="0" applyNumberFormat="0" applyBorder="0" applyAlignment="0" applyProtection="0"/>
    <xf numFmtId="0" fontId="45" fillId="69" borderId="0" applyNumberFormat="0" applyBorder="0" applyAlignment="0" applyProtection="0"/>
    <xf numFmtId="0" fontId="81" fillId="5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9"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9"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1" fillId="69" borderId="0" applyNumberFormat="0" applyBorder="0" applyAlignment="0" applyProtection="0"/>
    <xf numFmtId="0" fontId="45" fillId="58" borderId="0" applyNumberFormat="0" applyBorder="0" applyAlignment="0" applyProtection="0"/>
    <xf numFmtId="0" fontId="1" fillId="69" borderId="0" applyNumberFormat="0" applyBorder="0" applyAlignment="0" applyProtection="0"/>
    <xf numFmtId="0" fontId="45" fillId="58" borderId="0" applyNumberFormat="0" applyBorder="0" applyAlignment="0" applyProtection="0"/>
    <xf numFmtId="0" fontId="1" fillId="69"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81" fillId="58"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5" fillId="58" borderId="0" applyNumberFormat="0" applyBorder="0" applyAlignment="0" applyProtection="0"/>
    <xf numFmtId="0" fontId="46"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0" fontId="46" fillId="62" borderId="0" applyNumberFormat="0" applyBorder="0" applyAlignment="0" applyProtection="0"/>
    <xf numFmtId="0" fontId="81" fillId="62" borderId="0" applyNumberFormat="0" applyBorder="0" applyAlignment="0" applyProtection="0"/>
    <xf numFmtId="0" fontId="1" fillId="6" borderId="0" applyNumberFormat="0" applyBorder="0" applyAlignment="0" applyProtection="0"/>
    <xf numFmtId="0" fontId="1" fillId="74"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4" borderId="0" applyNumberFormat="0" applyBorder="0" applyAlignment="0" applyProtection="0"/>
    <xf numFmtId="0" fontId="1" fillId="6"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62" borderId="0" applyNumberFormat="0" applyBorder="0" applyAlignment="0" applyProtection="0"/>
    <xf numFmtId="0" fontId="1" fillId="6"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1" fillId="6"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81" fillId="62"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5" fillId="62" borderId="0" applyNumberFormat="0" applyBorder="0" applyAlignment="0" applyProtection="0"/>
    <xf numFmtId="0" fontId="46"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0" fontId="46" fillId="66" borderId="0" applyNumberFormat="0" applyBorder="0" applyAlignment="0" applyProtection="0"/>
    <xf numFmtId="0" fontId="81" fillId="66" borderId="0" applyNumberFormat="0" applyBorder="0" applyAlignment="0" applyProtection="0"/>
    <xf numFmtId="0" fontId="1" fillId="7" borderId="0" applyNumberFormat="0" applyBorder="0" applyAlignment="0" applyProtection="0"/>
    <xf numFmtId="0" fontId="1" fillId="75"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5" borderId="0" applyNumberFormat="0" applyBorder="0" applyAlignment="0" applyProtection="0"/>
    <xf numFmtId="0" fontId="1" fillId="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66" borderId="0" applyNumberFormat="0" applyBorder="0" applyAlignment="0" applyProtection="0"/>
    <xf numFmtId="0" fontId="1" fillId="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 fillId="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66" borderId="0" applyNumberFormat="0" applyBorder="0" applyAlignment="0" applyProtection="0"/>
    <xf numFmtId="0" fontId="81" fillId="66" borderId="0" applyNumberFormat="0" applyBorder="0" applyAlignment="0" applyProtection="0"/>
    <xf numFmtId="0" fontId="45" fillId="66" borderId="0" applyNumberFormat="0" applyBorder="0" applyAlignment="0" applyProtection="0"/>
    <xf numFmtId="0" fontId="46" fillId="66" borderId="0" applyNumberFormat="0" applyBorder="0" applyAlignment="0" applyProtection="0"/>
    <xf numFmtId="0" fontId="45" fillId="66" borderId="0" applyNumberFormat="0" applyBorder="0" applyAlignment="0" applyProtection="0"/>
    <xf numFmtId="0" fontId="46"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6"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6" fillId="47" borderId="0" applyNumberFormat="0" applyBorder="0" applyAlignment="0" applyProtection="0"/>
    <xf numFmtId="0" fontId="45" fillId="24" borderId="0" applyNumberFormat="0" applyBorder="0" applyAlignment="0" applyProtection="0"/>
    <xf numFmtId="0" fontId="81" fillId="4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1" fillId="8" borderId="0" applyNumberFormat="0" applyBorder="0" applyAlignment="0" applyProtection="0"/>
    <xf numFmtId="0" fontId="1" fillId="7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6" borderId="0" applyNumberFormat="0" applyBorder="0" applyAlignment="0" applyProtection="0"/>
    <xf numFmtId="0" fontId="1" fillId="8"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24" borderId="0" applyNumberFormat="0" applyBorder="0" applyAlignment="0" applyProtection="0"/>
    <xf numFmtId="0" fontId="45" fillId="47" borderId="0" applyNumberFormat="0" applyBorder="0" applyAlignment="0" applyProtection="0"/>
    <xf numFmtId="0" fontId="1" fillId="24" borderId="0" applyNumberFormat="0" applyBorder="0" applyAlignment="0" applyProtection="0"/>
    <xf numFmtId="0" fontId="45" fillId="47" borderId="0" applyNumberFormat="0" applyBorder="0" applyAlignment="0" applyProtection="0"/>
    <xf numFmtId="0" fontId="1" fillId="2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6" fillId="47" borderId="0" applyNumberFormat="0" applyBorder="0" applyAlignment="0" applyProtection="0"/>
    <xf numFmtId="0" fontId="81" fillId="47" borderId="0" applyNumberFormat="0" applyBorder="0" applyAlignment="0" applyProtection="0"/>
    <xf numFmtId="0" fontId="45" fillId="47" borderId="0" applyNumberFormat="0" applyBorder="0" applyAlignment="0" applyProtection="0"/>
    <xf numFmtId="0" fontId="46" fillId="47" borderId="0" applyNumberFormat="0" applyBorder="0" applyAlignment="0" applyProtection="0"/>
    <xf numFmtId="0" fontId="45" fillId="47"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0" fontId="46" fillId="51" borderId="0" applyNumberFormat="0" applyBorder="0" applyAlignment="0" applyProtection="0"/>
    <xf numFmtId="0" fontId="81" fillId="51" borderId="0" applyNumberFormat="0" applyBorder="0" applyAlignment="0" applyProtection="0"/>
    <xf numFmtId="0" fontId="1" fillId="9" borderId="0" applyNumberFormat="0" applyBorder="0" applyAlignment="0" applyProtection="0"/>
    <xf numFmtId="0" fontId="1" fillId="7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7" borderId="0" applyNumberFormat="0" applyBorder="0" applyAlignment="0" applyProtection="0"/>
    <xf numFmtId="0" fontId="1" fillId="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51" borderId="0" applyNumberFormat="0" applyBorder="0" applyAlignment="0" applyProtection="0"/>
    <xf numFmtId="0" fontId="1" fillId="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 fillId="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81" fillId="5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0" fontId="46" fillId="55" borderId="0" applyNumberFormat="0" applyBorder="0" applyAlignment="0" applyProtection="0"/>
    <xf numFmtId="0" fontId="45" fillId="29" borderId="0" applyNumberFormat="0" applyBorder="0" applyAlignment="0" applyProtection="0"/>
    <xf numFmtId="0" fontId="81" fillId="5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78"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8" borderId="0" applyNumberFormat="0" applyBorder="0" applyAlignment="0" applyProtection="0"/>
    <xf numFmtId="0" fontId="1" fillId="10"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1" fillId="29" borderId="0" applyNumberFormat="0" applyBorder="0" applyAlignment="0" applyProtection="0"/>
    <xf numFmtId="0" fontId="45" fillId="55" borderId="0" applyNumberFormat="0" applyBorder="0" applyAlignment="0" applyProtection="0"/>
    <xf numFmtId="0" fontId="1" fillId="29" borderId="0" applyNumberFormat="0" applyBorder="0" applyAlignment="0" applyProtection="0"/>
    <xf numFmtId="0" fontId="45" fillId="55" borderId="0" applyNumberFormat="0" applyBorder="0" applyAlignment="0" applyProtection="0"/>
    <xf numFmtId="0" fontId="1" fillId="29"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81" fillId="55"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6"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6" fillId="59" borderId="0" applyNumberFormat="0" applyBorder="0" applyAlignment="0" applyProtection="0"/>
    <xf numFmtId="0" fontId="45" fillId="24" borderId="0" applyNumberFormat="0" applyBorder="0" applyAlignment="0" applyProtection="0"/>
    <xf numFmtId="0" fontId="81" fillId="5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 fillId="24" borderId="0" applyNumberFormat="0" applyBorder="0" applyAlignment="0" applyProtection="0"/>
    <xf numFmtId="0" fontId="45" fillId="59" borderId="0" applyNumberFormat="0" applyBorder="0" applyAlignment="0" applyProtection="0"/>
    <xf numFmtId="0" fontId="1" fillId="24" borderId="0" applyNumberFormat="0" applyBorder="0" applyAlignment="0" applyProtection="0"/>
    <xf numFmtId="0" fontId="45" fillId="59" borderId="0" applyNumberFormat="0" applyBorder="0" applyAlignment="0" applyProtection="0"/>
    <xf numFmtId="0" fontId="1" fillId="24"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59" borderId="0" applyNumberFormat="0" applyBorder="0" applyAlignment="0" applyProtection="0"/>
    <xf numFmtId="0" fontId="81" fillId="59" borderId="0" applyNumberFormat="0" applyBorder="0" applyAlignment="0" applyProtection="0"/>
    <xf numFmtId="0" fontId="45" fillId="59" borderId="0" applyNumberFormat="0" applyBorder="0" applyAlignment="0" applyProtection="0"/>
    <xf numFmtId="0" fontId="46" fillId="59" borderId="0" applyNumberFormat="0" applyBorder="0" applyAlignment="0" applyProtection="0"/>
    <xf numFmtId="0" fontId="45" fillId="59" borderId="0" applyNumberFormat="0" applyBorder="0" applyAlignment="0" applyProtection="0"/>
    <xf numFmtId="0" fontId="46"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6"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6" fillId="63" borderId="0" applyNumberFormat="0" applyBorder="0" applyAlignment="0" applyProtection="0"/>
    <xf numFmtId="0" fontId="81" fillId="63" borderId="0" applyNumberFormat="0" applyBorder="0" applyAlignment="0" applyProtection="0"/>
    <xf numFmtId="0" fontId="1" fillId="8" borderId="0" applyNumberFormat="0" applyBorder="0" applyAlignment="0" applyProtection="0"/>
    <xf numFmtId="0" fontId="1" fillId="7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6" borderId="0" applyNumberFormat="0" applyBorder="0" applyAlignment="0" applyProtection="0"/>
    <xf numFmtId="0" fontId="1" fillId="8"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63" borderId="0" applyNumberFormat="0" applyBorder="0" applyAlignment="0" applyProtection="0"/>
    <xf numFmtId="0" fontId="1" fillId="8"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 fillId="8"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6" fillId="63" borderId="0" applyNumberFormat="0" applyBorder="0" applyAlignment="0" applyProtection="0"/>
    <xf numFmtId="0" fontId="81" fillId="63" borderId="0" applyNumberFormat="0" applyBorder="0" applyAlignment="0" applyProtection="0"/>
    <xf numFmtId="0" fontId="45" fillId="63" borderId="0" applyNumberFormat="0" applyBorder="0" applyAlignment="0" applyProtection="0"/>
    <xf numFmtId="0" fontId="46" fillId="63" borderId="0" applyNumberFormat="0" applyBorder="0" applyAlignment="0" applyProtection="0"/>
    <xf numFmtId="0" fontId="45" fillId="63" borderId="0" applyNumberFormat="0" applyBorder="0" applyAlignment="0" applyProtection="0"/>
    <xf numFmtId="0" fontId="46"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46" fillId="67" borderId="0" applyNumberFormat="0" applyBorder="0" applyAlignment="0" applyProtection="0"/>
    <xf numFmtId="0" fontId="45" fillId="7" borderId="0" applyNumberFormat="0" applyBorder="0" applyAlignment="0" applyProtection="0"/>
    <xf numFmtId="0" fontId="81" fillId="6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79"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9" borderId="0" applyNumberFormat="0" applyBorder="0" applyAlignment="0" applyProtection="0"/>
    <xf numFmtId="0" fontId="1" fillId="11"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1" fillId="7" borderId="0" applyNumberFormat="0" applyBorder="0" applyAlignment="0" applyProtection="0"/>
    <xf numFmtId="0" fontId="45" fillId="67" borderId="0" applyNumberFormat="0" applyBorder="0" applyAlignment="0" applyProtection="0"/>
    <xf numFmtId="0" fontId="1" fillId="7" borderId="0" applyNumberFormat="0" applyBorder="0" applyAlignment="0" applyProtection="0"/>
    <xf numFmtId="0" fontId="45" fillId="67" borderId="0" applyNumberFormat="0" applyBorder="0" applyAlignment="0" applyProtection="0"/>
    <xf numFmtId="0" fontId="1" fillId="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81" fillId="67"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5" fillId="67" borderId="0" applyNumberFormat="0" applyBorder="0" applyAlignment="0" applyProtection="0"/>
    <xf numFmtId="10" fontId="87" fillId="0" borderId="0" applyFont="0" applyFill="0" applyBorder="0" applyAlignment="0" applyProtection="0">
      <alignment horizontal="center" vertical="center"/>
    </xf>
    <xf numFmtId="10" fontId="87" fillId="0" borderId="0" applyFont="0" applyFill="0" applyBorder="0" applyAlignment="0" applyProtection="0"/>
    <xf numFmtId="0" fontId="86" fillId="48" borderId="0" applyNumberFormat="0" applyBorder="0" applyAlignment="0" applyProtection="0"/>
    <xf numFmtId="0" fontId="89" fillId="48" borderId="0" applyNumberFormat="0" applyBorder="0" applyAlignment="0" applyProtection="0"/>
    <xf numFmtId="169" fontId="3" fillId="12" borderId="0" applyNumberFormat="0" applyBorder="0" applyAlignment="0" applyProtection="0"/>
    <xf numFmtId="0" fontId="89" fillId="48" borderId="0" applyNumberFormat="0" applyBorder="0" applyAlignment="0" applyProtection="0"/>
    <xf numFmtId="0" fontId="86" fillId="14" borderId="0" applyNumberFormat="0" applyBorder="0" applyAlignment="0" applyProtection="0"/>
    <xf numFmtId="0" fontId="90" fillId="48" borderId="0" applyNumberFormat="0" applyBorder="0" applyAlignment="0" applyProtection="0"/>
    <xf numFmtId="0" fontId="3" fillId="12" borderId="0" applyNumberFormat="0" applyBorder="0" applyAlignment="0" applyProtection="0"/>
    <xf numFmtId="0" fontId="3" fillId="80"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169" fontId="3" fillId="12" borderId="0" applyNumberFormat="0" applyBorder="0" applyAlignment="0" applyProtection="0"/>
    <xf numFmtId="0" fontId="86"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6" fillId="48" borderId="0" applyNumberFormat="0" applyBorder="0" applyAlignment="0" applyProtection="0"/>
    <xf numFmtId="169" fontId="3" fillId="12" borderId="0" applyNumberFormat="0" applyBorder="0" applyAlignment="0" applyProtection="0"/>
    <xf numFmtId="0" fontId="3" fillId="12" borderId="0" applyNumberFormat="0" applyBorder="0" applyAlignment="0" applyProtection="0"/>
    <xf numFmtId="0" fontId="86" fillId="48" borderId="0" applyNumberFormat="0" applyBorder="0" applyAlignment="0" applyProtection="0"/>
    <xf numFmtId="0" fontId="3" fillId="1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86" fillId="52" borderId="0" applyNumberFormat="0" applyBorder="0" applyAlignment="0" applyProtection="0"/>
    <xf numFmtId="0" fontId="89" fillId="52" borderId="0" applyNumberFormat="0" applyBorder="0" applyAlignment="0" applyProtection="0"/>
    <xf numFmtId="169" fontId="3" fillId="9" borderId="0" applyNumberFormat="0" applyBorder="0" applyAlignment="0" applyProtection="0"/>
    <xf numFmtId="0" fontId="89" fillId="52" borderId="0" applyNumberFormat="0" applyBorder="0" applyAlignment="0" applyProtection="0"/>
    <xf numFmtId="0" fontId="90" fillId="52" borderId="0" applyNumberFormat="0" applyBorder="0" applyAlignment="0" applyProtection="0"/>
    <xf numFmtId="0" fontId="3" fillId="9" borderId="0" applyNumberFormat="0" applyBorder="0" applyAlignment="0" applyProtection="0"/>
    <xf numFmtId="0" fontId="3" fillId="77" borderId="0" applyNumberFormat="0" applyBorder="0" applyAlignment="0" applyProtection="0"/>
    <xf numFmtId="0" fontId="3" fillId="9" borderId="0" applyNumberFormat="0" applyBorder="0" applyAlignment="0" applyProtection="0"/>
    <xf numFmtId="0" fontId="86" fillId="52" borderId="0" applyNumberFormat="0" applyBorder="0" applyAlignment="0" applyProtection="0"/>
    <xf numFmtId="169" fontId="3" fillId="9" borderId="0" applyNumberFormat="0" applyBorder="0" applyAlignment="0" applyProtection="0"/>
    <xf numFmtId="0" fontId="86" fillId="52" borderId="0" applyNumberFormat="0" applyBorder="0" applyAlignment="0" applyProtection="0"/>
    <xf numFmtId="0" fontId="3" fillId="9" borderId="0" applyNumberFormat="0" applyBorder="0" applyAlignment="0" applyProtection="0"/>
    <xf numFmtId="169" fontId="3" fillId="9"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90" fillId="52" borderId="0" applyNumberFormat="0" applyBorder="0" applyAlignment="0" applyProtection="0"/>
    <xf numFmtId="0" fontId="89" fillId="52" borderId="0" applyNumberFormat="0" applyBorder="0" applyAlignment="0" applyProtection="0"/>
    <xf numFmtId="0" fontId="86" fillId="56" borderId="0" applyNumberFormat="0" applyBorder="0" applyAlignment="0" applyProtection="0"/>
    <xf numFmtId="0" fontId="89" fillId="56" borderId="0" applyNumberFormat="0" applyBorder="0" applyAlignment="0" applyProtection="0"/>
    <xf numFmtId="169" fontId="3" fillId="10" borderId="0" applyNumberFormat="0" applyBorder="0" applyAlignment="0" applyProtection="0"/>
    <xf numFmtId="0" fontId="89" fillId="56" borderId="0" applyNumberFormat="0" applyBorder="0" applyAlignment="0" applyProtection="0"/>
    <xf numFmtId="0" fontId="86" fillId="29" borderId="0" applyNumberFormat="0" applyBorder="0" applyAlignment="0" applyProtection="0"/>
    <xf numFmtId="0" fontId="90" fillId="56" borderId="0" applyNumberFormat="0" applyBorder="0" applyAlignment="0" applyProtection="0"/>
    <xf numFmtId="0" fontId="3" fillId="10" borderId="0" applyNumberFormat="0" applyBorder="0" applyAlignment="0" applyProtection="0"/>
    <xf numFmtId="0" fontId="3" fillId="78" borderId="0" applyNumberFormat="0" applyBorder="0" applyAlignment="0" applyProtection="0"/>
    <xf numFmtId="0" fontId="3" fillId="29" borderId="0" applyNumberFormat="0" applyBorder="0" applyAlignment="0" applyProtection="0"/>
    <xf numFmtId="0" fontId="3" fillId="10" borderId="0" applyNumberFormat="0" applyBorder="0" applyAlignment="0" applyProtection="0"/>
    <xf numFmtId="169" fontId="3" fillId="10" borderId="0" applyNumberFormat="0" applyBorder="0" applyAlignment="0" applyProtection="0"/>
    <xf numFmtId="0" fontId="86" fillId="5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86" fillId="56" borderId="0" applyNumberFormat="0" applyBorder="0" applyAlignment="0" applyProtection="0"/>
    <xf numFmtId="169" fontId="3" fillId="10" borderId="0" applyNumberFormat="0" applyBorder="0" applyAlignment="0" applyProtection="0"/>
    <xf numFmtId="0" fontId="3" fillId="10" borderId="0" applyNumberFormat="0" applyBorder="0" applyAlignment="0" applyProtection="0"/>
    <xf numFmtId="0" fontId="86" fillId="56" borderId="0" applyNumberFormat="0" applyBorder="0" applyAlignment="0" applyProtection="0"/>
    <xf numFmtId="0" fontId="3" fillId="29" borderId="0" applyNumberFormat="0" applyBorder="0" applyAlignment="0" applyProtection="0"/>
    <xf numFmtId="0" fontId="86" fillId="56" borderId="0" applyNumberFormat="0" applyBorder="0" applyAlignment="0" applyProtection="0"/>
    <xf numFmtId="0" fontId="86"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86" fillId="60" borderId="0" applyNumberFormat="0" applyBorder="0" applyAlignment="0" applyProtection="0"/>
    <xf numFmtId="0" fontId="89" fillId="60" borderId="0" applyNumberFormat="0" applyBorder="0" applyAlignment="0" applyProtection="0"/>
    <xf numFmtId="169" fontId="3" fillId="13" borderId="0" applyNumberFormat="0" applyBorder="0" applyAlignment="0" applyProtection="0"/>
    <xf numFmtId="0" fontId="89" fillId="60" borderId="0" applyNumberFormat="0" applyBorder="0" applyAlignment="0" applyProtection="0"/>
    <xf numFmtId="0" fontId="86" fillId="24" borderId="0" applyNumberFormat="0" applyBorder="0" applyAlignment="0" applyProtection="0"/>
    <xf numFmtId="0" fontId="90" fillId="60" borderId="0" applyNumberFormat="0" applyBorder="0" applyAlignment="0" applyProtection="0"/>
    <xf numFmtId="0" fontId="3" fillId="13" borderId="0" applyNumberFormat="0" applyBorder="0" applyAlignment="0" applyProtection="0"/>
    <xf numFmtId="0" fontId="3" fillId="81" borderId="0" applyNumberFormat="0" applyBorder="0" applyAlignment="0" applyProtection="0"/>
    <xf numFmtId="0" fontId="3" fillId="24" borderId="0" applyNumberFormat="0" applyBorder="0" applyAlignment="0" applyProtection="0"/>
    <xf numFmtId="0" fontId="3" fillId="13" borderId="0" applyNumberFormat="0" applyBorder="0" applyAlignment="0" applyProtection="0"/>
    <xf numFmtId="169" fontId="3" fillId="13" borderId="0" applyNumberFormat="0" applyBorder="0" applyAlignment="0" applyProtection="0"/>
    <xf numFmtId="0" fontId="86"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6" fillId="60" borderId="0" applyNumberFormat="0" applyBorder="0" applyAlignment="0" applyProtection="0"/>
    <xf numFmtId="169" fontId="3" fillId="13" borderId="0" applyNumberFormat="0" applyBorder="0" applyAlignment="0" applyProtection="0"/>
    <xf numFmtId="0" fontId="3" fillId="13" borderId="0" applyNumberFormat="0" applyBorder="0" applyAlignment="0" applyProtection="0"/>
    <xf numFmtId="0" fontId="86" fillId="60" borderId="0" applyNumberFormat="0" applyBorder="0" applyAlignment="0" applyProtection="0"/>
    <xf numFmtId="0" fontId="3" fillId="24"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90" fillId="60" borderId="0" applyNumberFormat="0" applyBorder="0" applyAlignment="0" applyProtection="0"/>
    <xf numFmtId="0" fontId="89" fillId="60" borderId="0" applyNumberFormat="0" applyBorder="0" applyAlignment="0" applyProtection="0"/>
    <xf numFmtId="0" fontId="86" fillId="64" borderId="0" applyNumberFormat="0" applyBorder="0" applyAlignment="0" applyProtection="0"/>
    <xf numFmtId="0" fontId="89" fillId="64" borderId="0" applyNumberFormat="0" applyBorder="0" applyAlignment="0" applyProtection="0"/>
    <xf numFmtId="169" fontId="3" fillId="14" borderId="0" applyNumberFormat="0" applyBorder="0" applyAlignment="0" applyProtection="0"/>
    <xf numFmtId="0" fontId="89" fillId="64" borderId="0" applyNumberFormat="0" applyBorder="0" applyAlignment="0" applyProtection="0"/>
    <xf numFmtId="0" fontId="90" fillId="64" borderId="0" applyNumberFormat="0" applyBorder="0" applyAlignment="0" applyProtection="0"/>
    <xf numFmtId="0" fontId="3" fillId="14" borderId="0" applyNumberFormat="0" applyBorder="0" applyAlignment="0" applyProtection="0"/>
    <xf numFmtId="0" fontId="3" fillId="82" borderId="0" applyNumberFormat="0" applyBorder="0" applyAlignment="0" applyProtection="0"/>
    <xf numFmtId="0" fontId="3" fillId="14" borderId="0" applyNumberFormat="0" applyBorder="0" applyAlignment="0" applyProtection="0"/>
    <xf numFmtId="0" fontId="86" fillId="64" borderId="0" applyNumberFormat="0" applyBorder="0" applyAlignment="0" applyProtection="0"/>
    <xf numFmtId="169" fontId="3" fillId="14" borderId="0" applyNumberFormat="0" applyBorder="0" applyAlignment="0" applyProtection="0"/>
    <xf numFmtId="0" fontId="86" fillId="64" borderId="0" applyNumberFormat="0" applyBorder="0" applyAlignment="0" applyProtection="0"/>
    <xf numFmtId="0" fontId="3" fillId="14" borderId="0" applyNumberFormat="0" applyBorder="0" applyAlignment="0" applyProtection="0"/>
    <xf numFmtId="169" fontId="3" fillId="14" borderId="0" applyNumberFormat="0" applyBorder="0" applyAlignment="0" applyProtection="0"/>
    <xf numFmtId="0" fontId="86" fillId="64" borderId="0" applyNumberFormat="0" applyBorder="0" applyAlignment="0" applyProtection="0"/>
    <xf numFmtId="0" fontId="86" fillId="64" borderId="0" applyNumberFormat="0" applyBorder="0" applyAlignment="0" applyProtection="0"/>
    <xf numFmtId="0" fontId="86" fillId="64" borderId="0" applyNumberFormat="0" applyBorder="0" applyAlignment="0" applyProtection="0"/>
    <xf numFmtId="0" fontId="90" fillId="64" borderId="0" applyNumberFormat="0" applyBorder="0" applyAlignment="0" applyProtection="0"/>
    <xf numFmtId="0" fontId="89" fillId="64" borderId="0" applyNumberFormat="0" applyBorder="0" applyAlignment="0" applyProtection="0"/>
    <xf numFmtId="0" fontId="86" fillId="68" borderId="0" applyNumberFormat="0" applyBorder="0" applyAlignment="0" applyProtection="0"/>
    <xf numFmtId="0" fontId="89" fillId="68" borderId="0" applyNumberFormat="0" applyBorder="0" applyAlignment="0" applyProtection="0"/>
    <xf numFmtId="169" fontId="3" fillId="15" borderId="0" applyNumberFormat="0" applyBorder="0" applyAlignment="0" applyProtection="0"/>
    <xf numFmtId="0" fontId="89" fillId="68" borderId="0" applyNumberFormat="0" applyBorder="0" applyAlignment="0" applyProtection="0"/>
    <xf numFmtId="0" fontId="86" fillId="7" borderId="0" applyNumberFormat="0" applyBorder="0" applyAlignment="0" applyProtection="0"/>
    <xf numFmtId="0" fontId="90" fillId="68" borderId="0" applyNumberFormat="0" applyBorder="0" applyAlignment="0" applyProtection="0"/>
    <xf numFmtId="0" fontId="3" fillId="15" borderId="0" applyNumberFormat="0" applyBorder="0" applyAlignment="0" applyProtection="0"/>
    <xf numFmtId="0" fontId="3" fillId="83" borderId="0" applyNumberFormat="0" applyBorder="0" applyAlignment="0" applyProtection="0"/>
    <xf numFmtId="0" fontId="3" fillId="7" borderId="0" applyNumberFormat="0" applyBorder="0" applyAlignment="0" applyProtection="0"/>
    <xf numFmtId="0" fontId="3" fillId="15" borderId="0" applyNumberFormat="0" applyBorder="0" applyAlignment="0" applyProtection="0"/>
    <xf numFmtId="169" fontId="3" fillId="15" borderId="0" applyNumberFormat="0" applyBorder="0" applyAlignment="0" applyProtection="0"/>
    <xf numFmtId="0" fontId="86" fillId="6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86" fillId="68" borderId="0" applyNumberFormat="0" applyBorder="0" applyAlignment="0" applyProtection="0"/>
    <xf numFmtId="169" fontId="3" fillId="15" borderId="0" applyNumberFormat="0" applyBorder="0" applyAlignment="0" applyProtection="0"/>
    <xf numFmtId="0" fontId="3" fillId="15" borderId="0" applyNumberFormat="0" applyBorder="0" applyAlignment="0" applyProtection="0"/>
    <xf numFmtId="0" fontId="86" fillId="68" borderId="0" applyNumberFormat="0" applyBorder="0" applyAlignment="0" applyProtection="0"/>
    <xf numFmtId="0" fontId="3" fillId="7" borderId="0" applyNumberFormat="0" applyBorder="0" applyAlignment="0" applyProtection="0"/>
    <xf numFmtId="0" fontId="86" fillId="68" borderId="0" applyNumberFormat="0" applyBorder="0" applyAlignment="0" applyProtection="0"/>
    <xf numFmtId="0" fontId="86" fillId="68" borderId="0" applyNumberFormat="0" applyBorder="0" applyAlignment="0" applyProtection="0"/>
    <xf numFmtId="0" fontId="90" fillId="68" borderId="0" applyNumberFormat="0" applyBorder="0" applyAlignment="0" applyProtection="0"/>
    <xf numFmtId="0" fontId="89" fillId="68" borderId="0" applyNumberFormat="0" applyBorder="0" applyAlignment="0" applyProtection="0"/>
    <xf numFmtId="0" fontId="87" fillId="0" borderId="26" applyNumberFormat="0" applyFont="0" applyFill="0" applyAlignment="0" applyProtection="0"/>
    <xf numFmtId="0" fontId="91" fillId="84" borderId="0" applyNumberFormat="0" applyBorder="0" applyAlignment="0" applyProtection="0"/>
    <xf numFmtId="0" fontId="91" fillId="84" borderId="0" applyNumberFormat="0" applyBorder="0" applyAlignment="0" applyProtection="0"/>
    <xf numFmtId="0" fontId="3" fillId="85" borderId="0" applyNumberFormat="0" applyBorder="0" applyAlignment="0" applyProtection="0"/>
    <xf numFmtId="0" fontId="86" fillId="45" borderId="0" applyNumberFormat="0" applyBorder="0" applyAlignment="0" applyProtection="0"/>
    <xf numFmtId="0" fontId="89" fillId="45" borderId="0" applyNumberFormat="0" applyBorder="0" applyAlignment="0" applyProtection="0"/>
    <xf numFmtId="169" fontId="3" fillId="17" borderId="0" applyNumberFormat="0" applyBorder="0" applyAlignment="0" applyProtection="0"/>
    <xf numFmtId="0" fontId="89" fillId="45" borderId="0" applyNumberFormat="0" applyBorder="0" applyAlignment="0" applyProtection="0"/>
    <xf numFmtId="0" fontId="86" fillId="14" borderId="0" applyNumberFormat="0" applyBorder="0" applyAlignment="0" applyProtection="0"/>
    <xf numFmtId="0" fontId="90" fillId="45" borderId="0" applyNumberFormat="0" applyBorder="0" applyAlignment="0" applyProtection="0"/>
    <xf numFmtId="0" fontId="3" fillId="17" borderId="0" applyNumberFormat="0" applyBorder="0" applyAlignment="0" applyProtection="0"/>
    <xf numFmtId="0" fontId="3" fillId="8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169" fontId="3" fillId="17" borderId="0" applyNumberFormat="0" applyBorder="0" applyAlignment="0" applyProtection="0"/>
    <xf numFmtId="0" fontId="86" fillId="45" borderId="0" applyNumberFormat="0" applyBorder="0" applyAlignment="0" applyProtection="0"/>
    <xf numFmtId="0" fontId="86"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6" fillId="45" borderId="0" applyNumberFormat="0" applyBorder="0" applyAlignment="0" applyProtection="0"/>
    <xf numFmtId="169" fontId="3" fillId="17" borderId="0" applyNumberFormat="0" applyBorder="0" applyAlignment="0" applyProtection="0"/>
    <xf numFmtId="0" fontId="3" fillId="17" borderId="0" applyNumberFormat="0" applyBorder="0" applyAlignment="0" applyProtection="0"/>
    <xf numFmtId="0" fontId="86" fillId="45" borderId="0" applyNumberFormat="0" applyBorder="0" applyAlignment="0" applyProtection="0"/>
    <xf numFmtId="0" fontId="3" fillId="1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90" fillId="45" borderId="0" applyNumberFormat="0" applyBorder="0" applyAlignment="0" applyProtection="0"/>
    <xf numFmtId="0" fontId="89" fillId="45" borderId="0" applyNumberFormat="0" applyBorder="0" applyAlignment="0" applyProtection="0"/>
    <xf numFmtId="0" fontId="91" fillId="87" borderId="0" applyNumberFormat="0" applyBorder="0" applyAlignment="0" applyProtection="0"/>
    <xf numFmtId="0" fontId="91" fillId="88" borderId="0" applyNumberFormat="0" applyBorder="0" applyAlignment="0" applyProtection="0"/>
    <xf numFmtId="0" fontId="3" fillId="89" borderId="0" applyNumberFormat="0" applyBorder="0" applyAlignment="0" applyProtection="0"/>
    <xf numFmtId="0" fontId="86" fillId="49" borderId="0" applyNumberFormat="0" applyBorder="0" applyAlignment="0" applyProtection="0"/>
    <xf numFmtId="0" fontId="89" fillId="49" borderId="0" applyNumberFormat="0" applyBorder="0" applyAlignment="0" applyProtection="0"/>
    <xf numFmtId="169" fontId="3" fillId="18" borderId="0" applyNumberFormat="0" applyBorder="0" applyAlignment="0" applyProtection="0"/>
    <xf numFmtId="0" fontId="89" fillId="49" borderId="0" applyNumberFormat="0" applyBorder="0" applyAlignment="0" applyProtection="0"/>
    <xf numFmtId="0" fontId="86" fillId="90" borderId="0" applyNumberFormat="0" applyBorder="0" applyAlignment="0" applyProtection="0"/>
    <xf numFmtId="0" fontId="90" fillId="49" borderId="0" applyNumberFormat="0" applyBorder="0" applyAlignment="0" applyProtection="0"/>
    <xf numFmtId="0" fontId="3" fillId="18" borderId="0" applyNumberFormat="0" applyBorder="0" applyAlignment="0" applyProtection="0"/>
    <xf numFmtId="0" fontId="3" fillId="91" borderId="0" applyNumberFormat="0" applyBorder="0" applyAlignment="0" applyProtection="0"/>
    <xf numFmtId="0" fontId="3" fillId="18" borderId="0" applyNumberFormat="0" applyBorder="0" applyAlignment="0" applyProtection="0"/>
    <xf numFmtId="0" fontId="86" fillId="49" borderId="0" applyNumberFormat="0" applyBorder="0" applyAlignment="0" applyProtection="0"/>
    <xf numFmtId="169" fontId="3" fillId="18" borderId="0" applyNumberFormat="0" applyBorder="0" applyAlignment="0" applyProtection="0"/>
    <xf numFmtId="0" fontId="86" fillId="90" borderId="0" applyNumberFormat="0" applyBorder="0" applyAlignment="0" applyProtection="0"/>
    <xf numFmtId="0" fontId="86" fillId="49" borderId="0" applyNumberFormat="0" applyBorder="0" applyAlignment="0" applyProtection="0"/>
    <xf numFmtId="0" fontId="3" fillId="18" borderId="0" applyNumberFormat="0" applyBorder="0" applyAlignment="0" applyProtection="0"/>
    <xf numFmtId="169" fontId="3" fillId="18"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1" fillId="87" borderId="0" applyNumberFormat="0" applyBorder="0" applyAlignment="0" applyProtection="0"/>
    <xf numFmtId="0" fontId="91" fillId="92" borderId="0" applyNumberFormat="0" applyBorder="0" applyAlignment="0" applyProtection="0"/>
    <xf numFmtId="0" fontId="3" fillId="88" borderId="0" applyNumberFormat="0" applyBorder="0" applyAlignment="0" applyProtection="0"/>
    <xf numFmtId="0" fontId="86" fillId="53" borderId="0" applyNumberFormat="0" applyBorder="0" applyAlignment="0" applyProtection="0"/>
    <xf numFmtId="0" fontId="89" fillId="53" borderId="0" applyNumberFormat="0" applyBorder="0" applyAlignment="0" applyProtection="0"/>
    <xf numFmtId="169" fontId="3" fillId="19" borderId="0" applyNumberFormat="0" applyBorder="0" applyAlignment="0" applyProtection="0"/>
    <xf numFmtId="0" fontId="89" fillId="53" borderId="0" applyNumberFormat="0" applyBorder="0" applyAlignment="0" applyProtection="0"/>
    <xf numFmtId="0" fontId="86" fillId="90" borderId="0" applyNumberFormat="0" applyBorder="0" applyAlignment="0" applyProtection="0"/>
    <xf numFmtId="0" fontId="90" fillId="53" borderId="0" applyNumberFormat="0" applyBorder="0" applyAlignment="0" applyProtection="0"/>
    <xf numFmtId="0" fontId="3" fillId="19" borderId="0" applyNumberFormat="0" applyBorder="0" applyAlignment="0" applyProtection="0"/>
    <xf numFmtId="0" fontId="3" fillId="93" borderId="0" applyNumberFormat="0" applyBorder="0" applyAlignment="0" applyProtection="0"/>
    <xf numFmtId="0" fontId="3" fillId="19" borderId="0" applyNumberFormat="0" applyBorder="0" applyAlignment="0" applyProtection="0"/>
    <xf numFmtId="0" fontId="86" fillId="53" borderId="0" applyNumberFormat="0" applyBorder="0" applyAlignment="0" applyProtection="0"/>
    <xf numFmtId="169" fontId="3" fillId="19" borderId="0" applyNumberFormat="0" applyBorder="0" applyAlignment="0" applyProtection="0"/>
    <xf numFmtId="0" fontId="86" fillId="90" borderId="0" applyNumberFormat="0" applyBorder="0" applyAlignment="0" applyProtection="0"/>
    <xf numFmtId="0" fontId="86" fillId="53" borderId="0" applyNumberFormat="0" applyBorder="0" applyAlignment="0" applyProtection="0"/>
    <xf numFmtId="0" fontId="3" fillId="19" borderId="0" applyNumberFormat="0" applyBorder="0" applyAlignment="0" applyProtection="0"/>
    <xf numFmtId="169" fontId="3" fillId="19"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91" fillId="84" borderId="0" applyNumberFormat="0" applyBorder="0" applyAlignment="0" applyProtection="0"/>
    <xf numFmtId="0" fontId="91" fillId="88" borderId="0" applyNumberFormat="0" applyBorder="0" applyAlignment="0" applyProtection="0"/>
    <xf numFmtId="0" fontId="3" fillId="88" borderId="0" applyNumberFormat="0" applyBorder="0" applyAlignment="0" applyProtection="0"/>
    <xf numFmtId="0" fontId="86" fillId="57" borderId="0" applyNumberFormat="0" applyBorder="0" applyAlignment="0" applyProtection="0"/>
    <xf numFmtId="0" fontId="89" fillId="57" borderId="0" applyNumberFormat="0" applyBorder="0" applyAlignment="0" applyProtection="0"/>
    <xf numFmtId="169" fontId="3" fillId="13" borderId="0" applyNumberFormat="0" applyBorder="0" applyAlignment="0" applyProtection="0"/>
    <xf numFmtId="0" fontId="89" fillId="57" borderId="0" applyNumberFormat="0" applyBorder="0" applyAlignment="0" applyProtection="0"/>
    <xf numFmtId="0" fontId="86" fillId="94" borderId="0" applyNumberFormat="0" applyBorder="0" applyAlignment="0" applyProtection="0"/>
    <xf numFmtId="0" fontId="90" fillId="57" borderId="0" applyNumberFormat="0" applyBorder="0" applyAlignment="0" applyProtection="0"/>
    <xf numFmtId="0" fontId="3" fillId="13" borderId="0" applyNumberFormat="0" applyBorder="0" applyAlignment="0" applyProtection="0"/>
    <xf numFmtId="0" fontId="3" fillId="81" borderId="0" applyNumberFormat="0" applyBorder="0" applyAlignment="0" applyProtection="0"/>
    <xf numFmtId="0" fontId="3" fillId="94" borderId="0" applyNumberFormat="0" applyBorder="0" applyAlignment="0" applyProtection="0"/>
    <xf numFmtId="0" fontId="3" fillId="13" borderId="0" applyNumberFormat="0" applyBorder="0" applyAlignment="0" applyProtection="0"/>
    <xf numFmtId="169" fontId="3" fillId="13" borderId="0" applyNumberFormat="0" applyBorder="0" applyAlignment="0" applyProtection="0"/>
    <xf numFmtId="0" fontId="86" fillId="57" borderId="0" applyNumberFormat="0" applyBorder="0" applyAlignment="0" applyProtection="0"/>
    <xf numFmtId="0" fontId="86" fillId="94" borderId="0" applyNumberFormat="0" applyBorder="0" applyAlignment="0" applyProtection="0"/>
    <xf numFmtId="0" fontId="3" fillId="94" borderId="0" applyNumberFormat="0" applyBorder="0" applyAlignment="0" applyProtection="0"/>
    <xf numFmtId="0" fontId="3" fillId="94" borderId="0" applyNumberFormat="0" applyBorder="0" applyAlignment="0" applyProtection="0"/>
    <xf numFmtId="0" fontId="86" fillId="57" borderId="0" applyNumberFormat="0" applyBorder="0" applyAlignment="0" applyProtection="0"/>
    <xf numFmtId="169" fontId="3" fillId="13" borderId="0" applyNumberFormat="0" applyBorder="0" applyAlignment="0" applyProtection="0"/>
    <xf numFmtId="0" fontId="3" fillId="13" borderId="0" applyNumberFormat="0" applyBorder="0" applyAlignment="0" applyProtection="0"/>
    <xf numFmtId="0" fontId="86" fillId="57" borderId="0" applyNumberFormat="0" applyBorder="0" applyAlignment="0" applyProtection="0"/>
    <xf numFmtId="0" fontId="3" fillId="94"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1" fillId="95" borderId="0" applyNumberFormat="0" applyBorder="0" applyAlignment="0" applyProtection="0"/>
    <xf numFmtId="0" fontId="91" fillId="84" borderId="0" applyNumberFormat="0" applyBorder="0" applyAlignment="0" applyProtection="0"/>
    <xf numFmtId="0" fontId="3" fillId="85" borderId="0" applyNumberFormat="0" applyBorder="0" applyAlignment="0" applyProtection="0"/>
    <xf numFmtId="0" fontId="86" fillId="61" borderId="0" applyNumberFormat="0" applyBorder="0" applyAlignment="0" applyProtection="0"/>
    <xf numFmtId="0" fontId="89" fillId="61" borderId="0" applyNumberFormat="0" applyBorder="0" applyAlignment="0" applyProtection="0"/>
    <xf numFmtId="169" fontId="3" fillId="14" borderId="0" applyNumberFormat="0" applyBorder="0" applyAlignment="0" applyProtection="0"/>
    <xf numFmtId="0" fontId="89" fillId="61" borderId="0" applyNumberFormat="0" applyBorder="0" applyAlignment="0" applyProtection="0"/>
    <xf numFmtId="0" fontId="90" fillId="61" borderId="0" applyNumberFormat="0" applyBorder="0" applyAlignment="0" applyProtection="0"/>
    <xf numFmtId="0" fontId="3" fillId="14" borderId="0" applyNumberFormat="0" applyBorder="0" applyAlignment="0" applyProtection="0"/>
    <xf numFmtId="0" fontId="3" fillId="82" borderId="0" applyNumberFormat="0" applyBorder="0" applyAlignment="0" applyProtection="0"/>
    <xf numFmtId="0" fontId="3" fillId="14" borderId="0" applyNumberFormat="0" applyBorder="0" applyAlignment="0" applyProtection="0"/>
    <xf numFmtId="0" fontId="86" fillId="61" borderId="0" applyNumberFormat="0" applyBorder="0" applyAlignment="0" applyProtection="0"/>
    <xf numFmtId="169" fontId="3" fillId="14" borderId="0" applyNumberFormat="0" applyBorder="0" applyAlignment="0" applyProtection="0"/>
    <xf numFmtId="0" fontId="86" fillId="61" borderId="0" applyNumberFormat="0" applyBorder="0" applyAlignment="0" applyProtection="0"/>
    <xf numFmtId="0" fontId="3" fillId="14" borderId="0" applyNumberFormat="0" applyBorder="0" applyAlignment="0" applyProtection="0"/>
    <xf numFmtId="169" fontId="3" fillId="14"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90" fillId="61" borderId="0" applyNumberFormat="0" applyBorder="0" applyAlignment="0" applyProtection="0"/>
    <xf numFmtId="0" fontId="89" fillId="61" borderId="0" applyNumberFormat="0" applyBorder="0" applyAlignment="0" applyProtection="0"/>
    <xf numFmtId="0" fontId="91" fillId="87" borderId="0" applyNumberFormat="0" applyBorder="0" applyAlignment="0" applyProtection="0"/>
    <xf numFmtId="0" fontId="91" fillId="96" borderId="0" applyNumberFormat="0" applyBorder="0" applyAlignment="0" applyProtection="0"/>
    <xf numFmtId="0" fontId="3" fillId="96" borderId="0" applyNumberFormat="0" applyBorder="0" applyAlignment="0" applyProtection="0"/>
    <xf numFmtId="0" fontId="86" fillId="65" borderId="0" applyNumberFormat="0" applyBorder="0" applyAlignment="0" applyProtection="0"/>
    <xf numFmtId="0" fontId="89" fillId="65" borderId="0" applyNumberFormat="0" applyBorder="0" applyAlignment="0" applyProtection="0"/>
    <xf numFmtId="169" fontId="3" fillId="20" borderId="0" applyNumberFormat="0" applyBorder="0" applyAlignment="0" applyProtection="0"/>
    <xf numFmtId="0" fontId="89" fillId="65" borderId="0" applyNumberFormat="0" applyBorder="0" applyAlignment="0" applyProtection="0"/>
    <xf numFmtId="0" fontId="90" fillId="65" borderId="0" applyNumberFormat="0" applyBorder="0" applyAlignment="0" applyProtection="0"/>
    <xf numFmtId="0" fontId="3" fillId="20" borderId="0" applyNumberFormat="0" applyBorder="0" applyAlignment="0" applyProtection="0"/>
    <xf numFmtId="0" fontId="3" fillId="97" borderId="0" applyNumberFormat="0" applyBorder="0" applyAlignment="0" applyProtection="0"/>
    <xf numFmtId="0" fontId="3" fillId="20" borderId="0" applyNumberFormat="0" applyBorder="0" applyAlignment="0" applyProtection="0"/>
    <xf numFmtId="0" fontId="86" fillId="65" borderId="0" applyNumberFormat="0" applyBorder="0" applyAlignment="0" applyProtection="0"/>
    <xf numFmtId="169" fontId="3" fillId="20" borderId="0" applyNumberFormat="0" applyBorder="0" applyAlignment="0" applyProtection="0"/>
    <xf numFmtId="0" fontId="86" fillId="65" borderId="0" applyNumberFormat="0" applyBorder="0" applyAlignment="0" applyProtection="0"/>
    <xf numFmtId="0" fontId="3" fillId="20" borderId="0" applyNumberFormat="0" applyBorder="0" applyAlignment="0" applyProtection="0"/>
    <xf numFmtId="169" fontId="3" fillId="20" borderId="0" applyNumberFormat="0" applyBorder="0" applyAlignment="0" applyProtection="0"/>
    <xf numFmtId="0" fontId="86" fillId="65" borderId="0" applyNumberFormat="0" applyBorder="0" applyAlignment="0" applyProtection="0"/>
    <xf numFmtId="0" fontId="86" fillId="65" borderId="0" applyNumberFormat="0" applyBorder="0" applyAlignment="0" applyProtection="0"/>
    <xf numFmtId="0" fontId="86" fillId="65" borderId="0" applyNumberFormat="0" applyBorder="0" applyAlignment="0" applyProtection="0"/>
    <xf numFmtId="0" fontId="90" fillId="65" borderId="0" applyNumberFormat="0" applyBorder="0" applyAlignment="0" applyProtection="0"/>
    <xf numFmtId="0" fontId="89" fillId="65" borderId="0" applyNumberFormat="0" applyBorder="0" applyAlignment="0" applyProtection="0"/>
    <xf numFmtId="0" fontId="92" fillId="0" borderId="27" applyNumberFormat="0"/>
    <xf numFmtId="0" fontId="87" fillId="0" borderId="21" applyNumberFormat="0" applyFont="0" applyBorder="0"/>
    <xf numFmtId="0" fontId="93" fillId="98" borderId="21" applyNumberFormat="0" applyBorder="0"/>
    <xf numFmtId="0" fontId="93" fillId="98" borderId="28" applyNumberFormat="0" applyFont="0"/>
    <xf numFmtId="0" fontId="94" fillId="98" borderId="21" applyNumberFormat="0" applyFont="0" applyBorder="0"/>
    <xf numFmtId="171" fontId="23" fillId="21" borderId="3">
      <alignment horizontal="center" vertical="center"/>
    </xf>
    <xf numFmtId="171" fontId="23" fillId="21" borderId="3">
      <alignment horizontal="center" vertical="center"/>
    </xf>
    <xf numFmtId="199" fontId="95"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200" fontId="20" fillId="21" borderId="3">
      <alignment horizontal="center" vertical="center"/>
    </xf>
    <xf numFmtId="171" fontId="23" fillId="21" borderId="3">
      <alignment horizontal="center" vertical="center"/>
    </xf>
    <xf numFmtId="200" fontId="20" fillId="21" borderId="3">
      <alignment horizontal="center" vertical="center"/>
    </xf>
    <xf numFmtId="200" fontId="20" fillId="21" borderId="3">
      <alignment horizontal="center" vertical="center"/>
    </xf>
    <xf numFmtId="0" fontId="34" fillId="0" borderId="0" applyNumberFormat="0" applyFill="0" applyBorder="0" applyAlignment="0">
      <protection locked="0"/>
    </xf>
    <xf numFmtId="0" fontId="96" fillId="0" borderId="0" applyNumberFormat="0" applyFill="0" applyBorder="0" applyAlignment="0">
      <protection locked="0"/>
    </xf>
    <xf numFmtId="0" fontId="34" fillId="0" borderId="0" applyNumberFormat="0" applyFill="0" applyBorder="0" applyAlignment="0">
      <protection locked="0"/>
    </xf>
    <xf numFmtId="0" fontId="96" fillId="0" borderId="0" applyNumberFormat="0" applyFill="0" applyBorder="0" applyAlignment="0">
      <protection locked="0"/>
    </xf>
    <xf numFmtId="0" fontId="83" fillId="42" borderId="0" applyNumberFormat="0" applyBorder="0" applyAlignment="0" applyProtection="0"/>
    <xf numFmtId="0" fontId="97" fillId="42" borderId="0" applyNumberFormat="0" applyBorder="0" applyAlignment="0" applyProtection="0"/>
    <xf numFmtId="169" fontId="10" fillId="3"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10" fillId="3" borderId="0" applyNumberFormat="0" applyBorder="0" applyAlignment="0" applyProtection="0"/>
    <xf numFmtId="0" fontId="100" fillId="71" borderId="0" applyNumberFormat="0" applyBorder="0" applyAlignment="0" applyProtection="0"/>
    <xf numFmtId="0" fontId="10" fillId="3" borderId="0" applyNumberFormat="0" applyBorder="0" applyAlignment="0" applyProtection="0"/>
    <xf numFmtId="0" fontId="83" fillId="42" borderId="0" applyNumberFormat="0" applyBorder="0" applyAlignment="0" applyProtection="0"/>
    <xf numFmtId="169" fontId="10" fillId="3" borderId="0" applyNumberFormat="0" applyBorder="0" applyAlignment="0" applyProtection="0"/>
    <xf numFmtId="0" fontId="83" fillId="42" borderId="0" applyNumberFormat="0" applyBorder="0" applyAlignment="0" applyProtection="0"/>
    <xf numFmtId="0" fontId="10" fillId="3" borderId="0" applyNumberFormat="0" applyBorder="0" applyAlignment="0" applyProtection="0"/>
    <xf numFmtId="169" fontId="10" fillId="3"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99" fillId="42" borderId="0" applyNumberFormat="0" applyBorder="0" applyAlignment="0" applyProtection="0"/>
    <xf numFmtId="0" fontId="97" fillId="42" borderId="0" applyNumberFormat="0" applyBorder="0" applyAlignment="0" applyProtection="0"/>
    <xf numFmtId="0" fontId="19" fillId="8" borderId="0" applyNumberFormat="0" applyBorder="0" applyAlignment="0">
      <protection locked="0"/>
    </xf>
    <xf numFmtId="0" fontId="19" fillId="8" borderId="0" applyNumberFormat="0" applyBorder="0" applyAlignment="0">
      <protection locked="0"/>
    </xf>
    <xf numFmtId="169" fontId="27" fillId="23" borderId="29" applyNumberFormat="0" applyBorder="0" applyAlignment="0" applyProtection="0"/>
    <xf numFmtId="0" fontId="4" fillId="99" borderId="0">
      <alignment horizontal="center"/>
    </xf>
    <xf numFmtId="0" fontId="4" fillId="99" borderId="0">
      <alignment horizontal="center"/>
    </xf>
    <xf numFmtId="0" fontId="84" fillId="43" borderId="24" applyNumberFormat="0" applyAlignment="0" applyProtection="0"/>
    <xf numFmtId="0" fontId="101" fillId="43" borderId="24" applyNumberFormat="0" applyAlignment="0" applyProtection="0"/>
    <xf numFmtId="169" fontId="14" fillId="24" borderId="5" applyNumberFormat="0" applyAlignment="0" applyProtection="0"/>
    <xf numFmtId="0" fontId="101" fillId="43" borderId="24" applyNumberFormat="0" applyAlignment="0" applyProtection="0"/>
    <xf numFmtId="0" fontId="84" fillId="69" borderId="24" applyNumberFormat="0" applyAlignment="0" applyProtection="0"/>
    <xf numFmtId="0" fontId="102" fillId="43" borderId="24" applyNumberFormat="0" applyAlignment="0" applyProtection="0"/>
    <xf numFmtId="0" fontId="14" fillId="24" borderId="5" applyNumberFormat="0" applyAlignment="0" applyProtection="0"/>
    <xf numFmtId="0" fontId="14" fillId="100" borderId="5" applyNumberFormat="0" applyAlignment="0" applyProtection="0"/>
    <xf numFmtId="0" fontId="14" fillId="69" borderId="5" applyNumberFormat="0" applyAlignment="0" applyProtection="0"/>
    <xf numFmtId="0" fontId="14" fillId="24" borderId="5" applyNumberFormat="0" applyAlignment="0" applyProtection="0"/>
    <xf numFmtId="169" fontId="14" fillId="24" borderId="5" applyNumberFormat="0" applyAlignment="0" applyProtection="0"/>
    <xf numFmtId="0" fontId="84" fillId="43" borderId="24" applyNumberFormat="0" applyAlignment="0" applyProtection="0"/>
    <xf numFmtId="0" fontId="14" fillId="69" borderId="5" applyNumberFormat="0" applyAlignment="0" applyProtection="0"/>
    <xf numFmtId="0" fontId="14" fillId="69" borderId="5" applyNumberFormat="0" applyAlignment="0" applyProtection="0"/>
    <xf numFmtId="0" fontId="84" fillId="43" borderId="24" applyNumberFormat="0" applyAlignment="0" applyProtection="0"/>
    <xf numFmtId="169" fontId="14" fillId="24" borderId="5" applyNumberFormat="0" applyAlignment="0" applyProtection="0"/>
    <xf numFmtId="0" fontId="14" fillId="24" borderId="5" applyNumberFormat="0" applyAlignment="0" applyProtection="0"/>
    <xf numFmtId="0" fontId="84" fillId="43" borderId="24" applyNumberFormat="0" applyAlignment="0" applyProtection="0"/>
    <xf numFmtId="0" fontId="14" fillId="69" borderId="5" applyNumberFormat="0" applyAlignment="0" applyProtection="0"/>
    <xf numFmtId="0" fontId="84" fillId="43" borderId="24" applyNumberFormat="0" applyAlignment="0" applyProtection="0"/>
    <xf numFmtId="0" fontId="84" fillId="43" borderId="24" applyNumberFormat="0" applyAlignment="0" applyProtection="0"/>
    <xf numFmtId="0" fontId="102" fillId="43" borderId="24" applyNumberFormat="0" applyAlignment="0" applyProtection="0"/>
    <xf numFmtId="0" fontId="101" fillId="43" borderId="24" applyNumberFormat="0" applyAlignment="0" applyProtection="0"/>
    <xf numFmtId="0" fontId="19" fillId="0" borderId="30" applyNumberFormat="0" applyFont="0" applyBorder="0"/>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19" fillId="0" borderId="21" applyNumberFormat="0" applyBorder="0">
      <alignment horizontal="center"/>
    </xf>
    <xf numFmtId="0" fontId="71" fillId="41" borderId="31" applyNumberFormat="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Fill="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0" fontId="19" fillId="0" borderId="30" applyNumberFormat="0" applyFont="0" applyBorder="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9" fontId="19" fillId="101" borderId="31" applyNumberFormat="0" applyFont="0"/>
    <xf numFmtId="0" fontId="65" fillId="0" borderId="32" applyNumberFormat="0" applyBorder="0"/>
    <xf numFmtId="0" fontId="65" fillId="0" borderId="32" applyNumberFormat="0" applyBorder="0"/>
    <xf numFmtId="0" fontId="19" fillId="0" borderId="0">
      <alignment horizontal="centerContinuous" vertical="center" wrapText="1"/>
    </xf>
    <xf numFmtId="0" fontId="19" fillId="0" borderId="0">
      <alignment horizontal="centerContinuous" vertical="center" wrapText="1"/>
    </xf>
    <xf numFmtId="0" fontId="43" fillId="0" borderId="0">
      <alignment horizontal="centerContinuous" vertical="center" wrapText="1"/>
    </xf>
    <xf numFmtId="0" fontId="85" fillId="44" borderId="25" applyNumberFormat="0" applyAlignment="0" applyProtection="0"/>
    <xf numFmtId="0" fontId="103" fillId="44" borderId="25" applyNumberFormat="0" applyAlignment="0" applyProtection="0"/>
    <xf numFmtId="169" fontId="2" fillId="25" borderId="6" applyNumberFormat="0" applyAlignment="0" applyProtection="0"/>
    <xf numFmtId="0" fontId="103" fillId="44" borderId="25" applyNumberFormat="0" applyAlignment="0" applyProtection="0"/>
    <xf numFmtId="0" fontId="104" fillId="44" borderId="25" applyNumberFormat="0" applyAlignment="0" applyProtection="0"/>
    <xf numFmtId="0" fontId="2" fillId="25" borderId="6" applyNumberFormat="0" applyAlignment="0" applyProtection="0"/>
    <xf numFmtId="0" fontId="2" fillId="102" borderId="6" applyNumberFormat="0" applyAlignment="0" applyProtection="0"/>
    <xf numFmtId="0" fontId="2" fillId="25" borderId="6" applyNumberFormat="0" applyAlignment="0" applyProtection="0"/>
    <xf numFmtId="0" fontId="85" fillId="44" borderId="25" applyNumberFormat="0" applyAlignment="0" applyProtection="0"/>
    <xf numFmtId="169" fontId="2" fillId="25" borderId="6" applyNumberFormat="0" applyAlignment="0" applyProtection="0"/>
    <xf numFmtId="0" fontId="85" fillId="44" borderId="25" applyNumberFormat="0" applyAlignment="0" applyProtection="0"/>
    <xf numFmtId="0" fontId="2" fillId="25" borderId="6" applyNumberFormat="0" applyAlignment="0" applyProtection="0"/>
    <xf numFmtId="169" fontId="2" fillId="25" borderId="6" applyNumberFormat="0" applyAlignment="0" applyProtection="0"/>
    <xf numFmtId="0" fontId="85" fillId="44" borderId="25" applyNumberFormat="0" applyAlignment="0" applyProtection="0"/>
    <xf numFmtId="0" fontId="85" fillId="44" borderId="25" applyNumberFormat="0" applyAlignment="0" applyProtection="0"/>
    <xf numFmtId="0" fontId="85" fillId="44" borderId="25" applyNumberFormat="0" applyAlignment="0" applyProtection="0"/>
    <xf numFmtId="0" fontId="104" fillId="44" borderId="25" applyNumberFormat="0" applyAlignment="0" applyProtection="0"/>
    <xf numFmtId="0" fontId="103" fillId="44" borderId="25" applyNumberFormat="0" applyAlignment="0" applyProtection="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201" fontId="105" fillId="0" borderId="0"/>
    <xf numFmtId="190" fontId="19" fillId="0" borderId="0"/>
    <xf numFmtId="190" fontId="19" fillId="0" borderId="0"/>
    <xf numFmtId="201" fontId="105" fillId="0" borderId="0"/>
    <xf numFmtId="190" fontId="19" fillId="0" borderId="0"/>
    <xf numFmtId="0" fontId="19" fillId="0" borderId="0" applyFont="0" applyFill="0" applyBorder="0" applyAlignment="0" applyProtection="0">
      <alignment horizontal="center" vertical="center"/>
    </xf>
    <xf numFmtId="202" fontId="95"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202" fontId="19" fillId="0" borderId="0" applyFont="0" applyFill="0" applyBorder="0" applyAlignment="0" applyProtection="0">
      <alignment horizontal="center" vertical="center"/>
    </xf>
    <xf numFmtId="0" fontId="19" fillId="0" borderId="0" applyFont="0" applyFill="0" applyBorder="0" applyAlignment="0" applyProtection="0">
      <alignment horizontal="center" vertical="center"/>
    </xf>
    <xf numFmtId="0" fontId="19" fillId="0" borderId="0" applyFont="0" applyFill="0" applyBorder="0" applyAlignment="0" applyProtection="0">
      <alignment horizontal="center"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21" fillId="0" borderId="0" applyFont="0" applyFill="0" applyBorder="0" applyAlignment="0" applyProtection="0"/>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xf numFmtId="41" fontId="19" fillId="0" borderId="0"/>
    <xf numFmtId="41" fontId="19" fillId="0" borderId="0"/>
    <xf numFmtId="41" fontId="19" fillId="0" borderId="0"/>
    <xf numFmtId="41" fontId="19" fillId="0" borderId="0"/>
    <xf numFmtId="41" fontId="19" fillId="0" borderId="0"/>
    <xf numFmtId="41" fontId="19" fillId="0" borderId="0"/>
    <xf numFmtId="41" fontId="19" fillId="0" borderId="0"/>
    <xf numFmtId="41" fontId="19" fillId="0" borderId="0" applyFont="0" applyFill="0" applyBorder="0" applyAlignment="0" applyProtection="0"/>
    <xf numFmtId="41" fontId="19" fillId="0" borderId="0">
      <alignment vertical="center"/>
    </xf>
    <xf numFmtId="37" fontId="1" fillId="0" borderId="0" applyFont="0" applyFill="0" applyBorder="0" applyAlignment="0" applyProtection="0"/>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06" fillId="0" borderId="0" applyFont="0" applyFill="0" applyBorder="0" applyAlignment="0" applyProtection="0"/>
    <xf numFmtId="39" fontId="19" fillId="0" borderId="0" applyFont="0" applyFill="0" applyBorder="0">
      <protection locked="0"/>
    </xf>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169" fontId="27" fillId="23" borderId="29" applyNumberFormat="0" applyBorder="0" applyAlignment="0" applyProtection="0"/>
    <xf numFmtId="0" fontId="65" fillId="0" borderId="32" applyNumberFormat="0" applyBorder="0"/>
    <xf numFmtId="0" fontId="65" fillId="0" borderId="32" applyNumberFormat="0" applyBorder="0"/>
    <xf numFmtId="0" fontId="65" fillId="0" borderId="32" applyNumberFormat="0" applyBorder="0"/>
    <xf numFmtId="0" fontId="65" fillId="0" borderId="32" applyNumberFormat="0" applyBorder="0"/>
    <xf numFmtId="0" fontId="65" fillId="0" borderId="32" applyNumberFormat="0" applyBorder="0"/>
    <xf numFmtId="0" fontId="65" fillId="0" borderId="32" applyNumberFormat="0" applyBorder="0"/>
    <xf numFmtId="0" fontId="65" fillId="0" borderId="32" applyNumberFormat="0" applyBorder="0"/>
    <xf numFmtId="0" fontId="65" fillId="0" borderId="32" applyNumberFormat="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5" fillId="0" borderId="0"/>
    <xf numFmtId="0" fontId="115" fillId="46" borderId="0" applyNumberFormat="0" applyBorder="0" applyAlignment="0" applyProtection="0"/>
    <xf numFmtId="0" fontId="115" fillId="50" borderId="0" applyNumberFormat="0" applyBorder="0" applyAlignment="0" applyProtection="0"/>
    <xf numFmtId="0" fontId="115" fillId="54" borderId="0" applyNumberFormat="0" applyBorder="0" applyAlignment="0" applyProtection="0"/>
    <xf numFmtId="0" fontId="115" fillId="58" borderId="0" applyNumberFormat="0" applyBorder="0" applyAlignment="0" applyProtection="0"/>
    <xf numFmtId="0" fontId="115" fillId="62" borderId="0" applyNumberFormat="0" applyBorder="0" applyAlignment="0" applyProtection="0"/>
    <xf numFmtId="0" fontId="115" fillId="66" borderId="0" applyNumberFormat="0" applyBorder="0" applyAlignment="0" applyProtection="0"/>
    <xf numFmtId="0" fontId="115" fillId="47" borderId="0" applyNumberFormat="0" applyBorder="0" applyAlignment="0" applyProtection="0"/>
    <xf numFmtId="0" fontId="115" fillId="51" borderId="0" applyNumberFormat="0" applyBorder="0" applyAlignment="0" applyProtection="0"/>
    <xf numFmtId="0" fontId="115" fillId="55" borderId="0" applyNumberFormat="0" applyBorder="0" applyAlignment="0" applyProtection="0"/>
    <xf numFmtId="0" fontId="115" fillId="59" borderId="0" applyNumberFormat="0" applyBorder="0" applyAlignment="0" applyProtection="0"/>
    <xf numFmtId="0" fontId="115" fillId="63" borderId="0" applyNumberFormat="0" applyBorder="0" applyAlignment="0" applyProtection="0"/>
    <xf numFmtId="0" fontId="115" fillId="67" borderId="0" applyNumberFormat="0" applyBorder="0" applyAlignment="0" applyProtection="0"/>
    <xf numFmtId="0" fontId="131" fillId="48" borderId="0" applyNumberFormat="0" applyBorder="0" applyAlignment="0" applyProtection="0"/>
    <xf numFmtId="0" fontId="131" fillId="52" borderId="0" applyNumberFormat="0" applyBorder="0" applyAlignment="0" applyProtection="0"/>
    <xf numFmtId="0" fontId="131" fillId="56" borderId="0" applyNumberFormat="0" applyBorder="0" applyAlignment="0" applyProtection="0"/>
    <xf numFmtId="0" fontId="131" fillId="60" borderId="0" applyNumberFormat="0" applyBorder="0" applyAlignment="0" applyProtection="0"/>
    <xf numFmtId="0" fontId="131" fillId="64" borderId="0" applyNumberFormat="0" applyBorder="0" applyAlignment="0" applyProtection="0"/>
    <xf numFmtId="0" fontId="131" fillId="68" borderId="0" applyNumberFormat="0" applyBorder="0" applyAlignment="0" applyProtection="0"/>
    <xf numFmtId="0" fontId="131" fillId="45" borderId="0" applyNumberFormat="0" applyBorder="0" applyAlignment="0" applyProtection="0"/>
    <xf numFmtId="0" fontId="131" fillId="49" borderId="0" applyNumberFormat="0" applyBorder="0" applyAlignment="0" applyProtection="0"/>
    <xf numFmtId="0" fontId="131" fillId="53" borderId="0" applyNumberFormat="0" applyBorder="0" applyAlignment="0" applyProtection="0"/>
    <xf numFmtId="0" fontId="131" fillId="57" borderId="0" applyNumberFormat="0" applyBorder="0" applyAlignment="0" applyProtection="0"/>
    <xf numFmtId="0" fontId="131" fillId="61" borderId="0" applyNumberFormat="0" applyBorder="0" applyAlignment="0" applyProtection="0"/>
    <xf numFmtId="0" fontId="131" fillId="65" borderId="0" applyNumberFormat="0" applyBorder="0" applyAlignment="0" applyProtection="0"/>
    <xf numFmtId="0" fontId="121" fillId="42" borderId="0" applyNumberFormat="0" applyBorder="0" applyAlignment="0" applyProtection="0"/>
    <xf numFmtId="0" fontId="125" fillId="43" borderId="24" applyNumberFormat="0" applyAlignment="0" applyProtection="0"/>
    <xf numFmtId="0" fontId="127" fillId="44" borderId="25" applyNumberFormat="0" applyAlignment="0" applyProtection="0"/>
    <xf numFmtId="0" fontId="129" fillId="0" borderId="0" applyNumberFormat="0" applyFill="0" applyBorder="0" applyAlignment="0" applyProtection="0"/>
    <xf numFmtId="0" fontId="120" fillId="104" borderId="0" applyNumberFormat="0" applyBorder="0" applyAlignment="0" applyProtection="0"/>
    <xf numFmtId="0" fontId="117" fillId="0" borderId="36" applyNumberFormat="0" applyFill="0" applyAlignment="0" applyProtection="0"/>
    <xf numFmtId="0" fontId="118" fillId="0" borderId="37" applyNumberFormat="0" applyFill="0" applyAlignment="0" applyProtection="0"/>
    <xf numFmtId="0" fontId="119" fillId="0" borderId="38" applyNumberFormat="0" applyFill="0" applyAlignment="0" applyProtection="0"/>
    <xf numFmtId="0" fontId="119" fillId="0" borderId="0" applyNumberFormat="0" applyFill="0" applyBorder="0" applyAlignment="0" applyProtection="0"/>
    <xf numFmtId="0" fontId="123" fillId="106" borderId="24" applyNumberFormat="0" applyAlignment="0" applyProtection="0"/>
    <xf numFmtId="0" fontId="126" fillId="0" borderId="40" applyNumberFormat="0" applyFill="0" applyAlignment="0" applyProtection="0"/>
    <xf numFmtId="0" fontId="122" fillId="105" borderId="0" applyNumberFormat="0" applyBorder="0" applyAlignment="0" applyProtection="0"/>
    <xf numFmtId="0" fontId="115" fillId="107" borderId="41" applyNumberFormat="0" applyFont="0" applyAlignment="0" applyProtection="0"/>
    <xf numFmtId="0" fontId="124" fillId="43" borderId="39" applyNumberFormat="0" applyAlignment="0" applyProtection="0"/>
    <xf numFmtId="0" fontId="116" fillId="0" borderId="0" applyNumberFormat="0" applyFill="0" applyBorder="0" applyAlignment="0" applyProtection="0"/>
    <xf numFmtId="0" fontId="130" fillId="0" borderId="42" applyNumberFormat="0" applyFill="0" applyAlignment="0" applyProtection="0"/>
    <xf numFmtId="0" fontId="128" fillId="0" borderId="0" applyNumberFormat="0" applyFill="0" applyBorder="0" applyAlignment="0" applyProtection="0"/>
    <xf numFmtId="0" fontId="115" fillId="0" borderId="0"/>
    <xf numFmtId="0" fontId="95" fillId="0" borderId="0"/>
    <xf numFmtId="43" fontId="95" fillId="0" borderId="0" applyFont="0" applyFill="0" applyBorder="0" applyAlignment="0" applyProtection="0"/>
    <xf numFmtId="0" fontId="132" fillId="0" borderId="0"/>
    <xf numFmtId="0" fontId="131" fillId="65" borderId="0" applyNumberFormat="0" applyBorder="0" applyAlignment="0" applyProtection="0"/>
    <xf numFmtId="0" fontId="131" fillId="61" borderId="0" applyNumberFormat="0" applyBorder="0" applyAlignment="0" applyProtection="0"/>
    <xf numFmtId="0" fontId="131" fillId="57" borderId="0" applyNumberFormat="0" applyBorder="0" applyAlignment="0" applyProtection="0"/>
    <xf numFmtId="0" fontId="131" fillId="53" borderId="0" applyNumberFormat="0" applyBorder="0" applyAlignment="0" applyProtection="0"/>
    <xf numFmtId="0" fontId="131" fillId="49" borderId="0" applyNumberFormat="0" applyBorder="0" applyAlignment="0" applyProtection="0"/>
    <xf numFmtId="0" fontId="131" fillId="45" borderId="0" applyNumberFormat="0" applyBorder="0" applyAlignment="0" applyProtection="0"/>
    <xf numFmtId="0" fontId="131" fillId="45" borderId="0" applyNumberFormat="0" applyBorder="0" applyAlignment="0" applyProtection="0"/>
    <xf numFmtId="0" fontId="131" fillId="49" borderId="0" applyNumberFormat="0" applyBorder="0" applyAlignment="0" applyProtection="0"/>
    <xf numFmtId="0" fontId="131" fillId="53" borderId="0" applyNumberFormat="0" applyBorder="0" applyAlignment="0" applyProtection="0"/>
    <xf numFmtId="0" fontId="131" fillId="57" borderId="0" applyNumberFormat="0" applyBorder="0" applyAlignment="0" applyProtection="0"/>
    <xf numFmtId="0" fontId="131" fillId="61" borderId="0" applyNumberFormat="0" applyBorder="0" applyAlignment="0" applyProtection="0"/>
    <xf numFmtId="0" fontId="131" fillId="65" borderId="0" applyNumberFormat="0" applyBorder="0" applyAlignment="0" applyProtection="0"/>
    <xf numFmtId="0" fontId="131" fillId="45" borderId="0" applyNumberFormat="0" applyBorder="0" applyAlignment="0" applyProtection="0"/>
    <xf numFmtId="0" fontId="131" fillId="49" borderId="0" applyNumberFormat="0" applyBorder="0" applyAlignment="0" applyProtection="0"/>
    <xf numFmtId="0" fontId="131" fillId="53" borderId="0" applyNumberFormat="0" applyBorder="0" applyAlignment="0" applyProtection="0"/>
    <xf numFmtId="0" fontId="131" fillId="57" borderId="0" applyNumberFormat="0" applyBorder="0" applyAlignment="0" applyProtection="0"/>
    <xf numFmtId="0" fontId="131" fillId="61" borderId="0" applyNumberFormat="0" applyBorder="0" applyAlignment="0" applyProtection="0"/>
    <xf numFmtId="0" fontId="131" fillId="65" borderId="0" applyNumberFormat="0" applyBorder="0" applyAlignment="0" applyProtection="0"/>
    <xf numFmtId="0" fontId="123" fillId="106" borderId="24" applyNumberFormat="0" applyAlignment="0" applyProtection="0"/>
    <xf numFmtId="0" fontId="115" fillId="0" borderId="0"/>
    <xf numFmtId="0" fontId="123" fillId="106" borderId="24" applyNumberFormat="0" applyAlignment="0" applyProtection="0"/>
    <xf numFmtId="0" fontId="115" fillId="0" borderId="0"/>
    <xf numFmtId="0" fontId="123" fillId="106" borderId="24" applyNumberFormat="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3" fillId="0" borderId="0"/>
    <xf numFmtId="0" fontId="134" fillId="0" borderId="0" applyNumberForma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9" fillId="0" borderId="0"/>
    <xf numFmtId="0" fontId="1" fillId="0" borderId="0"/>
    <xf numFmtId="0" fontId="4" fillId="30" borderId="15"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37" fillId="0" borderId="0" applyNumberFormat="0" applyFill="0" applyBorder="0" applyAlignment="0" applyProtection="0"/>
    <xf numFmtId="0" fontId="137" fillId="0" borderId="0" applyNumberFormat="0" applyFill="0" applyBorder="0" applyAlignment="0" applyProtection="0"/>
    <xf numFmtId="43" fontId="19"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04" fontId="19" fillId="0" borderId="0" applyFont="0" applyFill="0" applyBorder="0" applyAlignment="0" applyProtection="0"/>
    <xf numFmtId="6" fontId="139" fillId="0" borderId="0">
      <protection locked="0"/>
    </xf>
    <xf numFmtId="166" fontId="19" fillId="0" borderId="0"/>
    <xf numFmtId="0" fontId="19" fillId="0" borderId="0"/>
    <xf numFmtId="195" fontId="140" fillId="0" borderId="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05" fontId="38" fillId="0" borderId="0"/>
    <xf numFmtId="195" fontId="142" fillId="0" borderId="0"/>
    <xf numFmtId="195" fontId="142" fillId="0" borderId="0"/>
    <xf numFmtId="195" fontId="142" fillId="0" borderId="0"/>
    <xf numFmtId="195" fontId="142" fillId="0" borderId="0"/>
    <xf numFmtId="195" fontId="142" fillId="0" borderId="0"/>
    <xf numFmtId="195" fontId="142" fillId="0" borderId="0"/>
    <xf numFmtId="195" fontId="142" fillId="0" borderId="0"/>
    <xf numFmtId="0" fontId="19" fillId="0" borderId="0" applyNumberFormat="0" applyFill="0" applyBorder="0" applyAlignment="0" applyProtection="0"/>
    <xf numFmtId="168" fontId="19" fillId="0" borderId="0">
      <alignment horizontal="left" wrapText="1"/>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143" fillId="108" borderId="13" applyNumberFormat="0" applyProtection="0">
      <alignment horizontal="right" vertical="center" wrapText="1"/>
    </xf>
    <xf numFmtId="195" fontId="144" fillId="0" borderId="44">
      <alignment horizontal="center"/>
    </xf>
    <xf numFmtId="0" fontId="31" fillId="0" borderId="0" applyNumberFormat="0" applyFill="0" applyBorder="0" applyProtection="0">
      <alignment wrapText="1"/>
    </xf>
    <xf numFmtId="206" fontId="19" fillId="0" borderId="0" applyFont="0" applyFill="0" applyBorder="0" applyProtection="0"/>
    <xf numFmtId="2" fontId="19" fillId="0" borderId="0" applyFont="0" applyFill="0" applyBorder="0" applyProtection="0"/>
    <xf numFmtId="0" fontId="20" fillId="0" borderId="21">
      <alignment horizontal="centerContinuous"/>
    </xf>
    <xf numFmtId="0" fontId="20" fillId="0" borderId="21">
      <alignment horizontal="centerContinuous"/>
    </xf>
    <xf numFmtId="177" fontId="19" fillId="0" borderId="45">
      <protection locked="0"/>
    </xf>
    <xf numFmtId="177" fontId="19" fillId="0" borderId="45">
      <protection locked="0"/>
    </xf>
    <xf numFmtId="3" fontId="19" fillId="0" borderId="0">
      <protection locked="0"/>
    </xf>
    <xf numFmtId="1" fontId="19" fillId="0" borderId="0">
      <alignment horizontal="center"/>
    </xf>
    <xf numFmtId="0" fontId="50" fillId="0" borderId="0"/>
    <xf numFmtId="0" fontId="50" fillId="0" borderId="0"/>
    <xf numFmtId="0" fontId="50" fillId="0" borderId="0"/>
    <xf numFmtId="0" fontId="95" fillId="0" borderId="0"/>
    <xf numFmtId="0" fontId="95" fillId="0" borderId="0"/>
    <xf numFmtId="0" fontId="158" fillId="45" borderId="0" applyNumberFormat="0" applyBorder="0" applyAlignment="0" applyProtection="0"/>
    <xf numFmtId="0" fontId="45" fillId="0" borderId="0"/>
    <xf numFmtId="0" fontId="19" fillId="0" borderId="0"/>
    <xf numFmtId="0" fontId="138" fillId="0" borderId="0"/>
    <xf numFmtId="9" fontId="19" fillId="0" borderId="0" applyFont="0" applyFill="0" applyBorder="0" applyAlignment="0" applyProtection="0"/>
    <xf numFmtId="9" fontId="1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45" fillId="0" borderId="36" applyNumberFormat="0" applyFill="0" applyAlignment="0" applyProtection="0"/>
    <xf numFmtId="0" fontId="146" fillId="0" borderId="37" applyNumberFormat="0" applyFill="0" applyAlignment="0" applyProtection="0"/>
    <xf numFmtId="0" fontId="147" fillId="0" borderId="38" applyNumberFormat="0" applyFill="0" applyAlignment="0" applyProtection="0"/>
    <xf numFmtId="0" fontId="147" fillId="0" borderId="0" applyNumberFormat="0" applyFill="0" applyBorder="0" applyAlignment="0" applyProtection="0"/>
    <xf numFmtId="0" fontId="148" fillId="104" borderId="0" applyNumberFormat="0" applyBorder="0" applyAlignment="0" applyProtection="0"/>
    <xf numFmtId="0" fontId="149" fillId="42" borderId="0" applyNumberFormat="0" applyBorder="0" applyAlignment="0" applyProtection="0"/>
    <xf numFmtId="0" fontId="150" fillId="105" borderId="0" applyNumberFormat="0" applyBorder="0" applyAlignment="0" applyProtection="0"/>
    <xf numFmtId="0" fontId="151" fillId="106" borderId="24" applyNumberFormat="0" applyAlignment="0" applyProtection="0"/>
    <xf numFmtId="0" fontId="152" fillId="43" borderId="39" applyNumberFormat="0" applyAlignment="0" applyProtection="0"/>
    <xf numFmtId="0" fontId="153" fillId="43" borderId="24" applyNumberFormat="0" applyAlignment="0" applyProtection="0"/>
    <xf numFmtId="0" fontId="154" fillId="0" borderId="40" applyNumberFormat="0" applyFill="0" applyAlignment="0" applyProtection="0"/>
    <xf numFmtId="0" fontId="155" fillId="44" borderId="25"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82" fillId="0" borderId="42" applyNumberFormat="0" applyFill="0" applyAlignment="0" applyProtection="0"/>
    <xf numFmtId="0" fontId="158" fillId="45"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158" fillId="48" borderId="0" applyNumberFormat="0" applyBorder="0" applyAlignment="0" applyProtection="0"/>
    <xf numFmtId="0" fontId="158" fillId="49"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158" fillId="52" borderId="0" applyNumberFormat="0" applyBorder="0" applyAlignment="0" applyProtection="0"/>
    <xf numFmtId="0" fontId="158"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158" fillId="56" borderId="0" applyNumberFormat="0" applyBorder="0" applyAlignment="0" applyProtection="0"/>
    <xf numFmtId="0" fontId="158" fillId="57"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158" fillId="60" borderId="0" applyNumberFormat="0" applyBorder="0" applyAlignment="0" applyProtection="0"/>
    <xf numFmtId="0" fontId="158" fillId="61"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158" fillId="64" borderId="0" applyNumberFormat="0" applyBorder="0" applyAlignment="0" applyProtection="0"/>
    <xf numFmtId="0" fontId="158" fillId="65"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158" fillId="68" borderId="0" applyNumberFormat="0" applyBorder="0" applyAlignment="0" applyProtection="0"/>
    <xf numFmtId="0" fontId="80" fillId="0" borderId="0"/>
    <xf numFmtId="0" fontId="19" fillId="0" borderId="0"/>
    <xf numFmtId="9" fontId="19" fillId="0" borderId="0" applyFont="0" applyFill="0" applyBorder="0" applyAlignment="0" applyProtection="0"/>
    <xf numFmtId="0" fontId="19" fillId="0" borderId="0"/>
    <xf numFmtId="0" fontId="19" fillId="0" borderId="0"/>
    <xf numFmtId="0" fontId="80" fillId="0" borderId="0"/>
    <xf numFmtId="0" fontId="158" fillId="61" borderId="0" applyNumberFormat="0" applyBorder="0" applyAlignment="0" applyProtection="0"/>
    <xf numFmtId="9" fontId="19" fillId="0" borderId="0" applyFont="0" applyFill="0" applyBorder="0" applyAlignment="0" applyProtection="0"/>
    <xf numFmtId="0" fontId="80" fillId="0" borderId="0"/>
    <xf numFmtId="0" fontId="8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0" fillId="0" borderId="0"/>
    <xf numFmtId="0" fontId="80" fillId="0" borderId="0"/>
    <xf numFmtId="9" fontId="19" fillId="0" borderId="0" applyFont="0" applyFill="0" applyBorder="0" applyAlignment="0" applyProtection="0"/>
    <xf numFmtId="0" fontId="80" fillId="0" borderId="0"/>
    <xf numFmtId="0" fontId="19" fillId="0" borderId="0"/>
    <xf numFmtId="9" fontId="19" fillId="0" borderId="0" applyFont="0" applyFill="0" applyBorder="0" applyAlignment="0" applyProtection="0"/>
    <xf numFmtId="0" fontId="158" fillId="53" borderId="0" applyNumberFormat="0" applyBorder="0" applyAlignment="0" applyProtection="0"/>
    <xf numFmtId="0" fontId="158" fillId="49" borderId="0" applyNumberFormat="0" applyBorder="0" applyAlignment="0" applyProtection="0"/>
    <xf numFmtId="0" fontId="19" fillId="0" borderId="0"/>
    <xf numFmtId="9" fontId="19" fillId="0" borderId="0" applyFont="0" applyFill="0" applyBorder="0" applyAlignment="0" applyProtection="0"/>
    <xf numFmtId="0" fontId="19" fillId="0" borderId="0"/>
    <xf numFmtId="0" fontId="80" fillId="0" borderId="0"/>
    <xf numFmtId="0" fontId="19" fillId="0" borderId="0"/>
    <xf numFmtId="0" fontId="80" fillId="0" borderId="0"/>
    <xf numFmtId="0" fontId="80" fillId="0" borderId="0"/>
    <xf numFmtId="9" fontId="19"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95"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107" borderId="41" applyNumberFormat="0" applyFont="0" applyAlignment="0" applyProtection="0"/>
    <xf numFmtId="0" fontId="80" fillId="50" borderId="0" applyNumberFormat="0" applyBorder="0" applyAlignment="0" applyProtection="0"/>
    <xf numFmtId="0" fontId="80" fillId="55" borderId="0" applyNumberFormat="0" applyBorder="0" applyAlignment="0" applyProtection="0"/>
    <xf numFmtId="0" fontId="80" fillId="54" borderId="0" applyNumberFormat="0" applyBorder="0" applyAlignment="0" applyProtection="0"/>
    <xf numFmtId="0" fontId="80" fillId="47" borderId="0" applyNumberFormat="0" applyBorder="0" applyAlignment="0" applyProtection="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43" fontId="95" fillId="0" borderId="0" applyFont="0" applyFill="0" applyBorder="0" applyAlignment="0" applyProtection="0"/>
    <xf numFmtId="0" fontId="95" fillId="0" borderId="0"/>
    <xf numFmtId="207" fontId="19" fillId="0" borderId="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43" fontId="45" fillId="0" borderId="0" applyFont="0" applyFill="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9" fontId="19" fillId="0" borderId="0" applyFont="0" applyFill="0" applyBorder="0" applyAlignment="0" applyProtection="0"/>
    <xf numFmtId="0" fontId="19" fillId="0" borderId="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160" fillId="0" borderId="0" applyNumberFormat="0" applyFill="0" applyBorder="0" applyAlignment="0" applyProtection="0">
      <alignment vertical="top"/>
      <protection locked="0"/>
    </xf>
    <xf numFmtId="0" fontId="80" fillId="66" borderId="0" applyNumberFormat="0" applyBorder="0" applyAlignment="0" applyProtection="0"/>
    <xf numFmtId="0" fontId="159" fillId="0" borderId="0" applyNumberFormat="0" applyFill="0" applyBorder="0" applyAlignment="0" applyProtection="0">
      <alignment vertical="top"/>
      <protection locked="0"/>
    </xf>
    <xf numFmtId="43" fontId="95" fillId="0" borderId="0" applyFont="0" applyFill="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107" borderId="41" applyNumberFormat="0" applyFont="0" applyAlignment="0" applyProtection="0"/>
    <xf numFmtId="0" fontId="95" fillId="0" borderId="0"/>
    <xf numFmtId="0" fontId="80" fillId="0" borderId="0"/>
    <xf numFmtId="9" fontId="19"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9" fillId="0" borderId="0"/>
    <xf numFmtId="0" fontId="19" fillId="0" borderId="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45" fillId="0" borderId="0"/>
    <xf numFmtId="0" fontId="50" fillId="0" borderId="0"/>
    <xf numFmtId="43" fontId="50" fillId="0" borderId="0" applyFont="0" applyFill="0" applyBorder="0" applyAlignment="0" applyProtection="0"/>
    <xf numFmtId="0" fontId="95" fillId="0" borderId="0"/>
    <xf numFmtId="0" fontId="45" fillId="0" borderId="0"/>
    <xf numFmtId="0" fontId="45" fillId="0" borderId="0"/>
    <xf numFmtId="0" fontId="145" fillId="0" borderId="36" applyNumberFormat="0" applyFill="0" applyAlignment="0" applyProtection="0"/>
    <xf numFmtId="0" fontId="146" fillId="0" borderId="37" applyNumberFormat="0" applyFill="0" applyAlignment="0" applyProtection="0"/>
    <xf numFmtId="0" fontId="147" fillId="0" borderId="38" applyNumberFormat="0" applyFill="0" applyAlignment="0" applyProtection="0"/>
    <xf numFmtId="0" fontId="147" fillId="0" borderId="0" applyNumberFormat="0" applyFill="0" applyBorder="0" applyAlignment="0" applyProtection="0"/>
    <xf numFmtId="0" fontId="148" fillId="104" borderId="0" applyNumberFormat="0" applyBorder="0" applyAlignment="0" applyProtection="0"/>
    <xf numFmtId="0" fontId="149" fillId="42" borderId="0" applyNumberFormat="0" applyBorder="0" applyAlignment="0" applyProtection="0"/>
    <xf numFmtId="0" fontId="150" fillId="105" borderId="0" applyNumberFormat="0" applyBorder="0" applyAlignment="0" applyProtection="0"/>
    <xf numFmtId="0" fontId="151" fillId="106" borderId="24" applyNumberFormat="0" applyAlignment="0" applyProtection="0"/>
    <xf numFmtId="0" fontId="152" fillId="43" borderId="39" applyNumberFormat="0" applyAlignment="0" applyProtection="0"/>
    <xf numFmtId="0" fontId="153" fillId="43" borderId="24" applyNumberFormat="0" applyAlignment="0" applyProtection="0"/>
    <xf numFmtId="0" fontId="154" fillId="0" borderId="40" applyNumberFormat="0" applyFill="0" applyAlignment="0" applyProtection="0"/>
    <xf numFmtId="0" fontId="155" fillId="44" borderId="25"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82" fillId="0" borderId="42" applyNumberFormat="0" applyFill="0" applyAlignment="0" applyProtection="0"/>
    <xf numFmtId="0" fontId="158" fillId="45"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158" fillId="48" borderId="0" applyNumberFormat="0" applyBorder="0" applyAlignment="0" applyProtection="0"/>
    <xf numFmtId="0" fontId="158" fillId="49"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158" fillId="52" borderId="0" applyNumberFormat="0" applyBorder="0" applyAlignment="0" applyProtection="0"/>
    <xf numFmtId="0" fontId="158"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158" fillId="56" borderId="0" applyNumberFormat="0" applyBorder="0" applyAlignment="0" applyProtection="0"/>
    <xf numFmtId="0" fontId="158" fillId="57"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158" fillId="60" borderId="0" applyNumberFormat="0" applyBorder="0" applyAlignment="0" applyProtection="0"/>
    <xf numFmtId="0" fontId="158" fillId="61"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158" fillId="64" borderId="0" applyNumberFormat="0" applyBorder="0" applyAlignment="0" applyProtection="0"/>
    <xf numFmtId="0" fontId="158" fillId="65"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158" fillId="68" borderId="0" applyNumberFormat="0" applyBorder="0" applyAlignment="0" applyProtection="0"/>
    <xf numFmtId="0" fontId="80" fillId="0" borderId="0"/>
    <xf numFmtId="0" fontId="80" fillId="0" borderId="0"/>
    <xf numFmtId="0" fontId="80" fillId="107" borderId="41" applyNumberFormat="0" applyFont="0" applyAlignment="0" applyProtection="0"/>
    <xf numFmtId="0" fontId="19" fillId="0" borderId="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66" borderId="0" applyNumberFormat="0" applyBorder="0" applyAlignment="0" applyProtection="0"/>
    <xf numFmtId="0" fontId="80" fillId="66" borderId="0" applyNumberFormat="0" applyBorder="0" applyAlignment="0" applyProtection="0"/>
    <xf numFmtId="0" fontId="80" fillId="66"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67" borderId="0" applyNumberFormat="0" applyBorder="0" applyAlignment="0" applyProtection="0"/>
    <xf numFmtId="208" fontId="161" fillId="0" borderId="0" applyFill="0" applyBorder="0" applyAlignment="0" applyProtection="0"/>
    <xf numFmtId="43" fontId="19" fillId="0" borderId="0" applyFont="0" applyFill="0" applyBorder="0" applyAlignment="0" applyProtection="0"/>
    <xf numFmtId="208" fontId="161" fillId="0" borderId="0" applyFill="0" applyBorder="0" applyAlignment="0" applyProtection="0"/>
    <xf numFmtId="43" fontId="45" fillId="0" borderId="0" applyFont="0" applyFill="0" applyBorder="0" applyAlignment="0" applyProtection="0"/>
    <xf numFmtId="0" fontId="162" fillId="0" borderId="0"/>
    <xf numFmtId="0" fontId="162" fillId="0" borderId="0"/>
    <xf numFmtId="0" fontId="163" fillId="0" borderId="0"/>
    <xf numFmtId="0" fontId="163" fillId="0" borderId="0"/>
    <xf numFmtId="0" fontId="80" fillId="0" borderId="0"/>
    <xf numFmtId="0" fontId="19" fillId="0" borderId="0"/>
    <xf numFmtId="0" fontId="163" fillId="0" borderId="0"/>
    <xf numFmtId="0" fontId="164" fillId="0" borderId="0"/>
    <xf numFmtId="0" fontId="164"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4"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4"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80" fillId="107" borderId="41" applyNumberFormat="0" applyFont="0" applyAlignment="0" applyProtection="0"/>
    <xf numFmtId="0" fontId="80" fillId="107" borderId="41" applyNumberFormat="0" applyFont="0" applyAlignment="0" applyProtection="0"/>
    <xf numFmtId="0" fontId="80" fillId="107" borderId="41" applyNumberFormat="0" applyFont="0" applyAlignment="0" applyProtection="0"/>
    <xf numFmtId="0" fontId="80" fillId="107" borderId="41" applyNumberFormat="0" applyFont="0" applyAlignment="0" applyProtection="0"/>
    <xf numFmtId="0" fontId="19" fillId="0" borderId="0"/>
    <xf numFmtId="0" fontId="45" fillId="0" borderId="0"/>
    <xf numFmtId="43" fontId="19" fillId="0" borderId="0" applyFont="0" applyFill="0" applyBorder="0" applyAlignment="0" applyProtection="0"/>
    <xf numFmtId="0" fontId="45" fillId="0" borderId="0"/>
    <xf numFmtId="0" fontId="45" fillId="0" borderId="0"/>
    <xf numFmtId="195" fontId="66" fillId="0" borderId="0"/>
    <xf numFmtId="195" fontId="66" fillId="0" borderId="0"/>
    <xf numFmtId="195" fontId="66" fillId="0" borderId="0"/>
    <xf numFmtId="195" fontId="66" fillId="0" borderId="0"/>
    <xf numFmtId="195" fontId="66" fillId="0" borderId="0"/>
    <xf numFmtId="195" fontId="66" fillId="0" borderId="0"/>
    <xf numFmtId="195" fontId="66" fillId="0" borderId="0"/>
    <xf numFmtId="0" fontId="19" fillId="0" borderId="0" applyNumberFormat="0" applyFill="0" applyBorder="0" applyAlignment="0" applyProtection="0"/>
    <xf numFmtId="168" fontId="19" fillId="0" borderId="0">
      <alignment horizontal="left" wrapText="1"/>
    </xf>
    <xf numFmtId="0" fontId="19" fillId="0" borderId="0"/>
    <xf numFmtId="0" fontId="45" fillId="0" borderId="0"/>
    <xf numFmtId="0" fontId="50" fillId="0" borderId="0"/>
    <xf numFmtId="0" fontId="50" fillId="0" borderId="0"/>
    <xf numFmtId="0" fontId="50" fillId="0" borderId="0"/>
    <xf numFmtId="0" fontId="95" fillId="0" borderId="0"/>
    <xf numFmtId="0" fontId="9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xf numFmtId="43" fontId="50" fillId="0" borderId="0" applyFont="0" applyFill="0" applyBorder="0" applyAlignment="0" applyProtection="0"/>
    <xf numFmtId="0" fontId="95" fillId="0" borderId="0"/>
    <xf numFmtId="0" fontId="165"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6" fontId="139" fillId="0" borderId="0">
      <protection locked="0"/>
    </xf>
    <xf numFmtId="195" fontId="142" fillId="0" borderId="0"/>
    <xf numFmtId="195" fontId="142" fillId="0" borderId="0"/>
    <xf numFmtId="195" fontId="142" fillId="0" borderId="0"/>
    <xf numFmtId="195" fontId="142" fillId="0" borderId="0"/>
    <xf numFmtId="195" fontId="142" fillId="0" borderId="0"/>
    <xf numFmtId="195" fontId="142" fillId="0" borderId="0"/>
    <xf numFmtId="195" fontId="142" fillId="0" borderId="0"/>
    <xf numFmtId="0" fontId="45" fillId="0" borderId="0"/>
    <xf numFmtId="0" fontId="45" fillId="0" borderId="0"/>
    <xf numFmtId="0" fontId="45" fillId="0" borderId="0"/>
    <xf numFmtId="0" fontId="158" fillId="65"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51" fillId="106" borderId="24"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19" fillId="0" borderId="0"/>
    <xf numFmtId="0" fontId="80" fillId="107" borderId="41" applyNumberFormat="0" applyFont="0" applyAlignment="0" applyProtection="0"/>
    <xf numFmtId="43" fontId="80"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7" fillId="0" borderId="0" applyNumberFormat="0" applyFill="0" applyBorder="0" applyAlignment="0" applyProtection="0"/>
    <xf numFmtId="0" fontId="9" fillId="4" borderId="0" applyNumberFormat="0" applyBorder="0" applyAlignment="0" applyProtection="0"/>
    <xf numFmtId="0" fontId="6" fillId="0" borderId="9"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0" fontId="15" fillId="0" borderId="14" applyNumberFormat="0" applyFill="0" applyAlignment="0" applyProtection="0"/>
    <xf numFmtId="0" fontId="11" fillId="29" borderId="0" applyNumberFormat="0" applyBorder="0" applyAlignment="0" applyProtection="0"/>
    <xf numFmtId="0" fontId="1" fillId="30" borderId="15" applyNumberFormat="0" applyFont="0" applyAlignment="0" applyProtection="0"/>
    <xf numFmtId="0" fontId="13" fillId="24" borderId="16" applyNumberFormat="0" applyAlignment="0" applyProtection="0"/>
    <xf numFmtId="0" fontId="5" fillId="0" borderId="0" applyNumberFormat="0" applyFill="0" applyBorder="0" applyAlignment="0" applyProtection="0"/>
    <xf numFmtId="0" fontId="18" fillId="0" borderId="17" applyNumberFormat="0" applyFill="0" applyAlignment="0" applyProtection="0"/>
    <xf numFmtId="0" fontId="16" fillId="0" borderId="0" applyNumberForma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0" borderId="15" applyNumberFormat="0" applyFont="0" applyAlignment="0" applyProtection="0"/>
    <xf numFmtId="0" fontId="5" fillId="0" borderId="0" applyNumberFormat="0" applyFill="0" applyBorder="0" applyAlignment="0" applyProtection="0"/>
    <xf numFmtId="0" fontId="18" fillId="0" borderId="17" applyNumberFormat="0" applyFill="0" applyAlignment="0" applyProtection="0"/>
    <xf numFmtId="0" fontId="19" fillId="0" borderId="0"/>
    <xf numFmtId="43" fontId="45" fillId="0" borderId="0" applyFont="0" applyFill="0" applyBorder="0" applyAlignment="0" applyProtection="0"/>
    <xf numFmtId="43" fontId="19"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9" fillId="0" borderId="0"/>
    <xf numFmtId="0" fontId="80" fillId="0" borderId="0"/>
    <xf numFmtId="43" fontId="80" fillId="0" borderId="0" applyFont="0" applyFill="0" applyBorder="0" applyAlignment="0" applyProtection="0"/>
    <xf numFmtId="0" fontId="8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0" borderId="0" applyNumberFormat="0" applyFill="0" applyBorder="0" applyAlignment="0" applyProtection="0"/>
    <xf numFmtId="0" fontId="9" fillId="4" borderId="0" applyNumberFormat="0" applyBorder="0" applyAlignment="0" applyProtection="0"/>
    <xf numFmtId="0" fontId="6" fillId="0" borderId="9"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0" fontId="15" fillId="0" borderId="14" applyNumberFormat="0" applyFill="0" applyAlignment="0" applyProtection="0"/>
    <xf numFmtId="0" fontId="11" fillId="29" borderId="0" applyNumberFormat="0" applyBorder="0" applyAlignment="0" applyProtection="0"/>
    <xf numFmtId="0" fontId="1" fillId="30" borderId="15" applyNumberFormat="0" applyFont="0" applyAlignment="0" applyProtection="0"/>
    <xf numFmtId="0" fontId="13" fillId="24" borderId="16" applyNumberFormat="0" applyAlignment="0" applyProtection="0"/>
    <xf numFmtId="0" fontId="5" fillId="0" borderId="0" applyNumberFormat="0" applyFill="0" applyBorder="0" applyAlignment="0" applyProtection="0"/>
    <xf numFmtId="0" fontId="18" fillId="0" borderId="17" applyNumberFormat="0" applyFill="0" applyAlignment="0" applyProtection="0"/>
    <xf numFmtId="0" fontId="16" fillId="0" borderId="0" applyNumberFormat="0" applyFill="0" applyBorder="0" applyAlignment="0" applyProtection="0"/>
    <xf numFmtId="44"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80" fillId="0" borderId="0"/>
    <xf numFmtId="43" fontId="80" fillId="0" borderId="0" applyFont="0" applyFill="0" applyBorder="0" applyAlignment="0" applyProtection="0"/>
    <xf numFmtId="43" fontId="19"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3" fontId="80"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45" fillId="0" borderId="0"/>
    <xf numFmtId="43" fontId="45" fillId="0" borderId="0" applyFont="0" applyFill="0" applyBorder="0" applyAlignment="0" applyProtection="0"/>
    <xf numFmtId="43" fontId="45" fillId="0" borderId="0" applyFont="0" applyFill="0" applyBorder="0" applyAlignment="0" applyProtection="0"/>
    <xf numFmtId="0" fontId="45" fillId="0" borderId="0"/>
    <xf numFmtId="43" fontId="45" fillId="0" borderId="0" applyFont="0" applyFill="0" applyBorder="0" applyAlignment="0" applyProtection="0"/>
    <xf numFmtId="0" fontId="45" fillId="0" borderId="0"/>
    <xf numFmtId="43" fontId="45" fillId="0" borderId="0" applyFont="0" applyFill="0" applyBorder="0" applyAlignment="0" applyProtection="0"/>
    <xf numFmtId="0" fontId="45" fillId="0" borderId="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9" fillId="0" borderId="0"/>
    <xf numFmtId="9" fontId="24" fillId="0" borderId="0" applyFont="0" applyFill="0" applyBorder="0" applyAlignment="0" applyProtection="0"/>
    <xf numFmtId="0" fontId="19" fillId="0" borderId="0"/>
    <xf numFmtId="9" fontId="24"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24" fillId="0" borderId="0"/>
    <xf numFmtId="0" fontId="19" fillId="0" borderId="0"/>
    <xf numFmtId="0" fontId="45" fillId="0" borderId="0"/>
    <xf numFmtId="43" fontId="19" fillId="0" borderId="0" applyFont="0" applyFill="0" applyBorder="0" applyAlignment="0" applyProtection="0"/>
    <xf numFmtId="0" fontId="24" fillId="0" borderId="0"/>
    <xf numFmtId="0" fontId="24" fillId="0" borderId="0"/>
    <xf numFmtId="43" fontId="45" fillId="0" borderId="0" applyFont="0" applyFill="0" applyBorder="0" applyAlignment="0" applyProtection="0"/>
    <xf numFmtId="0" fontId="80" fillId="0" borderId="0"/>
    <xf numFmtId="0" fontId="80" fillId="0" borderId="0"/>
    <xf numFmtId="0" fontId="8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0" fillId="0" borderId="0"/>
    <xf numFmtId="0" fontId="19" fillId="0" borderId="0"/>
    <xf numFmtId="0" fontId="80" fillId="0" borderId="0"/>
    <xf numFmtId="0" fontId="80" fillId="0" borderId="0"/>
    <xf numFmtId="0" fontId="158" fillId="57" borderId="0" applyNumberFormat="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80" fillId="0" borderId="0"/>
    <xf numFmtId="0" fontId="19" fillId="0" borderId="0"/>
    <xf numFmtId="0" fontId="80" fillId="0" borderId="0"/>
    <xf numFmtId="0" fontId="80" fillId="0" borderId="0"/>
    <xf numFmtId="9" fontId="19"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95"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7" borderId="0" applyNumberFormat="0" applyBorder="0" applyAlignment="0" applyProtection="0"/>
    <xf numFmtId="43" fontId="95" fillId="0" borderId="0" applyFont="0" applyFill="0" applyBorder="0" applyAlignment="0" applyProtection="0"/>
    <xf numFmtId="0" fontId="95" fillId="0" borderId="0"/>
    <xf numFmtId="207" fontId="19" fillId="0" borderId="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19" fillId="0" borderId="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80" fillId="66" borderId="0" applyNumberFormat="0" applyBorder="0" applyAlignment="0" applyProtection="0"/>
    <xf numFmtId="0" fontId="159" fillId="0" borderId="0" applyNumberFormat="0" applyFill="0" applyBorder="0" applyAlignment="0" applyProtection="0">
      <alignment vertical="top"/>
      <protection locked="0"/>
    </xf>
    <xf numFmtId="43" fontId="95" fillId="0" borderId="0" applyFont="0" applyFill="0" applyBorder="0" applyAlignment="0" applyProtection="0"/>
    <xf numFmtId="0" fontId="80" fillId="67" borderId="0" applyNumberFormat="0" applyBorder="0" applyAlignment="0" applyProtection="0"/>
    <xf numFmtId="0" fontId="80" fillId="107" borderId="41" applyNumberFormat="0" applyFont="0" applyAlignment="0" applyProtection="0"/>
    <xf numFmtId="0" fontId="95" fillId="0" borderId="0"/>
    <xf numFmtId="0" fontId="80" fillId="0" borderId="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0" fontId="19" fillId="0" borderId="0"/>
    <xf numFmtId="43" fontId="24"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24" fillId="0" borderId="0" applyFont="0" applyFill="0" applyBorder="0" applyAlignment="0" applyProtection="0"/>
    <xf numFmtId="43" fontId="19" fillId="0" borderId="0" applyFont="0" applyFill="0" applyBorder="0" applyAlignment="0" applyProtection="0"/>
    <xf numFmtId="0" fontId="19" fillId="0" borderId="0"/>
    <xf numFmtId="43" fontId="24"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0" fontId="19"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43" fontId="80" fillId="0" borderId="0" applyFont="0" applyFill="0" applyBorder="0" applyAlignment="0" applyProtection="0"/>
    <xf numFmtId="0" fontId="80" fillId="46" borderId="0" applyNumberFormat="0" applyBorder="0" applyAlignment="0" applyProtection="0"/>
    <xf numFmtId="0" fontId="80" fillId="47" borderId="0" applyNumberFormat="0" applyBorder="0" applyAlignment="0" applyProtection="0"/>
    <xf numFmtId="43" fontId="80" fillId="0" borderId="0" applyFont="0" applyFill="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0" borderId="0"/>
    <xf numFmtId="0" fontId="80" fillId="58" borderId="0" applyNumberFormat="0" applyBorder="0" applyAlignment="0" applyProtection="0"/>
    <xf numFmtId="0" fontId="80" fillId="59" borderId="0" applyNumberFormat="0" applyBorder="0" applyAlignment="0" applyProtection="0"/>
    <xf numFmtId="43" fontId="80" fillId="0" borderId="0" applyFont="0" applyFill="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107" borderId="41" applyNumberFormat="0" applyFont="0" applyAlignment="0" applyProtection="0"/>
    <xf numFmtId="0" fontId="80" fillId="50" borderId="0" applyNumberFormat="0" applyBorder="0" applyAlignment="0" applyProtection="0"/>
    <xf numFmtId="0" fontId="80" fillId="55" borderId="0" applyNumberFormat="0" applyBorder="0" applyAlignment="0" applyProtection="0"/>
    <xf numFmtId="0" fontId="80" fillId="54" borderId="0" applyNumberFormat="0" applyBorder="0" applyAlignment="0" applyProtection="0"/>
    <xf numFmtId="0" fontId="80" fillId="47" borderId="0" applyNumberFormat="0" applyBorder="0" applyAlignment="0" applyProtection="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0" borderId="0"/>
    <xf numFmtId="43" fontId="80" fillId="0" borderId="0" applyFont="0" applyFill="0" applyBorder="0" applyAlignment="0" applyProtection="0"/>
    <xf numFmtId="0" fontId="80" fillId="66" borderId="0" applyNumberFormat="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107" borderId="41" applyNumberFormat="0" applyFont="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19" fillId="0" borderId="0"/>
    <xf numFmtId="0" fontId="19" fillId="0" borderId="0"/>
    <xf numFmtId="0" fontId="163" fillId="0" borderId="0"/>
    <xf numFmtId="0" fontId="163" fillId="0" borderId="0"/>
    <xf numFmtId="0" fontId="163" fillId="0" borderId="0"/>
    <xf numFmtId="208" fontId="161" fillId="0" borderId="0" applyFill="0" applyBorder="0" applyAlignment="0" applyProtection="0"/>
    <xf numFmtId="0" fontId="163" fillId="0" borderId="0"/>
    <xf numFmtId="0" fontId="164"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4" fillId="0" borderId="0"/>
    <xf numFmtId="0" fontId="19"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2"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2"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4" fillId="0" borderId="0"/>
    <xf numFmtId="0" fontId="163" fillId="0" borderId="0"/>
    <xf numFmtId="0" fontId="163" fillId="0" borderId="0"/>
    <xf numFmtId="0" fontId="163" fillId="0" borderId="0"/>
    <xf numFmtId="0" fontId="163" fillId="0" borderId="0"/>
    <xf numFmtId="0" fontId="163" fillId="0" borderId="0"/>
    <xf numFmtId="208" fontId="161" fillId="0" borderId="0" applyFill="0" applyBorder="0" applyAlignment="0" applyProtection="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9" fillId="0" borderId="0"/>
    <xf numFmtId="0" fontId="163" fillId="0" borderId="0"/>
    <xf numFmtId="0" fontId="163" fillId="0" borderId="0"/>
    <xf numFmtId="0" fontId="163" fillId="0" borderId="0"/>
    <xf numFmtId="0" fontId="163" fillId="0" borderId="0"/>
    <xf numFmtId="0" fontId="16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66" borderId="0" applyNumberFormat="0" applyBorder="0" applyAlignment="0" applyProtection="0"/>
    <xf numFmtId="0" fontId="80" fillId="66" borderId="0" applyNumberFormat="0" applyBorder="0" applyAlignment="0" applyProtection="0"/>
    <xf numFmtId="0" fontId="80" fillId="66"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80" fillId="55"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107" borderId="41" applyNumberFormat="0" applyFont="0" applyAlignment="0" applyProtection="0"/>
    <xf numFmtId="0" fontId="80" fillId="107" borderId="41" applyNumberFormat="0" applyFont="0" applyAlignment="0" applyProtection="0"/>
    <xf numFmtId="0" fontId="80" fillId="107" borderId="41" applyNumberFormat="0" applyFont="0" applyAlignment="0" applyProtection="0"/>
    <xf numFmtId="0" fontId="80" fillId="107" borderId="41" applyNumberFormat="0" applyFont="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107" borderId="41" applyNumberFormat="0" applyFont="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7" borderId="0" applyNumberFormat="0" applyBorder="0" applyAlignment="0" applyProtection="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107" borderId="41" applyNumberFormat="0" applyFont="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43" fontId="80" fillId="0" borderId="0" applyFont="0" applyFill="0" applyBorder="0" applyAlignment="0" applyProtection="0"/>
    <xf numFmtId="0" fontId="80" fillId="46" borderId="0" applyNumberFormat="0" applyBorder="0" applyAlignment="0" applyProtection="0"/>
    <xf numFmtId="0" fontId="80" fillId="47" borderId="0" applyNumberFormat="0" applyBorder="0" applyAlignment="0" applyProtection="0"/>
    <xf numFmtId="43" fontId="80" fillId="0" borderId="0" applyFont="0" applyFill="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0" borderId="0"/>
    <xf numFmtId="0" fontId="80" fillId="58" borderId="0" applyNumberFormat="0" applyBorder="0" applyAlignment="0" applyProtection="0"/>
    <xf numFmtId="0" fontId="80" fillId="59" borderId="0" applyNumberFormat="0" applyBorder="0" applyAlignment="0" applyProtection="0"/>
    <xf numFmtId="43" fontId="80" fillId="0" borderId="0" applyFont="0" applyFill="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107" borderId="41" applyNumberFormat="0" applyFont="0" applyAlignment="0" applyProtection="0"/>
    <xf numFmtId="0" fontId="80" fillId="50" borderId="0" applyNumberFormat="0" applyBorder="0" applyAlignment="0" applyProtection="0"/>
    <xf numFmtId="0" fontId="80" fillId="55" borderId="0" applyNumberFormat="0" applyBorder="0" applyAlignment="0" applyProtection="0"/>
    <xf numFmtId="0" fontId="80" fillId="54" borderId="0" applyNumberFormat="0" applyBorder="0" applyAlignment="0" applyProtection="0"/>
    <xf numFmtId="0" fontId="80" fillId="47" borderId="0" applyNumberFormat="0" applyBorder="0" applyAlignment="0" applyProtection="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0" borderId="0"/>
    <xf numFmtId="43" fontId="80" fillId="0" borderId="0" applyFont="0" applyFill="0" applyBorder="0" applyAlignment="0" applyProtection="0"/>
    <xf numFmtId="0" fontId="80" fillId="66" borderId="0" applyNumberFormat="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67" borderId="0" applyNumberFormat="0" applyBorder="0" applyAlignment="0" applyProtection="0"/>
    <xf numFmtId="0" fontId="80" fillId="67" borderId="0" applyNumberFormat="0" applyBorder="0" applyAlignment="0" applyProtection="0"/>
    <xf numFmtId="0" fontId="80" fillId="107" borderId="41" applyNumberFormat="0" applyFont="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0" fontId="80" fillId="0" borderId="0"/>
    <xf numFmtId="0" fontId="80" fillId="0" borderId="0"/>
    <xf numFmtId="0" fontId="80" fillId="0" borderId="0"/>
    <xf numFmtId="0" fontId="80" fillId="107" borderId="41" applyNumberFormat="0" applyFont="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0" borderId="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107" borderId="41" applyNumberFormat="0" applyFont="0" applyAlignment="0" applyProtection="0"/>
    <xf numFmtId="0" fontId="80" fillId="0" borderId="0"/>
    <xf numFmtId="0" fontId="80" fillId="107" borderId="41" applyNumberFormat="0" applyFont="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107" borderId="41" applyNumberFormat="0" applyFont="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95" fillId="0" borderId="0"/>
    <xf numFmtId="43" fontId="95" fillId="0" borderId="0" applyFont="0" applyFill="0" applyBorder="0" applyAlignment="0" applyProtection="0"/>
    <xf numFmtId="0" fontId="80" fillId="107" borderId="41" applyNumberFormat="0" applyFont="0" applyAlignment="0" applyProtection="0"/>
    <xf numFmtId="0" fontId="80" fillId="0" borderId="0"/>
    <xf numFmtId="0" fontId="80" fillId="46" borderId="0" applyNumberFormat="0" applyBorder="0" applyAlignment="0" applyProtection="0"/>
    <xf numFmtId="0" fontId="95" fillId="0" borderId="0"/>
    <xf numFmtId="43" fontId="95" fillId="0" borderId="0" applyFont="0" applyFill="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107" borderId="41" applyNumberFormat="0" applyFont="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43" fontId="95" fillId="0" borderId="0" applyFont="0" applyFill="0" applyBorder="0" applyAlignment="0" applyProtection="0"/>
    <xf numFmtId="0" fontId="80" fillId="0" borderId="0"/>
    <xf numFmtId="0" fontId="80" fillId="0" borderId="0"/>
    <xf numFmtId="43" fontId="95" fillId="0" borderId="0" applyFont="0" applyFill="0" applyBorder="0" applyAlignment="0" applyProtection="0"/>
    <xf numFmtId="0" fontId="80" fillId="0" borderId="0"/>
    <xf numFmtId="0" fontId="80" fillId="0" borderId="0"/>
    <xf numFmtId="0" fontId="95" fillId="0" borderId="0"/>
    <xf numFmtId="0" fontId="95"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107" borderId="41" applyNumberFormat="0" applyFont="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107" borderId="41" applyNumberFormat="0" applyFont="0" applyAlignment="0" applyProtection="0"/>
    <xf numFmtId="0" fontId="80" fillId="0" borderId="0"/>
    <xf numFmtId="0" fontId="80" fillId="0" borderId="0"/>
    <xf numFmtId="0" fontId="80" fillId="0" borderId="0"/>
    <xf numFmtId="43" fontId="95"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43" fontId="80" fillId="0" borderId="0" applyFont="0" applyFill="0" applyBorder="0" applyAlignment="0" applyProtection="0"/>
    <xf numFmtId="0" fontId="80" fillId="46" borderId="0" applyNumberFormat="0" applyBorder="0" applyAlignment="0" applyProtection="0"/>
    <xf numFmtId="0" fontId="80" fillId="47" borderId="0" applyNumberFormat="0" applyBorder="0" applyAlignment="0" applyProtection="0"/>
    <xf numFmtId="43" fontId="80" fillId="0" borderId="0" applyFont="0" applyFill="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0" borderId="0"/>
    <xf numFmtId="0" fontId="80" fillId="58" borderId="0" applyNumberFormat="0" applyBorder="0" applyAlignment="0" applyProtection="0"/>
    <xf numFmtId="0" fontId="80" fillId="59" borderId="0" applyNumberFormat="0" applyBorder="0" applyAlignment="0" applyProtection="0"/>
    <xf numFmtId="43" fontId="80" fillId="0" borderId="0" applyFont="0" applyFill="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46" borderId="0" applyNumberFormat="0" applyBorder="0" applyAlignment="0" applyProtection="0"/>
    <xf numFmtId="0" fontId="80" fillId="51" borderId="0" applyNumberFormat="0" applyBorder="0" applyAlignment="0" applyProtection="0"/>
    <xf numFmtId="0" fontId="80" fillId="50" borderId="0" applyNumberFormat="0" applyBorder="0" applyAlignment="0" applyProtection="0"/>
    <xf numFmtId="0" fontId="80" fillId="107" borderId="41" applyNumberFormat="0" applyFont="0" applyAlignment="0" applyProtection="0"/>
    <xf numFmtId="0" fontId="80" fillId="107" borderId="41" applyNumberFormat="0" applyFont="0" applyAlignment="0" applyProtection="0"/>
    <xf numFmtId="0" fontId="80" fillId="63" borderId="0" applyNumberFormat="0" applyBorder="0" applyAlignment="0" applyProtection="0"/>
    <xf numFmtId="0" fontId="80" fillId="0" borderId="0"/>
    <xf numFmtId="0" fontId="80" fillId="67" borderId="0" applyNumberFormat="0" applyBorder="0" applyAlignment="0" applyProtection="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0" borderId="0"/>
    <xf numFmtId="0" fontId="80" fillId="0" borderId="0"/>
    <xf numFmtId="0" fontId="80" fillId="51" borderId="0" applyNumberFormat="0" applyBorder="0" applyAlignment="0" applyProtection="0"/>
    <xf numFmtId="0" fontId="80" fillId="58"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47"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6"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0" borderId="0"/>
    <xf numFmtId="0" fontId="80" fillId="46" borderId="0" applyNumberFormat="0" applyBorder="0" applyAlignment="0" applyProtection="0"/>
    <xf numFmtId="0" fontId="80" fillId="47"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0" borderId="0"/>
    <xf numFmtId="0" fontId="80" fillId="0" borderId="0"/>
    <xf numFmtId="43" fontId="80" fillId="0" borderId="0" applyFont="0" applyFill="0" applyBorder="0" applyAlignment="0" applyProtection="0"/>
    <xf numFmtId="0" fontId="80" fillId="66" borderId="0" applyNumberFormat="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67" borderId="0" applyNumberFormat="0" applyBorder="0" applyAlignment="0" applyProtection="0"/>
    <xf numFmtId="0" fontId="80" fillId="107" borderId="41" applyNumberFormat="0" applyFont="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107" borderId="41" applyNumberFormat="0" applyFont="0" applyAlignment="0" applyProtection="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95" fillId="0" borderId="0"/>
    <xf numFmtId="0" fontId="95" fillId="0" borderId="0"/>
    <xf numFmtId="0" fontId="50" fillId="0" borderId="0"/>
    <xf numFmtId="0" fontId="50" fillId="0" borderId="0"/>
    <xf numFmtId="43" fontId="95" fillId="0" borderId="0" applyFont="0" applyFill="0" applyBorder="0" applyAlignment="0" applyProtection="0"/>
    <xf numFmtId="0" fontId="151" fillId="106" borderId="24" applyNumberFormat="0" applyAlignment="0" applyProtection="0"/>
    <xf numFmtId="43" fontId="95" fillId="0" borderId="0" applyFont="0" applyFill="0" applyBorder="0" applyAlignment="0" applyProtection="0"/>
    <xf numFmtId="0" fontId="151" fillId="106" borderId="24" applyNumberFormat="0" applyAlignment="0" applyProtection="0"/>
    <xf numFmtId="43" fontId="95" fillId="0" borderId="0" applyFont="0" applyFill="0" applyBorder="0" applyAlignment="0" applyProtection="0"/>
    <xf numFmtId="0" fontId="95" fillId="0" borderId="0"/>
    <xf numFmtId="0" fontId="19" fillId="0" borderId="0"/>
    <xf numFmtId="43" fontId="95" fillId="0" borderId="0" applyFont="0" applyFill="0" applyBorder="0" applyAlignment="0" applyProtection="0"/>
    <xf numFmtId="0" fontId="95" fillId="0" borderId="0"/>
    <xf numFmtId="0" fontId="50" fillId="0" borderId="0"/>
    <xf numFmtId="0" fontId="50" fillId="0" borderId="0"/>
    <xf numFmtId="43" fontId="95" fillId="0" borderId="0" applyFont="0" applyFill="0" applyBorder="0" applyAlignment="0" applyProtection="0"/>
    <xf numFmtId="0" fontId="50" fillId="0" borderId="0"/>
    <xf numFmtId="0" fontId="95" fillId="0" borderId="0"/>
    <xf numFmtId="0" fontId="95" fillId="0" borderId="0"/>
    <xf numFmtId="0" fontId="151" fillId="106" borderId="24" applyNumberFormat="0" applyAlignment="0" applyProtection="0"/>
    <xf numFmtId="0" fontId="151" fillId="106" borderId="24" applyNumberFormat="0" applyAlignment="0" applyProtection="0"/>
    <xf numFmtId="43" fontId="95" fillId="0" borderId="0" applyFont="0" applyFill="0" applyBorder="0" applyAlignment="0" applyProtection="0"/>
    <xf numFmtId="0" fontId="50" fillId="0" borderId="0"/>
    <xf numFmtId="0" fontId="151" fillId="106" borderId="24" applyNumberFormat="0" applyAlignment="0" applyProtection="0"/>
    <xf numFmtId="0" fontId="19" fillId="0" borderId="0"/>
    <xf numFmtId="43" fontId="95" fillId="0" borderId="0" applyFont="0" applyFill="0" applyBorder="0" applyAlignment="0" applyProtection="0"/>
    <xf numFmtId="0" fontId="151" fillId="106" borderId="24" applyNumberFormat="0" applyAlignment="0" applyProtection="0"/>
    <xf numFmtId="0" fontId="95" fillId="0" borderId="0"/>
    <xf numFmtId="0" fontId="95" fillId="0" borderId="0"/>
    <xf numFmtId="0" fontId="95" fillId="0" borderId="0"/>
    <xf numFmtId="0" fontId="50" fillId="0" borderId="0"/>
    <xf numFmtId="0" fontId="95" fillId="0" borderId="0"/>
    <xf numFmtId="0" fontId="95" fillId="0" borderId="0"/>
    <xf numFmtId="0" fontId="50" fillId="0" borderId="0"/>
    <xf numFmtId="0" fontId="50" fillId="0" borderId="0"/>
    <xf numFmtId="0" fontId="95" fillId="0" borderId="0"/>
    <xf numFmtId="0" fontId="95" fillId="0" borderId="0"/>
    <xf numFmtId="0" fontId="95" fillId="0" borderId="0"/>
    <xf numFmtId="0" fontId="151" fillId="106" borderId="24" applyNumberFormat="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0" fontId="19" fillId="0" borderId="0"/>
    <xf numFmtId="43" fontId="95" fillId="0" borderId="0" applyFont="0" applyFill="0" applyBorder="0" applyAlignment="0" applyProtection="0"/>
    <xf numFmtId="0" fontId="95" fillId="0" borderId="0"/>
    <xf numFmtId="0" fontId="95" fillId="0" borderId="0"/>
    <xf numFmtId="0" fontId="95" fillId="0" borderId="0"/>
    <xf numFmtId="0" fontId="151" fillId="106" borderId="24" applyNumberFormat="0" applyAlignment="0" applyProtection="0"/>
    <xf numFmtId="43" fontId="95" fillId="0" borderId="0" applyFont="0" applyFill="0" applyBorder="0" applyAlignment="0" applyProtection="0"/>
    <xf numFmtId="0" fontId="50" fillId="0" borderId="0"/>
    <xf numFmtId="0" fontId="151" fillId="106" borderId="24" applyNumberFormat="0" applyAlignment="0" applyProtection="0"/>
    <xf numFmtId="43" fontId="95" fillId="0" borderId="0" applyFont="0" applyFill="0" applyBorder="0" applyAlignment="0" applyProtection="0"/>
    <xf numFmtId="0" fontId="50" fillId="0" borderId="0"/>
    <xf numFmtId="0" fontId="151" fillId="106" borderId="24" applyNumberFormat="0" applyAlignment="0" applyProtection="0"/>
    <xf numFmtId="0" fontId="19"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0" fontId="151" fillId="106" borderId="24" applyNumberFormat="0" applyAlignment="0" applyProtection="0"/>
    <xf numFmtId="0" fontId="151" fillId="106" borderId="24" applyNumberFormat="0" applyAlignment="0" applyProtection="0"/>
    <xf numFmtId="0" fontId="151" fillId="106" borderId="24" applyNumberFormat="0" applyAlignment="0" applyProtection="0"/>
    <xf numFmtId="0" fontId="50" fillId="0" borderId="0"/>
    <xf numFmtId="43" fontId="95" fillId="0" borderId="0" applyFont="0" applyFill="0" applyBorder="0" applyAlignment="0" applyProtection="0"/>
    <xf numFmtId="43" fontId="95" fillId="0" borderId="0" applyFont="0" applyFill="0" applyBorder="0" applyAlignment="0" applyProtection="0"/>
    <xf numFmtId="0" fontId="50" fillId="0" borderId="0"/>
    <xf numFmtId="0" fontId="95" fillId="0" borderId="0"/>
    <xf numFmtId="43" fontId="95" fillId="0" borderId="0" applyFont="0" applyFill="0" applyBorder="0" applyAlignment="0" applyProtection="0"/>
    <xf numFmtId="0" fontId="50" fillId="0" borderId="0"/>
    <xf numFmtId="0" fontId="151" fillId="106" borderId="24" applyNumberFormat="0" applyAlignment="0" applyProtection="0"/>
    <xf numFmtId="0" fontId="151" fillId="106" borderId="24" applyNumberFormat="0" applyAlignment="0" applyProtection="0"/>
    <xf numFmtId="43" fontId="95" fillId="0" borderId="0" applyFont="0" applyFill="0" applyBorder="0" applyAlignment="0" applyProtection="0"/>
    <xf numFmtId="0" fontId="151" fillId="106" borderId="24" applyNumberFormat="0" applyAlignment="0" applyProtection="0"/>
    <xf numFmtId="43" fontId="95" fillId="0" borderId="0" applyFont="0" applyFill="0" applyBorder="0" applyAlignment="0" applyProtection="0"/>
    <xf numFmtId="0" fontId="95" fillId="0" borderId="0"/>
    <xf numFmtId="0" fontId="50" fillId="0" borderId="0"/>
    <xf numFmtId="0" fontId="151" fillId="106" borderId="24" applyNumberFormat="0" applyAlignment="0" applyProtection="0"/>
    <xf numFmtId="0" fontId="95" fillId="0" borderId="0"/>
    <xf numFmtId="0" fontId="95" fillId="0" borderId="0"/>
    <xf numFmtId="0" fontId="95" fillId="0" borderId="0"/>
    <xf numFmtId="0" fontId="50" fillId="0" borderId="0"/>
    <xf numFmtId="0" fontId="95" fillId="0" borderId="0"/>
    <xf numFmtId="0" fontId="95"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80" fillId="46" borderId="0" applyNumberFormat="0" applyBorder="0" applyAlignment="0" applyProtection="0"/>
    <xf numFmtId="0" fontId="80" fillId="47"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107" borderId="41" applyNumberFormat="0" applyFont="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43" fontId="95" fillId="0" borderId="0" applyFont="0" applyFill="0" applyBorder="0" applyAlignment="0" applyProtection="0"/>
    <xf numFmtId="0" fontId="80" fillId="0" borderId="0"/>
    <xf numFmtId="0" fontId="19" fillId="0" borderId="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19" fillId="0" borderId="0"/>
    <xf numFmtId="0" fontId="19" fillId="0" borderId="0"/>
    <xf numFmtId="0" fontId="19" fillId="0" borderId="0"/>
    <xf numFmtId="0" fontId="1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8" fillId="0" borderId="0"/>
    <xf numFmtId="0" fontId="13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7" fillId="0" borderId="0"/>
    <xf numFmtId="43" fontId="95" fillId="0" borderId="0" applyFont="0" applyFill="0" applyBorder="0" applyAlignment="0" applyProtection="0"/>
    <xf numFmtId="0" fontId="137" fillId="0" borderId="0"/>
    <xf numFmtId="0" fontId="137" fillId="0" borderId="0"/>
    <xf numFmtId="0" fontId="137" fillId="0" borderId="0"/>
    <xf numFmtId="0" fontId="137" fillId="0" borderId="0"/>
    <xf numFmtId="0" fontId="137" fillId="0" borderId="0"/>
    <xf numFmtId="0" fontId="13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43" fontId="19" fillId="0" borderId="0" applyFont="0" applyFill="0" applyBorder="0" applyAlignment="0" applyProtection="0"/>
    <xf numFmtId="9" fontId="19" fillId="0" borderId="0" applyFont="0" applyFill="0" applyBorder="0" applyAlignment="0" applyProtection="0"/>
    <xf numFmtId="0" fontId="132" fillId="0" borderId="0"/>
    <xf numFmtId="0" fontId="95" fillId="0" borderId="0"/>
    <xf numFmtId="0" fontId="95" fillId="0" borderId="0"/>
    <xf numFmtId="0" fontId="95" fillId="0" borderId="0"/>
    <xf numFmtId="0" fontId="95" fillId="0" borderId="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132" fillId="0" borderId="0"/>
    <xf numFmtId="43" fontId="95" fillId="0" borderId="0" applyFont="0" applyFill="0" applyBorder="0" applyAlignment="0" applyProtection="0"/>
    <xf numFmtId="0" fontId="50" fillId="0" borderId="0"/>
    <xf numFmtId="43" fontId="50" fillId="0" borderId="0" applyFont="0" applyFill="0" applyBorder="0" applyAlignment="0" applyProtection="0"/>
    <xf numFmtId="0" fontId="166" fillId="42" borderId="0" applyNumberFormat="0" applyBorder="0" applyAlignment="0" applyProtection="0"/>
    <xf numFmtId="0" fontId="167" fillId="0" borderId="0" applyNumberFormat="0" applyFill="0" applyBorder="0" applyProtection="0">
      <alignment vertical="top" wrapText="1"/>
    </xf>
    <xf numFmtId="0" fontId="19" fillId="0" borderId="0"/>
    <xf numFmtId="0" fontId="19" fillId="0" borderId="0"/>
    <xf numFmtId="0" fontId="19" fillId="0" borderId="0"/>
    <xf numFmtId="0" fontId="168" fillId="0" borderId="0"/>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167" fillId="0" borderId="0" applyNumberFormat="0" applyFill="0" applyBorder="0" applyProtection="0">
      <alignment vertical="top" wrapText="1"/>
    </xf>
    <xf numFmtId="0" fontId="45" fillId="0" borderId="0"/>
    <xf numFmtId="0" fontId="19" fillId="0" borderId="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xf numFmtId="43" fontId="9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0" fontId="95" fillId="0" borderId="0"/>
    <xf numFmtId="0" fontId="95" fillId="0" borderId="0"/>
    <xf numFmtId="0" fontId="95" fillId="0" borderId="0"/>
    <xf numFmtId="0" fontId="95" fillId="0" borderId="0"/>
    <xf numFmtId="0" fontId="138" fillId="0" borderId="0"/>
    <xf numFmtId="0" fontId="19" fillId="0" borderId="0" applyNumberFormat="0" applyFill="0" applyBorder="0" applyAlignment="0" applyProtection="0"/>
    <xf numFmtId="0" fontId="19" fillId="0" borderId="0" applyNumberFormat="0" applyFill="0" applyBorder="0" applyAlignment="0" applyProtection="0"/>
    <xf numFmtId="0" fontId="95" fillId="0" borderId="0"/>
    <xf numFmtId="0" fontId="95"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95" fillId="0" borderId="0"/>
    <xf numFmtId="0" fontId="95" fillId="0" borderId="0"/>
    <xf numFmtId="0" fontId="169" fillId="0" borderId="36" applyNumberFormat="0" applyFill="0" applyAlignment="0" applyProtection="0"/>
    <xf numFmtId="0" fontId="170" fillId="0" borderId="37" applyNumberFormat="0" applyFill="0" applyAlignment="0" applyProtection="0"/>
    <xf numFmtId="0" fontId="171" fillId="0" borderId="38" applyNumberFormat="0" applyFill="0" applyAlignment="0" applyProtection="0"/>
    <xf numFmtId="0" fontId="171" fillId="0" borderId="0" applyNumberFormat="0" applyFill="0" applyBorder="0" applyAlignment="0" applyProtection="0"/>
    <xf numFmtId="0" fontId="172" fillId="104" borderId="0" applyNumberFormat="0" applyBorder="0" applyAlignment="0" applyProtection="0"/>
    <xf numFmtId="0" fontId="83" fillId="42" borderId="0" applyNumberFormat="0" applyBorder="0" applyAlignment="0" applyProtection="0"/>
    <xf numFmtId="0" fontId="173" fillId="105" borderId="0" applyNumberFormat="0" applyBorder="0" applyAlignment="0" applyProtection="0"/>
    <xf numFmtId="0" fontId="174" fillId="106" borderId="24" applyNumberFormat="0" applyAlignment="0" applyProtection="0"/>
    <xf numFmtId="0" fontId="175" fillId="43" borderId="39" applyNumberFormat="0" applyAlignment="0" applyProtection="0"/>
    <xf numFmtId="0" fontId="84" fillId="43" borderId="24" applyNumberFormat="0" applyAlignment="0" applyProtection="0"/>
    <xf numFmtId="0" fontId="176" fillId="0" borderId="40" applyNumberFormat="0" applyFill="0" applyAlignment="0" applyProtection="0"/>
    <xf numFmtId="0" fontId="85" fillId="44" borderId="25" applyNumberFormat="0" applyAlignment="0" applyProtection="0"/>
    <xf numFmtId="0" fontId="177" fillId="0" borderId="0" applyNumberFormat="0" applyFill="0" applyBorder="0" applyAlignment="0" applyProtection="0"/>
    <xf numFmtId="0" fontId="45" fillId="107" borderId="41" applyNumberFormat="0" applyFont="0" applyAlignment="0" applyProtection="0"/>
    <xf numFmtId="0" fontId="178" fillId="0" borderId="0" applyNumberFormat="0" applyFill="0" applyBorder="0" applyAlignment="0" applyProtection="0"/>
    <xf numFmtId="0" fontId="179" fillId="0" borderId="42" applyNumberFormat="0" applyFill="0" applyAlignment="0" applyProtection="0"/>
    <xf numFmtId="0" fontId="86"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45" fillId="54" borderId="0" applyNumberFormat="0" applyBorder="0" applyAlignment="0" applyProtection="0"/>
    <xf numFmtId="0" fontId="45"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45" fillId="58" borderId="0" applyNumberFormat="0" applyBorder="0" applyAlignment="0" applyProtection="0"/>
    <xf numFmtId="0" fontId="45" fillId="59"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45" fillId="62" borderId="0" applyNumberFormat="0" applyBorder="0" applyAlignment="0" applyProtection="0"/>
    <xf numFmtId="0" fontId="45" fillId="63" borderId="0" applyNumberFormat="0" applyBorder="0" applyAlignment="0" applyProtection="0"/>
    <xf numFmtId="0" fontId="86" fillId="64" borderId="0" applyNumberFormat="0" applyBorder="0" applyAlignment="0" applyProtection="0"/>
    <xf numFmtId="0" fontId="86" fillId="65" borderId="0" applyNumberFormat="0" applyBorder="0" applyAlignment="0" applyProtection="0"/>
    <xf numFmtId="0" fontId="45" fillId="66" borderId="0" applyNumberFormat="0" applyBorder="0" applyAlignment="0" applyProtection="0"/>
    <xf numFmtId="0" fontId="45" fillId="67" borderId="0" applyNumberFormat="0" applyBorder="0" applyAlignment="0" applyProtection="0"/>
    <xf numFmtId="0" fontId="86" fillId="68" borderId="0" applyNumberFormat="0" applyBorder="0" applyAlignment="0" applyProtection="0"/>
    <xf numFmtId="0" fontId="50" fillId="0" borderId="0"/>
    <xf numFmtId="43" fontId="50"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9" fontId="183" fillId="0" borderId="0" applyFont="0" applyFill="0" applyBorder="0" applyAlignment="0" applyProtection="0"/>
    <xf numFmtId="0" fontId="183" fillId="0" borderId="0"/>
    <xf numFmtId="43" fontId="19" fillId="0" borderId="0" applyFont="0" applyFill="0" applyBorder="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 fillId="0" borderId="0"/>
    <xf numFmtId="0" fontId="45" fillId="107" borderId="41" applyNumberFormat="0" applyFont="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107" borderId="41" applyNumberFormat="0" applyFont="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43" fontId="45" fillId="0" borderId="0" applyFont="0" applyFill="0" applyBorder="0" applyAlignment="0" applyProtection="0"/>
    <xf numFmtId="211" fontId="184" fillId="0" borderId="0">
      <protection locked="0"/>
    </xf>
    <xf numFmtId="211" fontId="184" fillId="0" borderId="0">
      <protection locked="0"/>
    </xf>
    <xf numFmtId="211" fontId="184" fillId="0" borderId="0">
      <protection locked="0"/>
    </xf>
    <xf numFmtId="211" fontId="184" fillId="0" borderId="0">
      <protection locked="0"/>
    </xf>
    <xf numFmtId="211" fontId="184" fillId="0" borderId="0">
      <protection locked="0"/>
    </xf>
    <xf numFmtId="211" fontId="184" fillId="0" borderId="0">
      <protection locked="0"/>
    </xf>
    <xf numFmtId="211" fontId="184" fillId="0" borderId="0">
      <protection locked="0"/>
    </xf>
    <xf numFmtId="44" fontId="45" fillId="0" borderId="0" applyFont="0" applyFill="0" applyBorder="0" applyAlignment="0" applyProtection="0"/>
    <xf numFmtId="212" fontId="184" fillId="0" borderId="0">
      <protection locked="0"/>
    </xf>
    <xf numFmtId="212" fontId="184" fillId="0" borderId="0">
      <protection locked="0"/>
    </xf>
    <xf numFmtId="212" fontId="184" fillId="0" borderId="0">
      <protection locked="0"/>
    </xf>
    <xf numFmtId="212" fontId="184" fillId="0" borderId="0">
      <protection locked="0"/>
    </xf>
    <xf numFmtId="212" fontId="184" fillId="0" borderId="0">
      <protection locked="0"/>
    </xf>
    <xf numFmtId="212" fontId="184" fillId="0" borderId="0">
      <protection locked="0"/>
    </xf>
    <xf numFmtId="212"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213" fontId="184" fillId="0" borderId="0">
      <protection locked="0"/>
    </xf>
    <xf numFmtId="213" fontId="184" fillId="0" borderId="0">
      <protection locked="0"/>
    </xf>
    <xf numFmtId="213" fontId="184" fillId="0" borderId="0">
      <protection locked="0"/>
    </xf>
    <xf numFmtId="213" fontId="184" fillId="0" borderId="0">
      <protection locked="0"/>
    </xf>
    <xf numFmtId="213" fontId="184" fillId="0" borderId="0">
      <protection locked="0"/>
    </xf>
    <xf numFmtId="213" fontId="184" fillId="0" borderId="0">
      <protection locked="0"/>
    </xf>
    <xf numFmtId="213"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4" fillId="0" borderId="0">
      <protection locked="0"/>
    </xf>
    <xf numFmtId="0" fontId="185" fillId="0" borderId="0" applyNumberFormat="0" applyFill="0" applyBorder="0" applyAlignment="0" applyProtection="0">
      <alignment vertical="top"/>
      <protection locked="0"/>
    </xf>
    <xf numFmtId="0" fontId="19" fillId="0" borderId="0"/>
    <xf numFmtId="0" fontId="19" fillId="0" borderId="0"/>
    <xf numFmtId="0" fontId="4" fillId="0" borderId="0">
      <alignment vertical="top"/>
    </xf>
    <xf numFmtId="0" fontId="45" fillId="107" borderId="41" applyNumberFormat="0" applyFont="0" applyAlignment="0" applyProtection="0"/>
    <xf numFmtId="0" fontId="45" fillId="107" borderId="41" applyNumberFormat="0" applyFont="0" applyAlignment="0" applyProtection="0"/>
    <xf numFmtId="0" fontId="45" fillId="107" borderId="41" applyNumberFormat="0" applyFont="0" applyAlignment="0" applyProtection="0"/>
    <xf numFmtId="0" fontId="184" fillId="0" borderId="26">
      <protection locked="0"/>
    </xf>
    <xf numFmtId="0" fontId="184" fillId="0" borderId="26">
      <protection locked="0"/>
    </xf>
    <xf numFmtId="0" fontId="184" fillId="0" borderId="26">
      <protection locked="0"/>
    </xf>
    <xf numFmtId="0" fontId="184" fillId="0" borderId="26">
      <protection locked="0"/>
    </xf>
    <xf numFmtId="0" fontId="184" fillId="0" borderId="26">
      <protection locked="0"/>
    </xf>
    <xf numFmtId="0" fontId="184" fillId="0" borderId="26">
      <protection locked="0"/>
    </xf>
    <xf numFmtId="0" fontId="184" fillId="0" borderId="26">
      <protection locked="0"/>
    </xf>
    <xf numFmtId="0" fontId="184" fillId="0" borderId="26">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19" fillId="0" borderId="0"/>
    <xf numFmtId="0" fontId="4" fillId="0" borderId="0"/>
    <xf numFmtId="0" fontId="45" fillId="0" borderId="0" applyNumberFormat="0" applyFont="0" applyFill="0" applyBorder="0" applyAlignment="0" applyProtection="0">
      <alignment vertical="top"/>
      <protection locked="0"/>
    </xf>
    <xf numFmtId="0" fontId="19" fillId="0" borderId="0"/>
    <xf numFmtId="0" fontId="115" fillId="0" borderId="0"/>
    <xf numFmtId="43" fontId="115" fillId="0" borderId="0" applyFont="0" applyFill="0" applyBorder="0" applyAlignment="0" applyProtection="0"/>
    <xf numFmtId="44" fontId="115" fillId="0" borderId="0" applyFont="0" applyFill="0" applyBorder="0" applyAlignment="0" applyProtection="0"/>
    <xf numFmtId="0" fontId="45" fillId="0" borderId="0" applyNumberFormat="0" applyFont="0" applyFill="0" applyBorder="0" applyAlignment="0" applyProtection="0">
      <alignment vertical="top"/>
      <protection locked="0"/>
    </xf>
    <xf numFmtId="0" fontId="115" fillId="0" borderId="0"/>
    <xf numFmtId="43" fontId="115" fillId="0" borderId="0" applyFont="0" applyFill="0" applyBorder="0" applyAlignment="0" applyProtection="0"/>
    <xf numFmtId="44" fontId="115" fillId="0" borderId="0" applyFont="0" applyFill="0" applyBorder="0" applyAlignment="0" applyProtection="0"/>
    <xf numFmtId="0" fontId="45" fillId="0" borderId="0" applyNumberFormat="0" applyFont="0" applyFill="0" applyBorder="0" applyAlignment="0" applyProtection="0">
      <alignment vertical="top"/>
      <protection locked="0"/>
    </xf>
    <xf numFmtId="0" fontId="45" fillId="107" borderId="41" applyNumberFormat="0" applyFont="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46"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8" borderId="0" applyNumberFormat="0" applyBorder="0" applyAlignment="0" applyProtection="0"/>
    <xf numFmtId="0" fontId="45" fillId="62" borderId="0" applyNumberFormat="0" applyBorder="0" applyAlignment="0" applyProtection="0"/>
    <xf numFmtId="0" fontId="45" fillId="66" borderId="0" applyNumberFormat="0" applyBorder="0" applyAlignment="0" applyProtection="0"/>
    <xf numFmtId="0" fontId="45" fillId="47" borderId="0" applyNumberFormat="0" applyBorder="0" applyAlignment="0" applyProtection="0"/>
    <xf numFmtId="0" fontId="45" fillId="51" borderId="0" applyNumberFormat="0" applyBorder="0" applyAlignment="0" applyProtection="0"/>
    <xf numFmtId="0" fontId="45" fillId="55" borderId="0" applyNumberFormat="0" applyBorder="0" applyAlignment="0" applyProtection="0"/>
    <xf numFmtId="0" fontId="45" fillId="59" borderId="0" applyNumberFormat="0" applyBorder="0" applyAlignment="0" applyProtection="0"/>
    <xf numFmtId="0" fontId="45" fillId="63" borderId="0" applyNumberFormat="0" applyBorder="0" applyAlignment="0" applyProtection="0"/>
    <xf numFmtId="0" fontId="45" fillId="67" borderId="0" applyNumberFormat="0" applyBorder="0" applyAlignment="0" applyProtection="0"/>
    <xf numFmtId="43"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45" fillId="107" borderId="41" applyNumberFormat="0" applyFont="0" applyAlignment="0" applyProtection="0"/>
    <xf numFmtId="0" fontId="45" fillId="107" borderId="41" applyNumberFormat="0" applyFont="0" applyAlignment="0" applyProtection="0"/>
    <xf numFmtId="0" fontId="45" fillId="107" borderId="41" applyNumberFormat="0" applyFont="0" applyAlignment="0" applyProtection="0"/>
    <xf numFmtId="9" fontId="45" fillId="0" borderId="0" applyFont="0" applyFill="0" applyBorder="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107" borderId="41" applyNumberFormat="0" applyFont="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44" fontId="4" fillId="0" borderId="0" applyFont="0" applyFill="0" applyBorder="0" applyAlignment="0" applyProtection="0"/>
    <xf numFmtId="0" fontId="45" fillId="54" borderId="0" applyNumberFormat="0" applyBorder="0" applyAlignment="0" applyProtection="0"/>
    <xf numFmtId="43" fontId="4" fillId="0" borderId="0" applyFont="0" applyFill="0" applyBorder="0" applyAlignment="0" applyProtection="0"/>
    <xf numFmtId="0" fontId="45" fillId="55" borderId="0" applyNumberFormat="0" applyBorder="0" applyAlignment="0" applyProtection="0"/>
    <xf numFmtId="0" fontId="45" fillId="62" borderId="0" applyNumberFormat="0" applyBorder="0" applyAlignment="0" applyProtection="0"/>
    <xf numFmtId="0" fontId="45" fillId="67" borderId="0" applyNumberFormat="0" applyBorder="0" applyAlignment="0" applyProtection="0"/>
    <xf numFmtId="0" fontId="45" fillId="50" borderId="0" applyNumberFormat="0" applyBorder="0" applyAlignment="0" applyProtection="0"/>
    <xf numFmtId="0" fontId="45" fillId="107" borderId="41" applyNumberFormat="0" applyFont="0" applyAlignment="0" applyProtection="0"/>
    <xf numFmtId="0" fontId="45" fillId="51" borderId="0" applyNumberFormat="0" applyBorder="0" applyAlignment="0" applyProtection="0"/>
    <xf numFmtId="0" fontId="45" fillId="107" borderId="41" applyNumberFormat="0" applyFont="0" applyAlignment="0" applyProtection="0"/>
    <xf numFmtId="0" fontId="19" fillId="0" borderId="0"/>
    <xf numFmtId="0" fontId="45" fillId="63" borderId="0" applyNumberFormat="0" applyBorder="0" applyAlignment="0" applyProtection="0"/>
    <xf numFmtId="0" fontId="45" fillId="58" borderId="0" applyNumberFormat="0" applyBorder="0" applyAlignment="0" applyProtection="0"/>
    <xf numFmtId="0" fontId="45" fillId="59" borderId="0" applyNumberFormat="0" applyBorder="0" applyAlignment="0" applyProtection="0"/>
    <xf numFmtId="0" fontId="45" fillId="47" borderId="0" applyNumberFormat="0" applyBorder="0" applyAlignment="0" applyProtection="0"/>
    <xf numFmtId="0" fontId="45" fillId="46" borderId="0" applyNumberFormat="0" applyBorder="0" applyAlignment="0" applyProtection="0"/>
    <xf numFmtId="0" fontId="115" fillId="0" borderId="0"/>
    <xf numFmtId="44" fontId="115" fillId="0" borderId="0" applyFont="0" applyFill="0" applyBorder="0" applyAlignment="0" applyProtection="0"/>
    <xf numFmtId="0" fontId="80" fillId="0" borderId="0"/>
    <xf numFmtId="0" fontId="145" fillId="0" borderId="36" applyNumberFormat="0" applyFill="0" applyAlignment="0" applyProtection="0"/>
    <xf numFmtId="0" fontId="146" fillId="0" borderId="37" applyNumberFormat="0" applyFill="0" applyAlignment="0" applyProtection="0"/>
    <xf numFmtId="0" fontId="147" fillId="0" borderId="38" applyNumberFormat="0" applyFill="0" applyAlignment="0" applyProtection="0"/>
    <xf numFmtId="0" fontId="147" fillId="0" borderId="0" applyNumberFormat="0" applyFill="0" applyBorder="0" applyAlignment="0" applyProtection="0"/>
    <xf numFmtId="0" fontId="148" fillId="104" borderId="0" applyNumberFormat="0" applyBorder="0" applyAlignment="0" applyProtection="0"/>
    <xf numFmtId="0" fontId="149" fillId="42" borderId="0" applyNumberFormat="0" applyBorder="0" applyAlignment="0" applyProtection="0"/>
    <xf numFmtId="0" fontId="150" fillId="105" borderId="0" applyNumberFormat="0" applyBorder="0" applyAlignment="0" applyProtection="0"/>
    <xf numFmtId="0" fontId="151" fillId="106" borderId="24" applyNumberFormat="0" applyAlignment="0" applyProtection="0"/>
    <xf numFmtId="0" fontId="152" fillId="43" borderId="39" applyNumberFormat="0" applyAlignment="0" applyProtection="0"/>
    <xf numFmtId="0" fontId="153" fillId="43" borderId="24" applyNumberFormat="0" applyAlignment="0" applyProtection="0"/>
    <xf numFmtId="0" fontId="154" fillId="0" borderId="40" applyNumberFormat="0" applyFill="0" applyAlignment="0" applyProtection="0"/>
    <xf numFmtId="0" fontId="155" fillId="44" borderId="25"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82" fillId="0" borderId="42" applyNumberFormat="0" applyFill="0" applyAlignment="0" applyProtection="0"/>
    <xf numFmtId="0" fontId="158" fillId="45" borderId="0" applyNumberFormat="0" applyBorder="0" applyAlignment="0" applyProtection="0"/>
    <xf numFmtId="0" fontId="80" fillId="46" borderId="0" applyNumberFormat="0" applyBorder="0" applyAlignment="0" applyProtection="0"/>
    <xf numFmtId="0" fontId="80" fillId="47" borderId="0" applyNumberFormat="0" applyBorder="0" applyAlignment="0" applyProtection="0"/>
    <xf numFmtId="0" fontId="158" fillId="48" borderId="0" applyNumberFormat="0" applyBorder="0" applyAlignment="0" applyProtection="0"/>
    <xf numFmtId="0" fontId="158" fillId="49"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158" fillId="52" borderId="0" applyNumberFormat="0" applyBorder="0" applyAlignment="0" applyProtection="0"/>
    <xf numFmtId="0" fontId="158"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158" fillId="56" borderId="0" applyNumberFormat="0" applyBorder="0" applyAlignment="0" applyProtection="0"/>
    <xf numFmtId="0" fontId="158" fillId="57" borderId="0" applyNumberFormat="0" applyBorder="0" applyAlignment="0" applyProtection="0"/>
    <xf numFmtId="0" fontId="80" fillId="58" borderId="0" applyNumberFormat="0" applyBorder="0" applyAlignment="0" applyProtection="0"/>
    <xf numFmtId="0" fontId="80" fillId="59" borderId="0" applyNumberFormat="0" applyBorder="0" applyAlignment="0" applyProtection="0"/>
    <xf numFmtId="0" fontId="158" fillId="60" borderId="0" applyNumberFormat="0" applyBorder="0" applyAlignment="0" applyProtection="0"/>
    <xf numFmtId="0" fontId="158" fillId="61"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158" fillId="64" borderId="0" applyNumberFormat="0" applyBorder="0" applyAlignment="0" applyProtection="0"/>
    <xf numFmtId="0" fontId="158" fillId="65" borderId="0" applyNumberFormat="0" applyBorder="0" applyAlignment="0" applyProtection="0"/>
    <xf numFmtId="0" fontId="80" fillId="66" borderId="0" applyNumberFormat="0" applyBorder="0" applyAlignment="0" applyProtection="0"/>
    <xf numFmtId="0" fontId="80" fillId="67" borderId="0" applyNumberFormat="0" applyBorder="0" applyAlignment="0" applyProtection="0"/>
    <xf numFmtId="0" fontId="158" fillId="68" borderId="0" applyNumberFormat="0" applyBorder="0" applyAlignment="0" applyProtection="0"/>
    <xf numFmtId="0" fontId="19" fillId="0" borderId="0"/>
    <xf numFmtId="0" fontId="45" fillId="0" borderId="0" applyNumberFormat="0" applyFont="0" applyFill="0" applyBorder="0" applyAlignment="0" applyProtection="0">
      <alignment vertical="top"/>
      <protection locked="0"/>
    </xf>
    <xf numFmtId="0" fontId="45" fillId="66" borderId="0" applyNumberFormat="0" applyBorder="0" applyAlignment="0" applyProtection="0"/>
    <xf numFmtId="0" fontId="45" fillId="107" borderId="41" applyNumberFormat="0" applyFont="0" applyAlignment="0" applyProtection="0"/>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45" fillId="0" borderId="0" applyNumberFormat="0" applyFont="0" applyFill="0" applyBorder="0" applyAlignment="0" applyProtection="0">
      <alignment vertical="top"/>
      <protection locked="0"/>
    </xf>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0" fontId="46" fillId="0" borderId="0"/>
    <xf numFmtId="43" fontId="4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3" fillId="0" borderId="0"/>
    <xf numFmtId="43" fontId="19" fillId="0" borderId="0" applyFont="0" applyFill="0" applyBorder="0" applyAlignment="0" applyProtection="0"/>
    <xf numFmtId="9" fontId="19" fillId="0" borderId="0" applyFont="0" applyFill="0" applyBorder="0" applyAlignment="0" applyProtection="0"/>
    <xf numFmtId="0" fontId="186" fillId="0" borderId="0" applyNumberFormat="0" applyFill="0" applyBorder="0" applyAlignment="0" applyProtection="0"/>
    <xf numFmtId="0" fontId="187" fillId="0" borderId="0"/>
    <xf numFmtId="43" fontId="95" fillId="0" borderId="0" applyFont="0" applyFill="0" applyBorder="0" applyAlignment="0" applyProtection="0"/>
    <xf numFmtId="0" fontId="183" fillId="0" borderId="0"/>
    <xf numFmtId="0" fontId="35" fillId="0" borderId="0" applyNumberFormat="0" applyFill="0" applyBorder="0" applyAlignment="0" applyProtection="0">
      <alignment vertical="top"/>
      <protection locked="0"/>
    </xf>
    <xf numFmtId="0" fontId="19" fillId="0" borderId="0" applyNumberFormat="0" applyFill="0" applyBorder="0" applyAlignment="0" applyProtection="0"/>
    <xf numFmtId="43" fontId="95" fillId="0" borderId="0" applyFont="0" applyFill="0" applyBorder="0" applyAlignment="0" applyProtection="0"/>
    <xf numFmtId="0" fontId="95" fillId="0" borderId="0"/>
    <xf numFmtId="0" fontId="95" fillId="0" borderId="0"/>
    <xf numFmtId="43" fontId="95" fillId="0" borderId="0" applyFont="0" applyFill="0" applyBorder="0" applyAlignment="0" applyProtection="0"/>
    <xf numFmtId="0" fontId="133" fillId="0" borderId="0"/>
    <xf numFmtId="0" fontId="133" fillId="0" borderId="0"/>
    <xf numFmtId="0" fontId="133" fillId="0" borderId="0"/>
    <xf numFmtId="0" fontId="133"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cellStyleXfs>
  <cellXfs count="615">
    <xf numFmtId="0" fontId="0" fillId="0" borderId="0" xfId="0"/>
    <xf numFmtId="0" fontId="46" fillId="0" borderId="0" xfId="0" applyFont="1"/>
    <xf numFmtId="0" fontId="46" fillId="0" borderId="0" xfId="0" applyFont="1" applyAlignment="1">
      <alignment horizontal="center" vertical="center" wrapText="1"/>
    </xf>
    <xf numFmtId="4" fontId="46" fillId="0" borderId="0" xfId="0" applyNumberFormat="1" applyFont="1" applyAlignment="1">
      <alignment vertical="center" wrapText="1"/>
    </xf>
    <xf numFmtId="0" fontId="46" fillId="0" borderId="0" xfId="0" applyFont="1" applyAlignment="1">
      <alignment horizontal="right" vertical="center" wrapText="1"/>
    </xf>
    <xf numFmtId="0" fontId="46" fillId="0" borderId="0" xfId="0" applyFont="1" applyAlignment="1">
      <alignment horizontal="left" vertical="center" wrapText="1"/>
    </xf>
    <xf numFmtId="0" fontId="46" fillId="0" borderId="0" xfId="0" applyFont="1" applyFill="1" applyAlignment="1">
      <alignment horizontal="center" vertical="center" wrapText="1"/>
    </xf>
    <xf numFmtId="0" fontId="46" fillId="0" borderId="0" xfId="0" applyFont="1" applyAlignment="1">
      <alignment vertical="center"/>
    </xf>
    <xf numFmtId="0" fontId="0" fillId="0" borderId="0" xfId="0"/>
    <xf numFmtId="0" fontId="46" fillId="0" borderId="0" xfId="0" applyFont="1" applyAlignment="1">
      <alignment vertical="center" wrapText="1"/>
    </xf>
    <xf numFmtId="0" fontId="4" fillId="0" borderId="13" xfId="1698" applyFont="1" applyFill="1" applyBorder="1" applyAlignment="1">
      <alignment vertical="center" wrapText="1"/>
    </xf>
    <xf numFmtId="197" fontId="46" fillId="0" borderId="0" xfId="43" applyNumberFormat="1" applyFont="1" applyAlignment="1">
      <alignment vertical="center" wrapText="1"/>
    </xf>
    <xf numFmtId="164" fontId="46" fillId="0" borderId="0" xfId="43" applyNumberFormat="1" applyFont="1" applyAlignment="1">
      <alignment vertical="center" wrapText="1"/>
    </xf>
    <xf numFmtId="14" fontId="0" fillId="0" borderId="0" xfId="0" applyNumberFormat="1"/>
    <xf numFmtId="0" fontId="80" fillId="40" borderId="0" xfId="0" applyNumberFormat="1" applyFont="1" applyFill="1" applyBorder="1" applyAlignment="1" applyProtection="1"/>
    <xf numFmtId="0" fontId="107" fillId="0" borderId="0" xfId="0" applyFont="1"/>
    <xf numFmtId="2" fontId="46" fillId="0" borderId="0" xfId="0" applyNumberFormat="1" applyFont="1" applyFill="1" applyAlignment="1">
      <alignment horizontal="right" vertical="center"/>
    </xf>
    <xf numFmtId="0" fontId="46" fillId="0" borderId="0" xfId="0" applyFont="1" applyFill="1" applyBorder="1" applyAlignment="1">
      <alignment vertical="center" wrapText="1"/>
    </xf>
    <xf numFmtId="2" fontId="46" fillId="0" borderId="0" xfId="0" applyNumberFormat="1" applyFont="1" applyFill="1" applyAlignment="1">
      <alignment vertical="center"/>
    </xf>
    <xf numFmtId="4" fontId="46" fillId="0" borderId="0" xfId="0" applyNumberFormat="1" applyFont="1" applyFill="1" applyAlignment="1">
      <alignment vertical="center"/>
    </xf>
    <xf numFmtId="2" fontId="46" fillId="0" borderId="0" xfId="0" applyNumberFormat="1" applyFont="1" applyFill="1" applyAlignment="1">
      <alignment horizontal="left" vertical="center"/>
    </xf>
    <xf numFmtId="14" fontId="46" fillId="0" borderId="0" xfId="0" applyNumberFormat="1" applyFont="1" applyFill="1" applyAlignment="1">
      <alignment horizontal="right" vertical="center"/>
    </xf>
    <xf numFmtId="0" fontId="43" fillId="0" borderId="13" xfId="0" applyFont="1" applyFill="1" applyBorder="1" applyAlignment="1">
      <alignment vertical="center" wrapText="1"/>
    </xf>
    <xf numFmtId="0" fontId="43" fillId="0" borderId="13" xfId="0" applyFont="1" applyFill="1" applyBorder="1" applyAlignment="1">
      <alignment horizontal="center" vertical="center" wrapText="1"/>
    </xf>
    <xf numFmtId="2" fontId="43" fillId="0" borderId="13" xfId="0" applyNumberFormat="1" applyFont="1" applyFill="1" applyBorder="1" applyAlignment="1">
      <alignment horizontal="center" vertical="center" wrapText="1"/>
    </xf>
    <xf numFmtId="4" fontId="43" fillId="0" borderId="13" xfId="0" applyNumberFormat="1" applyFont="1" applyFill="1" applyBorder="1" applyAlignment="1">
      <alignment horizontal="center" vertical="center" wrapText="1"/>
    </xf>
    <xf numFmtId="14" fontId="47" fillId="0" borderId="13" xfId="0" applyNumberFormat="1" applyFont="1" applyFill="1" applyBorder="1" applyAlignment="1">
      <alignment horizontal="center" vertical="center" wrapText="1"/>
    </xf>
    <xf numFmtId="0" fontId="4" fillId="0" borderId="13" xfId="0" applyFont="1" applyFill="1" applyBorder="1" applyAlignment="1">
      <alignment vertical="center" wrapText="1"/>
    </xf>
    <xf numFmtId="2" fontId="4" fillId="0" borderId="13" xfId="0" applyNumberFormat="1" applyFont="1" applyFill="1" applyBorder="1" applyAlignment="1">
      <alignment horizontal="right" vertical="center"/>
    </xf>
    <xf numFmtId="2" fontId="46" fillId="0" borderId="13" xfId="0" applyNumberFormat="1" applyFont="1" applyFill="1" applyBorder="1" applyAlignment="1">
      <alignment horizontal="right" vertical="center"/>
    </xf>
    <xf numFmtId="0" fontId="4" fillId="0" borderId="13" xfId="2368" applyFont="1" applyFill="1" applyBorder="1" applyAlignment="1">
      <alignment vertical="center" wrapText="1"/>
    </xf>
    <xf numFmtId="2" fontId="46" fillId="0" borderId="13" xfId="1702" applyNumberFormat="1" applyFont="1" applyFill="1" applyBorder="1" applyAlignment="1">
      <alignment horizontal="right" vertical="center"/>
    </xf>
    <xf numFmtId="2" fontId="46" fillId="0" borderId="13" xfId="0" applyNumberFormat="1" applyFont="1" applyFill="1" applyBorder="1" applyAlignment="1">
      <alignment vertical="center"/>
    </xf>
    <xf numFmtId="2" fontId="46" fillId="0" borderId="13" xfId="0" applyNumberFormat="1" applyFont="1" applyFill="1" applyBorder="1" applyAlignment="1">
      <alignment horizontal="left" vertical="center"/>
    </xf>
    <xf numFmtId="2" fontId="4" fillId="0" borderId="13" xfId="204" applyNumberFormat="1" applyFont="1" applyFill="1" applyBorder="1" applyAlignment="1">
      <alignment horizontal="right" vertical="center"/>
    </xf>
    <xf numFmtId="2" fontId="19" fillId="0" borderId="13" xfId="0" applyNumberFormat="1" applyFont="1" applyFill="1" applyBorder="1" applyAlignment="1">
      <alignment horizontal="right" vertical="center"/>
    </xf>
    <xf numFmtId="0" fontId="49" fillId="0" borderId="13" xfId="0" applyFont="1" applyFill="1" applyBorder="1" applyAlignment="1">
      <alignment vertical="center" wrapText="1"/>
    </xf>
    <xf numFmtId="2" fontId="46" fillId="0" borderId="13" xfId="0" applyNumberFormat="1" applyFont="1" applyFill="1" applyBorder="1" applyAlignment="1">
      <alignment horizontal="right" vertical="center" wrapText="1"/>
    </xf>
    <xf numFmtId="168" fontId="19" fillId="0" borderId="13" xfId="1518" applyNumberFormat="1" applyFont="1" applyFill="1" applyBorder="1" applyAlignment="1">
      <alignment horizontal="left" vertical="center" wrapText="1"/>
    </xf>
    <xf numFmtId="14" fontId="4" fillId="0" borderId="13" xfId="0" applyNumberFormat="1" applyFont="1" applyFill="1" applyBorder="1" applyAlignment="1">
      <alignment vertical="center" wrapText="1"/>
    </xf>
    <xf numFmtId="183" fontId="46" fillId="0" borderId="13" xfId="1702" applyNumberFormat="1" applyFont="1" applyFill="1" applyBorder="1" applyAlignment="1">
      <alignment horizontal="right" vertical="center" wrapText="1"/>
    </xf>
    <xf numFmtId="197" fontId="19" fillId="0" borderId="13" xfId="43" applyNumberFormat="1" applyFont="1" applyFill="1" applyBorder="1" applyAlignment="1">
      <alignment horizontal="right" vertical="center" wrapText="1"/>
    </xf>
    <xf numFmtId="0" fontId="46" fillId="0" borderId="0" xfId="0" applyFont="1" applyFill="1" applyAlignment="1">
      <alignment vertical="center"/>
    </xf>
    <xf numFmtId="198" fontId="4" fillId="0" borderId="13" xfId="2371" applyNumberFormat="1" applyFont="1" applyFill="1" applyBorder="1" applyAlignment="1">
      <alignment horizontal="right" vertical="center"/>
    </xf>
    <xf numFmtId="0" fontId="4" fillId="0" borderId="13" xfId="1698" applyFont="1" applyFill="1" applyBorder="1" applyAlignment="1">
      <alignment horizontal="right" vertical="center"/>
    </xf>
    <xf numFmtId="0" fontId="46" fillId="0" borderId="13" xfId="0" applyFont="1" applyFill="1" applyBorder="1" applyAlignment="1">
      <alignment vertical="center"/>
    </xf>
    <xf numFmtId="0" fontId="4" fillId="0" borderId="13" xfId="2371" applyFont="1" applyFill="1" applyBorder="1" applyAlignment="1">
      <alignment vertical="center"/>
    </xf>
    <xf numFmtId="2" fontId="4" fillId="0" borderId="13" xfId="2371" applyNumberFormat="1" applyFont="1" applyFill="1" applyBorder="1" applyAlignment="1">
      <alignment horizontal="right" vertical="center"/>
    </xf>
    <xf numFmtId="0" fontId="4" fillId="0" borderId="13" xfId="2371" applyFont="1" applyFill="1" applyBorder="1" applyAlignment="1">
      <alignment horizontal="right" vertical="center"/>
    </xf>
    <xf numFmtId="14" fontId="4" fillId="0" borderId="13" xfId="2371" applyNumberFormat="1" applyFont="1" applyFill="1" applyBorder="1" applyAlignment="1">
      <alignment horizontal="right" vertical="center"/>
    </xf>
    <xf numFmtId="14" fontId="19" fillId="0" borderId="13" xfId="0" applyNumberFormat="1" applyFont="1" applyFill="1" applyBorder="1" applyAlignment="1">
      <alignment horizontal="right" vertical="center"/>
    </xf>
    <xf numFmtId="2" fontId="4" fillId="0" borderId="13" xfId="2370" applyNumberFormat="1" applyFont="1" applyFill="1" applyBorder="1" applyAlignment="1">
      <alignment horizontal="right" vertical="center"/>
    </xf>
    <xf numFmtId="0" fontId="19" fillId="0" borderId="13" xfId="0" applyFont="1" applyFill="1" applyBorder="1" applyAlignment="1">
      <alignment vertical="center"/>
    </xf>
    <xf numFmtId="0" fontId="19" fillId="0" borderId="13" xfId="0" applyFont="1" applyFill="1" applyBorder="1" applyAlignment="1">
      <alignment horizontal="right" vertical="center"/>
    </xf>
    <xf numFmtId="0" fontId="4" fillId="0" borderId="13" xfId="2370" applyFont="1" applyFill="1" applyBorder="1" applyAlignment="1">
      <alignment vertical="center" wrapText="1"/>
    </xf>
    <xf numFmtId="2" fontId="46" fillId="0" borderId="13" xfId="0" applyNumberFormat="1" applyFont="1" applyFill="1" applyBorder="1" applyAlignment="1">
      <alignment vertical="center" wrapText="1"/>
    </xf>
    <xf numFmtId="0" fontId="4" fillId="0" borderId="13" xfId="2370" applyFont="1" applyFill="1" applyBorder="1" applyAlignment="1">
      <alignment horizontal="left" vertical="center" wrapText="1"/>
    </xf>
    <xf numFmtId="165" fontId="43" fillId="0" borderId="13" xfId="0" applyNumberFormat="1" applyFont="1" applyFill="1" applyBorder="1" applyAlignment="1">
      <alignment horizontal="center" vertical="center" wrapText="1"/>
    </xf>
    <xf numFmtId="165" fontId="4" fillId="0" borderId="13" xfId="0" applyNumberFormat="1" applyFont="1" applyFill="1" applyBorder="1" applyAlignment="1">
      <alignment horizontal="right" vertical="center"/>
    </xf>
    <xf numFmtId="165" fontId="4" fillId="0" borderId="13" xfId="1698" applyNumberFormat="1" applyFont="1" applyFill="1" applyBorder="1" applyAlignment="1">
      <alignment horizontal="right" vertical="center"/>
    </xf>
    <xf numFmtId="165" fontId="46" fillId="0" borderId="0" xfId="0" applyNumberFormat="1" applyFont="1" applyFill="1" applyAlignment="1">
      <alignment vertical="center"/>
    </xf>
    <xf numFmtId="2" fontId="47" fillId="0" borderId="13" xfId="0" applyNumberFormat="1" applyFont="1" applyFill="1" applyBorder="1" applyAlignment="1">
      <alignment horizontal="right" vertical="center" wrapText="1"/>
    </xf>
    <xf numFmtId="0" fontId="43" fillId="0" borderId="13" xfId="1698" applyFont="1" applyFill="1" applyBorder="1" applyAlignment="1">
      <alignment horizontal="center" vertical="center" wrapText="1"/>
    </xf>
    <xf numFmtId="2" fontId="43" fillId="0" borderId="13" xfId="1698" applyNumberFormat="1" applyFont="1" applyFill="1" applyBorder="1" applyAlignment="1">
      <alignment horizontal="center" vertical="center" wrapText="1"/>
    </xf>
    <xf numFmtId="1" fontId="43" fillId="0" borderId="13" xfId="1698" applyNumberFormat="1" applyFont="1" applyFill="1" applyBorder="1" applyAlignment="1">
      <alignment horizontal="center" vertical="center" wrapText="1"/>
    </xf>
    <xf numFmtId="164" fontId="4" fillId="0" borderId="13" xfId="43" applyNumberFormat="1" applyFont="1" applyFill="1" applyBorder="1" applyAlignment="1">
      <alignment horizontal="right" vertical="center" wrapText="1"/>
    </xf>
    <xf numFmtId="0" fontId="46" fillId="0" borderId="0" xfId="0" applyFont="1" applyFill="1" applyBorder="1" applyAlignment="1">
      <alignment horizontal="center" vertical="center" wrapText="1"/>
    </xf>
    <xf numFmtId="2" fontId="46" fillId="0" borderId="0" xfId="0" applyNumberFormat="1" applyFont="1" applyFill="1" applyBorder="1" applyAlignment="1">
      <alignment vertical="center" wrapText="1"/>
    </xf>
    <xf numFmtId="3" fontId="46" fillId="0" borderId="0" xfId="0" applyNumberFormat="1" applyFont="1" applyFill="1" applyBorder="1" applyAlignment="1">
      <alignment vertical="center" wrapText="1"/>
    </xf>
    <xf numFmtId="0" fontId="19" fillId="0" borderId="13" xfId="0" applyFont="1" applyFill="1" applyBorder="1" applyAlignment="1">
      <alignment vertical="center" wrapText="1"/>
    </xf>
    <xf numFmtId="2" fontId="4" fillId="0" borderId="13" xfId="1698" applyNumberFormat="1" applyFont="1" applyFill="1" applyBorder="1" applyAlignment="1">
      <alignment horizontal="right" vertical="center" wrapText="1"/>
    </xf>
    <xf numFmtId="3" fontId="4" fillId="0" borderId="13" xfId="1698" applyNumberFormat="1" applyFont="1" applyFill="1" applyBorder="1" applyAlignment="1">
      <alignment horizontal="right" vertical="center" wrapText="1"/>
    </xf>
    <xf numFmtId="164" fontId="4" fillId="0" borderId="13" xfId="1698" applyNumberFormat="1" applyFont="1" applyFill="1" applyBorder="1" applyAlignment="1">
      <alignment horizontal="right" vertical="center" wrapText="1"/>
    </xf>
    <xf numFmtId="164" fontId="47" fillId="0" borderId="13" xfId="0" applyNumberFormat="1" applyFont="1" applyFill="1" applyBorder="1" applyAlignment="1">
      <alignment horizontal="right" vertical="center" wrapText="1"/>
    </xf>
    <xf numFmtId="0" fontId="50" fillId="0" borderId="0" xfId="0" applyFont="1" applyFill="1" applyAlignment="1">
      <alignment wrapText="1"/>
    </xf>
    <xf numFmtId="0" fontId="111" fillId="0" borderId="13" xfId="0" applyFont="1" applyFill="1" applyBorder="1" applyAlignment="1">
      <alignment horizontal="center" vertical="center" wrapText="1"/>
    </xf>
    <xf numFmtId="2" fontId="111" fillId="0" borderId="13" xfId="0" applyNumberFormat="1" applyFont="1" applyFill="1" applyBorder="1" applyAlignment="1">
      <alignment horizontal="center" vertical="center" wrapText="1"/>
    </xf>
    <xf numFmtId="43" fontId="111" fillId="0" borderId="13" xfId="43" applyFont="1" applyFill="1" applyBorder="1" applyAlignment="1">
      <alignment horizontal="center" vertical="center" wrapText="1"/>
    </xf>
    <xf numFmtId="0" fontId="112" fillId="0" borderId="13" xfId="0" applyFont="1" applyFill="1" applyBorder="1" applyAlignment="1">
      <alignment horizontal="center" vertical="center" wrapText="1"/>
    </xf>
    <xf numFmtId="0" fontId="50" fillId="0" borderId="0" xfId="0" applyFont="1" applyFill="1" applyAlignment="1">
      <alignment horizontal="center" wrapText="1"/>
    </xf>
    <xf numFmtId="0" fontId="50" fillId="0" borderId="0" xfId="0" applyFont="1" applyFill="1" applyAlignment="1">
      <alignment horizontal="center" vertical="center" wrapText="1"/>
    </xf>
    <xf numFmtId="0" fontId="50" fillId="0" borderId="0" xfId="0" applyFont="1" applyFill="1" applyAlignment="1">
      <alignment vertical="center" wrapText="1"/>
    </xf>
    <xf numFmtId="2" fontId="50" fillId="0" borderId="0" xfId="0" applyNumberFormat="1" applyFont="1" applyFill="1" applyAlignment="1">
      <alignment horizontal="left" vertical="center"/>
    </xf>
    <xf numFmtId="0" fontId="50" fillId="0" borderId="0" xfId="0" applyFont="1" applyFill="1" applyAlignment="1">
      <alignment horizontal="left" vertical="center" wrapText="1"/>
    </xf>
    <xf numFmtId="2" fontId="50" fillId="0" borderId="0" xfId="0" applyNumberFormat="1" applyFont="1" applyFill="1" applyAlignment="1">
      <alignment horizontal="right" vertical="center" wrapText="1"/>
    </xf>
    <xf numFmtId="14" fontId="50" fillId="0" borderId="0" xfId="0" applyNumberFormat="1" applyFont="1" applyFill="1" applyAlignment="1">
      <alignment horizontal="right" vertical="center" wrapText="1"/>
    </xf>
    <xf numFmtId="43" fontId="50" fillId="0" borderId="0" xfId="43" applyFont="1" applyFill="1" applyAlignment="1">
      <alignment horizontal="right" vertical="center" wrapText="1"/>
    </xf>
    <xf numFmtId="0" fontId="50" fillId="0" borderId="0" xfId="0" applyFont="1" applyFill="1" applyAlignment="1">
      <alignment horizontal="left" vertical="top" wrapText="1"/>
    </xf>
    <xf numFmtId="43" fontId="46" fillId="0" borderId="13" xfId="43" applyFont="1" applyFill="1" applyBorder="1" applyAlignment="1">
      <alignment horizontal="right" vertical="center"/>
    </xf>
    <xf numFmtId="0" fontId="79" fillId="0" borderId="13" xfId="0" applyFont="1" applyFill="1" applyBorder="1" applyAlignment="1">
      <alignment horizontal="left" vertical="center" wrapText="1"/>
    </xf>
    <xf numFmtId="0" fontId="48" fillId="0" borderId="13" xfId="0" applyFont="1" applyFill="1" applyBorder="1" applyAlignment="1">
      <alignment horizontal="center" vertical="center" wrapText="1"/>
    </xf>
    <xf numFmtId="197" fontId="48" fillId="0" borderId="13" xfId="43" applyNumberFormat="1"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197" fontId="46" fillId="0" borderId="13" xfId="43" applyNumberFormat="1" applyFont="1" applyFill="1" applyBorder="1" applyAlignment="1">
      <alignment horizontal="right" vertical="center" wrapText="1"/>
    </xf>
    <xf numFmtId="0" fontId="4" fillId="0" borderId="13" xfId="1698" applyFont="1" applyFill="1" applyBorder="1" applyAlignment="1">
      <alignment horizontal="left" vertical="center" wrapText="1"/>
    </xf>
    <xf numFmtId="0" fontId="46" fillId="0" borderId="13" xfId="0" applyNumberFormat="1" applyFont="1" applyFill="1" applyBorder="1" applyAlignment="1">
      <alignment horizontal="right" vertical="center" wrapText="1"/>
    </xf>
    <xf numFmtId="197" fontId="47" fillId="0" borderId="13" xfId="43" applyNumberFormat="1" applyFont="1" applyFill="1" applyBorder="1" applyAlignment="1">
      <alignment horizontal="right" vertical="center" wrapText="1"/>
    </xf>
    <xf numFmtId="0" fontId="19" fillId="0" borderId="0" xfId="0" applyFont="1" applyBorder="1" applyAlignment="1">
      <alignment vertical="center"/>
    </xf>
    <xf numFmtId="197" fontId="19" fillId="0" borderId="0" xfId="43" applyNumberFormat="1" applyFont="1" applyBorder="1" applyAlignment="1">
      <alignment vertical="center"/>
    </xf>
    <xf numFmtId="0" fontId="19" fillId="0" borderId="0" xfId="0" applyFont="1" applyAlignment="1">
      <alignment vertical="center" wrapText="1"/>
    </xf>
    <xf numFmtId="4" fontId="46" fillId="0" borderId="13" xfId="0" applyNumberFormat="1" applyFont="1" applyFill="1" applyBorder="1" applyAlignment="1">
      <alignment horizontal="left" vertical="center" wrapText="1"/>
    </xf>
    <xf numFmtId="197" fontId="49" fillId="0" borderId="13" xfId="43" applyNumberFormat="1" applyFont="1" applyFill="1" applyBorder="1" applyAlignment="1">
      <alignment horizontal="right" vertical="center" wrapText="1"/>
    </xf>
    <xf numFmtId="197" fontId="48" fillId="0" borderId="13" xfId="43" applyNumberFormat="1" applyFont="1" applyFill="1" applyBorder="1" applyAlignment="1">
      <alignment horizontal="right" vertical="center" wrapText="1"/>
    </xf>
    <xf numFmtId="197" fontId="46" fillId="0" borderId="13" xfId="43" applyNumberFormat="1" applyFont="1" applyFill="1" applyBorder="1" applyAlignment="1">
      <alignment horizontal="right" vertical="center"/>
    </xf>
    <xf numFmtId="3" fontId="19" fillId="0" borderId="13" xfId="0" applyNumberFormat="1" applyFont="1" applyFill="1" applyBorder="1" applyAlignment="1">
      <alignment horizontal="left" vertical="center" wrapText="1"/>
    </xf>
    <xf numFmtId="14" fontId="46" fillId="0" borderId="13" xfId="0" applyNumberFormat="1" applyFont="1" applyBorder="1" applyAlignment="1">
      <alignment wrapText="1"/>
    </xf>
    <xf numFmtId="0" fontId="47" fillId="35" borderId="13" xfId="0" applyFont="1" applyFill="1" applyBorder="1" applyAlignment="1">
      <alignment horizontal="center" vertical="center"/>
    </xf>
    <xf numFmtId="0" fontId="46" fillId="0" borderId="13" xfId="0" applyFont="1" applyBorder="1" applyAlignment="1">
      <alignment vertical="center"/>
    </xf>
    <xf numFmtId="166" fontId="46" fillId="0" borderId="13" xfId="0" applyNumberFormat="1" applyFont="1" applyBorder="1" applyAlignment="1">
      <alignment horizontal="right" vertical="center"/>
    </xf>
    <xf numFmtId="165" fontId="46" fillId="0" borderId="13" xfId="0" applyNumberFormat="1" applyFont="1" applyBorder="1" applyAlignment="1">
      <alignment horizontal="right" vertical="center"/>
    </xf>
    <xf numFmtId="0" fontId="47" fillId="0" borderId="13" xfId="0" applyFont="1" applyBorder="1" applyAlignment="1">
      <alignment vertical="center"/>
    </xf>
    <xf numFmtId="165" fontId="47" fillId="0" borderId="13" xfId="0" applyNumberFormat="1" applyFont="1" applyBorder="1" applyAlignment="1">
      <alignment horizontal="right" vertical="center"/>
    </xf>
    <xf numFmtId="0" fontId="47" fillId="0" borderId="13" xfId="0" applyFont="1" applyBorder="1" applyAlignment="1">
      <alignment horizontal="right" vertical="center"/>
    </xf>
    <xf numFmtId="0" fontId="46" fillId="0" borderId="13" xfId="0" applyFont="1" applyBorder="1" applyAlignment="1">
      <alignment vertical="center" wrapText="1"/>
    </xf>
    <xf numFmtId="0" fontId="46" fillId="0" borderId="13" xfId="0" applyFont="1" applyBorder="1" applyAlignment="1">
      <alignment horizontal="center" vertical="center" wrapText="1"/>
    </xf>
    <xf numFmtId="4" fontId="46" fillId="0" borderId="13" xfId="0" applyNumberFormat="1" applyFont="1" applyBorder="1" applyAlignment="1">
      <alignment horizontal="right" vertical="center" wrapText="1"/>
    </xf>
    <xf numFmtId="14" fontId="46" fillId="0" borderId="13" xfId="0" applyNumberFormat="1" applyFont="1" applyBorder="1" applyAlignment="1">
      <alignment horizontal="right" vertical="center" wrapText="1"/>
    </xf>
    <xf numFmtId="0" fontId="46" fillId="36" borderId="0" xfId="0" applyFont="1" applyFill="1" applyAlignment="1">
      <alignment vertical="center" wrapText="1"/>
    </xf>
    <xf numFmtId="0" fontId="46" fillId="36" borderId="0" xfId="0" applyFont="1" applyFill="1" applyAlignment="1">
      <alignment horizontal="center" vertical="center" wrapText="1"/>
    </xf>
    <xf numFmtId="0" fontId="46" fillId="36" borderId="0" xfId="0" applyFont="1" applyFill="1" applyAlignment="1">
      <alignment horizontal="right" vertical="center" wrapText="1"/>
    </xf>
    <xf numFmtId="4" fontId="46" fillId="36" borderId="0" xfId="0" applyNumberFormat="1" applyFont="1" applyFill="1" applyAlignment="1">
      <alignment vertical="center" wrapText="1"/>
    </xf>
    <xf numFmtId="0" fontId="46" fillId="36" borderId="0" xfId="0" applyFont="1" applyFill="1" applyAlignment="1">
      <alignment horizontal="left" vertical="center" wrapText="1"/>
    </xf>
    <xf numFmtId="0" fontId="46" fillId="0" borderId="13" xfId="0" applyFont="1" applyBorder="1" applyAlignment="1">
      <alignment horizontal="right" vertical="center" wrapText="1"/>
    </xf>
    <xf numFmtId="0" fontId="46" fillId="0" borderId="13" xfId="0" applyFont="1" applyBorder="1" applyAlignment="1">
      <alignment horizontal="right"/>
    </xf>
    <xf numFmtId="0" fontId="50" fillId="0" borderId="0" xfId="0" applyFont="1" applyFill="1" applyBorder="1" applyAlignment="1">
      <alignment vertical="center" wrapText="1"/>
    </xf>
    <xf numFmtId="0" fontId="46" fillId="0" borderId="33" xfId="0" applyFont="1" applyBorder="1"/>
    <xf numFmtId="0" fontId="46" fillId="0" borderId="33" xfId="0" applyFont="1" applyBorder="1" applyAlignment="1">
      <alignment wrapText="1"/>
    </xf>
    <xf numFmtId="0" fontId="46" fillId="0" borderId="35" xfId="0" applyFont="1" applyBorder="1"/>
    <xf numFmtId="0" fontId="47" fillId="0" borderId="13" xfId="0" applyFont="1" applyBorder="1" applyAlignment="1">
      <alignment horizontal="center" vertical="center" wrapText="1"/>
    </xf>
    <xf numFmtId="0" fontId="46" fillId="0" borderId="33" xfId="0" applyFont="1" applyBorder="1" applyAlignment="1">
      <alignment horizontal="center" vertical="center" wrapText="1"/>
    </xf>
    <xf numFmtId="203" fontId="4" fillId="0" borderId="13" xfId="0" applyNumberFormat="1" applyFont="1" applyFill="1" applyBorder="1" applyAlignment="1">
      <alignment horizontal="right" vertical="center"/>
    </xf>
    <xf numFmtId="0" fontId="46" fillId="0" borderId="0" xfId="0" applyFont="1" applyFill="1" applyBorder="1" applyAlignment="1">
      <alignment vertical="center"/>
    </xf>
    <xf numFmtId="0" fontId="50" fillId="0" borderId="0" xfId="0" applyFont="1" applyFill="1" applyAlignment="1">
      <alignment vertical="center" wrapText="1"/>
    </xf>
    <xf numFmtId="2" fontId="4" fillId="0" borderId="0" xfId="0" applyNumberFormat="1" applyFont="1" applyFill="1" applyBorder="1" applyAlignment="1">
      <alignment horizontal="right" vertical="center"/>
    </xf>
    <xf numFmtId="0" fontId="19" fillId="0" borderId="13" xfId="6" applyFont="1" applyFill="1" applyBorder="1" applyAlignment="1" applyProtection="1">
      <alignment horizontal="left" vertical="center"/>
      <protection locked="0"/>
    </xf>
    <xf numFmtId="0" fontId="46" fillId="0" borderId="13" xfId="0" applyFont="1" applyFill="1" applyBorder="1" applyAlignment="1">
      <alignment horizontal="left" vertical="center" wrapText="1"/>
    </xf>
    <xf numFmtId="2" fontId="4" fillId="0" borderId="13" xfId="0" applyNumberFormat="1" applyFont="1" applyFill="1" applyBorder="1" applyAlignment="1">
      <alignment horizontal="right" vertical="center" wrapText="1"/>
    </xf>
    <xf numFmtId="14" fontId="46" fillId="0" borderId="13" xfId="0" applyNumberFormat="1" applyFont="1" applyFill="1" applyBorder="1" applyAlignment="1">
      <alignment horizontal="right" vertical="center" wrapText="1"/>
    </xf>
    <xf numFmtId="14" fontId="4" fillId="0" borderId="13" xfId="0" applyNumberFormat="1" applyFont="1" applyFill="1" applyBorder="1" applyAlignment="1">
      <alignment horizontal="right" vertical="center" wrapText="1"/>
    </xf>
    <xf numFmtId="0" fontId="46" fillId="0" borderId="13" xfId="0" applyFont="1" applyFill="1" applyBorder="1" applyAlignment="1">
      <alignment horizontal="right" vertical="center" wrapText="1"/>
    </xf>
    <xf numFmtId="0" fontId="19" fillId="0" borderId="13" xfId="0" applyFont="1" applyFill="1" applyBorder="1" applyAlignment="1">
      <alignment horizontal="left" vertical="center" wrapText="1"/>
    </xf>
    <xf numFmtId="0" fontId="4" fillId="0" borderId="13" xfId="2370" applyFont="1" applyFill="1" applyBorder="1" applyAlignment="1">
      <alignment vertical="center"/>
    </xf>
    <xf numFmtId="0" fontId="4" fillId="0" borderId="13" xfId="2370" applyFont="1" applyFill="1" applyBorder="1" applyAlignment="1">
      <alignment horizontal="left" vertical="center"/>
    </xf>
    <xf numFmtId="0" fontId="46" fillId="0" borderId="13" xfId="0" applyFont="1" applyFill="1" applyBorder="1" applyAlignment="1">
      <alignment horizontal="left" vertical="center"/>
    </xf>
    <xf numFmtId="43" fontId="4" fillId="0" borderId="13" xfId="43" applyFont="1" applyFill="1" applyBorder="1" applyAlignment="1">
      <alignment horizontal="right" vertical="center" wrapText="1"/>
    </xf>
    <xf numFmtId="0" fontId="4" fillId="0" borderId="13" xfId="0" applyFont="1" applyFill="1" applyBorder="1" applyAlignment="1">
      <alignment horizontal="left" vertical="center" wrapText="1"/>
    </xf>
    <xf numFmtId="0" fontId="49" fillId="0" borderId="13" xfId="0" applyFont="1" applyFill="1" applyBorder="1" applyAlignment="1">
      <alignment horizontal="right" vertical="center" wrapText="1"/>
    </xf>
    <xf numFmtId="14" fontId="49" fillId="0" borderId="13" xfId="0" applyNumberFormat="1" applyFont="1" applyFill="1" applyBorder="1" applyAlignment="1">
      <alignment horizontal="right" vertical="center" wrapText="1"/>
    </xf>
    <xf numFmtId="1" fontId="4" fillId="0" borderId="13" xfId="2370" applyNumberFormat="1" applyFont="1" applyFill="1" applyBorder="1" applyAlignment="1">
      <alignment vertical="center"/>
    </xf>
    <xf numFmtId="0" fontId="50" fillId="0" borderId="13" xfId="0" applyFont="1" applyFill="1" applyBorder="1" applyAlignment="1">
      <alignment horizontal="left" vertical="center"/>
    </xf>
    <xf numFmtId="0" fontId="49" fillId="0" borderId="13" xfId="0" applyFont="1" applyFill="1" applyBorder="1" applyAlignment="1">
      <alignment horizontal="left" vertical="center" wrapText="1"/>
    </xf>
    <xf numFmtId="14" fontId="19" fillId="0" borderId="13" xfId="6" applyNumberFormat="1" applyFont="1" applyFill="1" applyBorder="1" applyAlignment="1" applyProtection="1">
      <alignment horizontal="right" vertical="center"/>
      <protection locked="0"/>
    </xf>
    <xf numFmtId="0" fontId="50" fillId="0" borderId="0" xfId="0" applyFont="1" applyFill="1" applyAlignment="1">
      <alignment vertical="center" wrapText="1"/>
    </xf>
    <xf numFmtId="4" fontId="46" fillId="0" borderId="13" xfId="0" applyNumberFormat="1" applyFont="1" applyFill="1" applyBorder="1" applyAlignment="1">
      <alignment vertical="center" wrapText="1"/>
    </xf>
    <xf numFmtId="0" fontId="19" fillId="0" borderId="13" xfId="6" applyFont="1" applyFill="1" applyBorder="1" applyAlignment="1" applyProtection="1">
      <alignment horizontal="left" vertical="center" wrapText="1"/>
      <protection locked="0"/>
    </xf>
    <xf numFmtId="0" fontId="50" fillId="0" borderId="13" xfId="0" applyFont="1" applyFill="1" applyBorder="1" applyAlignment="1">
      <alignment vertical="center" wrapText="1"/>
    </xf>
    <xf numFmtId="14" fontId="4" fillId="0" borderId="13" xfId="2370" applyNumberFormat="1" applyFont="1" applyFill="1" applyBorder="1" applyAlignment="1">
      <alignment horizontal="right" vertical="center"/>
    </xf>
    <xf numFmtId="0" fontId="50" fillId="0" borderId="0" xfId="0" applyFont="1" applyFill="1" applyAlignment="1">
      <alignment vertical="center"/>
    </xf>
    <xf numFmtId="0" fontId="50" fillId="0" borderId="0" xfId="0" applyFont="1" applyFill="1" applyAlignment="1">
      <alignment vertical="center" wrapText="1"/>
    </xf>
    <xf numFmtId="0" fontId="4" fillId="0" borderId="13" xfId="2371" applyFont="1" applyFill="1" applyBorder="1" applyAlignment="1">
      <alignment vertical="center" wrapText="1"/>
    </xf>
    <xf numFmtId="14" fontId="46" fillId="0" borderId="13" xfId="0" applyNumberFormat="1" applyFont="1" applyFill="1" applyBorder="1" applyAlignment="1">
      <alignment vertical="center" wrapText="1"/>
    </xf>
    <xf numFmtId="0" fontId="50" fillId="0" borderId="13" xfId="0" applyFont="1" applyFill="1" applyBorder="1" applyAlignment="1">
      <alignment vertical="center"/>
    </xf>
    <xf numFmtId="0" fontId="47" fillId="0" borderId="13" xfId="0" applyFont="1" applyFill="1" applyBorder="1" applyAlignment="1">
      <alignment horizontal="right" vertical="center" wrapText="1"/>
    </xf>
    <xf numFmtId="0" fontId="46" fillId="0" borderId="13" xfId="0" applyNumberFormat="1" applyFont="1" applyFill="1" applyBorder="1" applyAlignment="1">
      <alignment horizontal="right" vertical="center"/>
    </xf>
    <xf numFmtId="0" fontId="4" fillId="36" borderId="13" xfId="2370" applyFont="1" applyFill="1" applyBorder="1" applyAlignment="1">
      <alignment horizontal="left" vertical="center"/>
    </xf>
    <xf numFmtId="0" fontId="4" fillId="36" borderId="13" xfId="1698" applyFont="1" applyFill="1" applyBorder="1" applyAlignment="1">
      <alignment vertical="center"/>
    </xf>
    <xf numFmtId="0" fontId="46" fillId="36" borderId="13" xfId="0" applyFont="1" applyFill="1" applyBorder="1" applyAlignment="1">
      <alignment vertical="center" wrapText="1"/>
    </xf>
    <xf numFmtId="14" fontId="46" fillId="36" borderId="13" xfId="0" applyNumberFormat="1" applyFont="1" applyFill="1" applyBorder="1" applyAlignment="1">
      <alignment horizontal="right" vertical="center"/>
    </xf>
    <xf numFmtId="43" fontId="4" fillId="36" borderId="13" xfId="43" applyFont="1" applyFill="1" applyBorder="1" applyAlignment="1">
      <alignment horizontal="right" vertical="center" wrapText="1"/>
    </xf>
    <xf numFmtId="4" fontId="46" fillId="36" borderId="13" xfId="0" applyNumberFormat="1" applyFont="1" applyFill="1" applyBorder="1" applyAlignment="1">
      <alignment vertical="center"/>
    </xf>
    <xf numFmtId="0" fontId="46" fillId="36" borderId="0" xfId="0" applyFont="1" applyFill="1" applyAlignment="1">
      <alignment vertical="center"/>
    </xf>
    <xf numFmtId="0" fontId="50" fillId="36" borderId="0" xfId="0" applyFont="1" applyFill="1" applyAlignment="1">
      <alignment vertical="center" wrapText="1"/>
    </xf>
    <xf numFmtId="14" fontId="46" fillId="0" borderId="13" xfId="0" applyNumberFormat="1" applyFont="1" applyFill="1" applyBorder="1" applyAlignment="1">
      <alignment vertical="center"/>
    </xf>
    <xf numFmtId="14" fontId="4" fillId="0" borderId="13" xfId="1698" applyNumberFormat="1" applyFont="1" applyFill="1" applyBorder="1" applyAlignment="1">
      <alignment vertical="center" wrapText="1"/>
    </xf>
    <xf numFmtId="0" fontId="19" fillId="0" borderId="13" xfId="0" applyNumberFormat="1" applyFont="1" applyFill="1" applyBorder="1" applyAlignment="1">
      <alignment horizontal="right" vertical="center"/>
    </xf>
    <xf numFmtId="0" fontId="46" fillId="0" borderId="34" xfId="0" applyFont="1" applyBorder="1"/>
    <xf numFmtId="0" fontId="46" fillId="0" borderId="13" xfId="0" applyFont="1" applyBorder="1"/>
    <xf numFmtId="14" fontId="46" fillId="0" borderId="13" xfId="0" applyNumberFormat="1" applyFont="1" applyBorder="1"/>
    <xf numFmtId="0" fontId="46" fillId="0" borderId="34" xfId="0" applyFont="1" applyBorder="1" applyAlignment="1">
      <alignment horizontal="center" vertical="center" wrapText="1"/>
    </xf>
    <xf numFmtId="14" fontId="4" fillId="0" borderId="13" xfId="2370" applyNumberFormat="1" applyFont="1" applyFill="1" applyBorder="1" applyAlignment="1">
      <alignment vertical="center"/>
    </xf>
    <xf numFmtId="0" fontId="46" fillId="36" borderId="13" xfId="0" applyFont="1" applyFill="1" applyBorder="1" applyAlignment="1">
      <alignment horizontal="right" vertical="center"/>
    </xf>
    <xf numFmtId="0" fontId="4" fillId="0" borderId="13" xfId="2371" applyFont="1" applyFill="1" applyBorder="1" applyAlignment="1">
      <alignment horizontal="right" vertical="center" wrapText="1"/>
    </xf>
    <xf numFmtId="14" fontId="46" fillId="0" borderId="13" xfId="0" applyNumberFormat="1" applyFont="1" applyFill="1" applyBorder="1" applyAlignment="1">
      <alignment horizontal="left" vertical="center" wrapText="1"/>
    </xf>
    <xf numFmtId="0" fontId="4" fillId="36" borderId="13" xfId="2371" applyFont="1" applyFill="1" applyBorder="1" applyAlignment="1">
      <alignment vertical="center"/>
    </xf>
    <xf numFmtId="0" fontId="4" fillId="36" borderId="13" xfId="2371" applyFont="1" applyFill="1" applyBorder="1" applyAlignment="1">
      <alignment horizontal="right" vertical="center"/>
    </xf>
    <xf numFmtId="198" fontId="4" fillId="36" borderId="13" xfId="2371" applyNumberFormat="1" applyFont="1" applyFill="1" applyBorder="1" applyAlignment="1">
      <alignment horizontal="right" vertical="center"/>
    </xf>
    <xf numFmtId="0" fontId="46" fillId="36" borderId="13" xfId="0" applyFont="1" applyFill="1" applyBorder="1" applyAlignment="1">
      <alignment vertical="center"/>
    </xf>
    <xf numFmtId="2" fontId="4" fillId="36" borderId="13" xfId="0" applyNumberFormat="1" applyFont="1" applyFill="1" applyBorder="1" applyAlignment="1">
      <alignment horizontal="right" vertical="center"/>
    </xf>
    <xf numFmtId="0" fontId="46" fillId="0" borderId="13" xfId="0" applyNumberFormat="1" applyFont="1" applyFill="1" applyBorder="1" applyAlignment="1">
      <alignment vertical="center"/>
    </xf>
    <xf numFmtId="0" fontId="46" fillId="103" borderId="13" xfId="0" applyFont="1" applyFill="1" applyBorder="1" applyAlignment="1">
      <alignment vertical="center" wrapText="1"/>
    </xf>
    <xf numFmtId="167" fontId="46" fillId="0" borderId="0" xfId="0" applyNumberFormat="1" applyFont="1" applyFill="1" applyAlignment="1">
      <alignment vertical="center"/>
    </xf>
    <xf numFmtId="167" fontId="43" fillId="0" borderId="13" xfId="0" applyNumberFormat="1" applyFont="1" applyFill="1" applyBorder="1" applyAlignment="1">
      <alignment horizontal="center" vertical="center" wrapText="1"/>
    </xf>
    <xf numFmtId="167" fontId="4" fillId="0" borderId="13" xfId="0" applyNumberFormat="1" applyFont="1" applyFill="1" applyBorder="1" applyAlignment="1">
      <alignment horizontal="right" vertical="center"/>
    </xf>
    <xf numFmtId="167" fontId="4" fillId="0" borderId="13" xfId="2371" applyNumberFormat="1" applyFont="1" applyFill="1" applyBorder="1" applyAlignment="1">
      <alignment horizontal="right" vertical="center"/>
    </xf>
    <xf numFmtId="167" fontId="46" fillId="0" borderId="13" xfId="0" applyNumberFormat="1" applyFont="1" applyFill="1" applyBorder="1" applyAlignment="1">
      <alignment vertical="center"/>
    </xf>
    <xf numFmtId="167" fontId="4" fillId="0" borderId="13" xfId="2371" applyNumberFormat="1" applyFont="1" applyFill="1" applyBorder="1" applyAlignment="1">
      <alignment vertical="center"/>
    </xf>
    <xf numFmtId="0" fontId="111" fillId="0" borderId="13" xfId="0" applyNumberFormat="1" applyFont="1" applyFill="1" applyBorder="1" applyAlignment="1">
      <alignment horizontal="center" vertical="center" wrapText="1"/>
    </xf>
    <xf numFmtId="0" fontId="4" fillId="0" borderId="13" xfId="2370" applyNumberFormat="1" applyFont="1" applyFill="1" applyBorder="1" applyAlignment="1">
      <alignment vertical="center"/>
    </xf>
    <xf numFmtId="0" fontId="46" fillId="36" borderId="13" xfId="0" applyNumberFormat="1" applyFont="1" applyFill="1" applyBorder="1" applyAlignment="1">
      <alignment vertical="center"/>
    </xf>
    <xf numFmtId="0" fontId="4" fillId="0" borderId="13" xfId="0" applyNumberFormat="1" applyFont="1" applyFill="1" applyBorder="1" applyAlignment="1">
      <alignment horizontal="right" vertical="center" wrapText="1"/>
    </xf>
    <xf numFmtId="0" fontId="46" fillId="0" borderId="13" xfId="0" applyNumberFormat="1" applyFont="1" applyFill="1" applyBorder="1" applyAlignment="1">
      <alignment vertical="center" wrapText="1"/>
    </xf>
    <xf numFmtId="0" fontId="50" fillId="0" borderId="0" xfId="0" applyNumberFormat="1" applyFont="1" applyFill="1" applyAlignment="1">
      <alignment vertical="center"/>
    </xf>
    <xf numFmtId="0" fontId="50" fillId="0" borderId="0" xfId="0" applyNumberFormat="1" applyFont="1" applyFill="1" applyAlignment="1">
      <alignment vertical="center" wrapText="1"/>
    </xf>
    <xf numFmtId="0" fontId="50" fillId="0" borderId="0" xfId="0" applyNumberFormat="1" applyFont="1" applyFill="1" applyAlignment="1">
      <alignment horizontal="right" vertical="center" wrapText="1"/>
    </xf>
    <xf numFmtId="14" fontId="46" fillId="36" borderId="13" xfId="0" applyNumberFormat="1" applyFont="1" applyFill="1" applyBorder="1" applyAlignment="1">
      <alignment horizontal="right" vertical="center" wrapText="1"/>
    </xf>
    <xf numFmtId="4" fontId="46" fillId="36" borderId="13" xfId="0" applyNumberFormat="1" applyFont="1" applyFill="1" applyBorder="1" applyAlignment="1">
      <alignment vertical="center" wrapText="1"/>
    </xf>
    <xf numFmtId="0" fontId="43" fillId="0" borderId="13" xfId="0" applyFont="1" applyFill="1" applyBorder="1" applyAlignment="1">
      <alignment horizontal="left" vertical="center" wrapText="1"/>
    </xf>
    <xf numFmtId="14" fontId="43" fillId="0" borderId="13" xfId="0" applyNumberFormat="1" applyFont="1" applyFill="1" applyBorder="1" applyAlignment="1">
      <alignment horizontal="right" vertical="center" wrapText="1"/>
    </xf>
    <xf numFmtId="164" fontId="43" fillId="0" borderId="13" xfId="43" applyNumberFormat="1" applyFont="1" applyFill="1" applyBorder="1" applyAlignment="1">
      <alignment horizontal="right" vertical="center" wrapText="1"/>
    </xf>
    <xf numFmtId="0" fontId="4" fillId="0" borderId="13" xfId="2370" applyNumberFormat="1" applyFont="1" applyFill="1" applyBorder="1" applyAlignment="1">
      <alignment horizontal="right" vertical="center"/>
    </xf>
    <xf numFmtId="203" fontId="46" fillId="0" borderId="0" xfId="0" applyNumberFormat="1" applyFont="1" applyFill="1" applyBorder="1" applyAlignment="1">
      <alignment vertical="center" wrapText="1"/>
    </xf>
    <xf numFmtId="164" fontId="4" fillId="0" borderId="13" xfId="43" applyNumberFormat="1" applyFont="1" applyFill="1" applyBorder="1" applyAlignment="1">
      <alignment vertical="center" wrapText="1"/>
    </xf>
    <xf numFmtId="209" fontId="4" fillId="0" borderId="13" xfId="43" applyNumberFormat="1" applyFont="1" applyFill="1" applyBorder="1" applyAlignment="1">
      <alignment horizontal="right" vertical="center" wrapText="1"/>
    </xf>
    <xf numFmtId="203" fontId="4" fillId="0" borderId="13" xfId="43" applyNumberFormat="1" applyFont="1" applyFill="1" applyBorder="1" applyAlignment="1">
      <alignment horizontal="right" vertical="center" wrapText="1"/>
    </xf>
    <xf numFmtId="0" fontId="43" fillId="0" borderId="13" xfId="1698" applyNumberFormat="1" applyFont="1" applyFill="1" applyBorder="1" applyAlignment="1">
      <alignment horizontal="center" vertical="center" wrapText="1"/>
    </xf>
    <xf numFmtId="210" fontId="4" fillId="0" borderId="13" xfId="2370" applyNumberFormat="1" applyFont="1" applyFill="1" applyBorder="1" applyAlignment="1">
      <alignment vertical="center"/>
    </xf>
    <xf numFmtId="0" fontId="4" fillId="0" borderId="23" xfId="2370" applyFont="1" applyFill="1" applyBorder="1" applyAlignment="1">
      <alignment horizontal="left" vertical="center"/>
    </xf>
    <xf numFmtId="14" fontId="4" fillId="0" borderId="13" xfId="2370" applyNumberFormat="1" applyFont="1" applyFill="1" applyBorder="1" applyAlignment="1">
      <alignment horizontal="left" vertical="center"/>
    </xf>
    <xf numFmtId="14" fontId="19" fillId="0" borderId="13" xfId="6" applyNumberFormat="1" applyFont="1" applyFill="1" applyBorder="1" applyAlignment="1" applyProtection="1">
      <alignment horizontal="right" vertical="center" wrapText="1"/>
      <protection locked="0"/>
    </xf>
    <xf numFmtId="0" fontId="46" fillId="0" borderId="0" xfId="0" applyFont="1" applyFill="1" applyBorder="1" applyAlignment="1">
      <alignment horizontal="center" vertical="center"/>
    </xf>
    <xf numFmtId="0" fontId="46" fillId="36" borderId="13" xfId="0" applyNumberFormat="1" applyFont="1" applyFill="1" applyBorder="1" applyAlignment="1">
      <alignment horizontal="right" vertical="center"/>
    </xf>
    <xf numFmtId="0" fontId="50" fillId="0" borderId="13" xfId="0" applyFont="1" applyFill="1" applyBorder="1" applyAlignment="1">
      <alignment horizontal="left" vertical="center" wrapText="1"/>
    </xf>
    <xf numFmtId="0" fontId="4" fillId="0" borderId="23" xfId="2370" applyFont="1" applyFill="1" applyBorder="1" applyAlignment="1">
      <alignment vertical="center"/>
    </xf>
    <xf numFmtId="14" fontId="46" fillId="0" borderId="13" xfId="0" applyNumberFormat="1" applyFont="1" applyBorder="1" applyAlignment="1">
      <alignment vertical="center" wrapText="1"/>
    </xf>
    <xf numFmtId="14" fontId="46" fillId="0" borderId="13" xfId="43" applyNumberFormat="1" applyFont="1" applyBorder="1" applyAlignment="1">
      <alignment horizontal="right" vertical="center" wrapText="1"/>
    </xf>
    <xf numFmtId="0" fontId="46" fillId="0" borderId="13" xfId="0" applyFont="1" applyBorder="1" applyAlignment="1">
      <alignment wrapText="1"/>
    </xf>
    <xf numFmtId="4" fontId="46" fillId="0" borderId="0" xfId="0" applyNumberFormat="1" applyFont="1" applyFill="1" applyBorder="1" applyAlignment="1">
      <alignment vertical="center" wrapText="1"/>
    </xf>
    <xf numFmtId="43" fontId="46" fillId="0" borderId="0" xfId="43" applyFont="1" applyFill="1" applyBorder="1" applyAlignment="1">
      <alignment vertical="center" wrapText="1"/>
    </xf>
    <xf numFmtId="14" fontId="46" fillId="0" borderId="13" xfId="0" applyNumberFormat="1" applyFont="1" applyBorder="1" applyAlignment="1">
      <alignment horizontal="center" vertical="center" wrapText="1"/>
    </xf>
    <xf numFmtId="0" fontId="46" fillId="0" borderId="34" xfId="0" applyFont="1" applyBorder="1" applyAlignment="1">
      <alignment wrapText="1"/>
    </xf>
    <xf numFmtId="0" fontId="46" fillId="36" borderId="13" xfId="1528" applyNumberFormat="1" applyFont="1" applyFill="1" applyBorder="1" applyAlignment="1">
      <alignment horizontal="left" vertical="center" wrapText="1"/>
    </xf>
    <xf numFmtId="14" fontId="46" fillId="36" borderId="13" xfId="1528" applyNumberFormat="1" applyFont="1" applyFill="1" applyBorder="1" applyAlignment="1">
      <alignment horizontal="left" vertical="center" wrapText="1"/>
    </xf>
    <xf numFmtId="165" fontId="46" fillId="0" borderId="13" xfId="0" applyNumberFormat="1" applyFont="1" applyBorder="1" applyAlignment="1">
      <alignment wrapText="1"/>
    </xf>
    <xf numFmtId="165" fontId="46" fillId="0" borderId="13" xfId="0" applyNumberFormat="1" applyFont="1" applyBorder="1"/>
    <xf numFmtId="0" fontId="46" fillId="0" borderId="13" xfId="0" applyNumberFormat="1" applyFont="1" applyBorder="1" applyAlignment="1">
      <alignment wrapText="1"/>
    </xf>
    <xf numFmtId="0" fontId="47" fillId="0" borderId="22" xfId="0" applyFont="1" applyBorder="1" applyAlignment="1">
      <alignment horizontal="center" vertical="center" wrapText="1"/>
    </xf>
    <xf numFmtId="165" fontId="46" fillId="0" borderId="22" xfId="0" applyNumberFormat="1" applyFont="1" applyBorder="1" applyAlignment="1">
      <alignment horizontal="right" wrapText="1"/>
    </xf>
    <xf numFmtId="165" fontId="46" fillId="0" borderId="22" xfId="0" applyNumberFormat="1" applyFont="1" applyBorder="1" applyAlignment="1">
      <alignment horizontal="right"/>
    </xf>
    <xf numFmtId="165" fontId="46" fillId="0" borderId="22" xfId="0" applyNumberFormat="1" applyFont="1" applyBorder="1" applyAlignment="1">
      <alignment horizontal="right" vertical="center" wrapText="1"/>
    </xf>
    <xf numFmtId="0" fontId="46" fillId="0" borderId="48" xfId="0" applyFont="1" applyBorder="1"/>
    <xf numFmtId="0" fontId="19" fillId="0" borderId="0" xfId="0" applyFont="1" applyFill="1" applyBorder="1" applyAlignment="1">
      <alignment vertical="center"/>
    </xf>
    <xf numFmtId="0" fontId="4" fillId="0" borderId="13" xfId="43" applyNumberFormat="1" applyFont="1" applyFill="1" applyBorder="1" applyAlignment="1">
      <alignment horizontal="right" vertical="center" wrapText="1"/>
    </xf>
    <xf numFmtId="0" fontId="43" fillId="0" borderId="13" xfId="0" applyNumberFormat="1" applyFont="1" applyFill="1" applyBorder="1" applyAlignment="1">
      <alignment horizontal="center" vertical="center" wrapText="1"/>
    </xf>
    <xf numFmtId="0" fontId="4" fillId="0" borderId="13" xfId="2371" applyNumberFormat="1" applyFont="1" applyFill="1" applyBorder="1" applyAlignment="1">
      <alignment vertical="center"/>
    </xf>
    <xf numFmtId="0" fontId="4" fillId="0" borderId="13" xfId="2371" applyNumberFormat="1" applyFont="1" applyFill="1" applyBorder="1" applyAlignment="1">
      <alignment horizontal="right" vertical="center"/>
    </xf>
    <xf numFmtId="0" fontId="46" fillId="0" borderId="0" xfId="0" applyNumberFormat="1" applyFont="1" applyFill="1" applyAlignment="1">
      <alignment vertical="center"/>
    </xf>
    <xf numFmtId="0" fontId="4" fillId="0" borderId="13" xfId="43" applyNumberFormat="1" applyFont="1" applyFill="1" applyBorder="1" applyAlignment="1">
      <alignment horizontal="right" vertical="center"/>
    </xf>
    <xf numFmtId="0" fontId="4" fillId="0" borderId="13" xfId="0" applyNumberFormat="1" applyFont="1" applyFill="1" applyBorder="1" applyAlignment="1">
      <alignment vertical="center"/>
    </xf>
    <xf numFmtId="0" fontId="4" fillId="0" borderId="13" xfId="0" applyFont="1" applyFill="1" applyBorder="1" applyAlignment="1">
      <alignment vertical="center"/>
    </xf>
    <xf numFmtId="2" fontId="46" fillId="36" borderId="13" xfId="0" applyNumberFormat="1" applyFont="1" applyFill="1" applyBorder="1" applyAlignment="1">
      <alignment horizontal="right" vertical="center"/>
    </xf>
    <xf numFmtId="0" fontId="46" fillId="0" borderId="13" xfId="0" applyFont="1" applyFill="1" applyBorder="1" applyAlignment="1">
      <alignment horizontal="right" vertical="center"/>
    </xf>
    <xf numFmtId="14" fontId="46" fillId="0" borderId="13" xfId="0" applyNumberFormat="1" applyFont="1" applyFill="1" applyBorder="1" applyAlignment="1">
      <alignment horizontal="right" vertical="center"/>
    </xf>
    <xf numFmtId="0" fontId="46" fillId="0" borderId="13" xfId="0" applyFont="1" applyFill="1" applyBorder="1" applyAlignment="1">
      <alignment vertical="center" wrapText="1"/>
    </xf>
    <xf numFmtId="4" fontId="46" fillId="0" borderId="13" xfId="0" applyNumberFormat="1" applyFont="1" applyFill="1" applyBorder="1" applyAlignment="1">
      <alignment vertical="center"/>
    </xf>
    <xf numFmtId="0" fontId="46" fillId="0" borderId="13" xfId="0" applyFont="1" applyFill="1" applyBorder="1" applyAlignment="1">
      <alignment horizontal="left" vertical="center" wrapText="1"/>
    </xf>
    <xf numFmtId="0" fontId="46" fillId="0" borderId="0" xfId="0" applyFont="1" applyFill="1" applyAlignment="1">
      <alignment vertical="center"/>
    </xf>
    <xf numFmtId="0" fontId="4" fillId="0" borderId="13" xfId="1698" applyFont="1" applyFill="1" applyBorder="1" applyAlignment="1">
      <alignment vertical="center"/>
    </xf>
    <xf numFmtId="0" fontId="46" fillId="0" borderId="13" xfId="0" applyFont="1" applyFill="1" applyBorder="1" applyAlignment="1">
      <alignment vertical="center"/>
    </xf>
    <xf numFmtId="165" fontId="46" fillId="0" borderId="13" xfId="0" applyNumberFormat="1" applyFont="1" applyFill="1" applyBorder="1" applyAlignment="1">
      <alignment vertical="center"/>
    </xf>
    <xf numFmtId="0" fontId="50" fillId="0" borderId="0" xfId="0" applyFont="1" applyFill="1" applyAlignment="1">
      <alignment vertical="center" wrapText="1"/>
    </xf>
    <xf numFmtId="0" fontId="4" fillId="0" borderId="13" xfId="2370" applyFont="1" applyFill="1" applyBorder="1" applyAlignment="1">
      <alignment vertical="center"/>
    </xf>
    <xf numFmtId="0" fontId="4" fillId="0" borderId="13" xfId="2370" applyFont="1" applyFill="1" applyBorder="1" applyAlignment="1">
      <alignment horizontal="right" vertical="center"/>
    </xf>
    <xf numFmtId="0" fontId="4" fillId="0" borderId="13" xfId="2370" applyFont="1" applyFill="1" applyBorder="1" applyAlignment="1">
      <alignment horizontal="left" vertical="center"/>
    </xf>
    <xf numFmtId="0" fontId="50" fillId="0" borderId="13" xfId="0" applyFont="1" applyFill="1" applyBorder="1" applyAlignment="1">
      <alignment vertical="center" wrapText="1"/>
    </xf>
    <xf numFmtId="0" fontId="4" fillId="0" borderId="13" xfId="2370" applyNumberFormat="1" applyFont="1" applyFill="1" applyBorder="1" applyAlignment="1">
      <alignment vertical="center"/>
    </xf>
    <xf numFmtId="198" fontId="4" fillId="0" borderId="13" xfId="2371" applyNumberFormat="1" applyFont="1" applyFill="1" applyBorder="1" applyAlignment="1">
      <alignment horizontal="right" vertical="center" wrapText="1"/>
    </xf>
    <xf numFmtId="165" fontId="4" fillId="0" borderId="13" xfId="2371" applyNumberFormat="1" applyFont="1" applyFill="1" applyBorder="1" applyAlignment="1">
      <alignment horizontal="right" vertical="center"/>
    </xf>
    <xf numFmtId="165" fontId="4" fillId="36" borderId="13" xfId="2371" applyNumberFormat="1" applyFont="1" applyFill="1" applyBorder="1" applyAlignment="1">
      <alignment horizontal="right" vertical="center"/>
    </xf>
    <xf numFmtId="165" fontId="46" fillId="0" borderId="13" xfId="0" applyNumberFormat="1" applyFont="1" applyFill="1" applyBorder="1" applyAlignment="1">
      <alignment horizontal="right" vertical="center"/>
    </xf>
    <xf numFmtId="165" fontId="4" fillId="0" borderId="13" xfId="2370" applyNumberFormat="1" applyFont="1" applyFill="1" applyBorder="1" applyAlignment="1">
      <alignment horizontal="right" vertical="center"/>
    </xf>
    <xf numFmtId="165" fontId="4" fillId="0" borderId="13" xfId="2371" applyNumberFormat="1" applyFont="1" applyFill="1" applyBorder="1" applyAlignment="1">
      <alignment vertical="center"/>
    </xf>
    <xf numFmtId="165" fontId="46" fillId="0" borderId="13" xfId="0" applyNumberFormat="1" applyFont="1" applyFill="1" applyBorder="1" applyAlignment="1">
      <alignment horizontal="right" vertical="center" wrapText="1"/>
    </xf>
    <xf numFmtId="165" fontId="4" fillId="0" borderId="13" xfId="0" applyNumberFormat="1" applyFont="1" applyFill="1" applyBorder="1" applyAlignment="1">
      <alignment horizontal="right" vertical="center" wrapText="1"/>
    </xf>
    <xf numFmtId="165" fontId="4" fillId="0" borderId="13" xfId="43" applyNumberFormat="1" applyFont="1" applyFill="1" applyBorder="1" applyAlignment="1">
      <alignment horizontal="right" vertical="center" wrapText="1"/>
    </xf>
    <xf numFmtId="165" fontId="4" fillId="0" borderId="13" xfId="2370" applyNumberFormat="1" applyFont="1" applyFill="1" applyBorder="1" applyAlignment="1">
      <alignment vertical="center"/>
    </xf>
    <xf numFmtId="0" fontId="19" fillId="0" borderId="13" xfId="1518" applyNumberFormat="1" applyFont="1" applyFill="1" applyBorder="1" applyAlignment="1">
      <alignment horizontal="left" vertical="center" wrapText="1"/>
    </xf>
    <xf numFmtId="0" fontId="19" fillId="0" borderId="13" xfId="0" applyNumberFormat="1" applyFont="1" applyFill="1" applyBorder="1" applyAlignment="1">
      <alignment vertical="center"/>
    </xf>
    <xf numFmtId="0" fontId="46" fillId="0" borderId="13" xfId="0" applyNumberFormat="1" applyFont="1" applyFill="1" applyBorder="1" applyAlignment="1">
      <alignment horizontal="left" vertical="center" wrapText="1"/>
    </xf>
    <xf numFmtId="0" fontId="4" fillId="0" borderId="13" xfId="2371" applyNumberFormat="1" applyFont="1" applyFill="1" applyBorder="1" applyAlignment="1">
      <alignment vertical="center" wrapText="1"/>
    </xf>
    <xf numFmtId="0" fontId="49" fillId="0" borderId="13" xfId="0" applyNumberFormat="1" applyFont="1" applyFill="1" applyBorder="1" applyAlignment="1">
      <alignment vertical="center" wrapText="1"/>
    </xf>
    <xf numFmtId="0" fontId="4" fillId="0" borderId="13" xfId="1698"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3" xfId="1698" applyNumberFormat="1" applyFont="1" applyFill="1" applyBorder="1" applyAlignment="1">
      <alignment vertical="center"/>
    </xf>
    <xf numFmtId="2" fontId="47" fillId="0" borderId="13" xfId="0" applyNumberFormat="1" applyFont="1" applyBorder="1" applyAlignment="1">
      <alignment horizontal="right" vertical="center"/>
    </xf>
    <xf numFmtId="203" fontId="46" fillId="0" borderId="13" xfId="0" applyNumberFormat="1" applyFont="1" applyFill="1" applyBorder="1" applyAlignment="1">
      <alignment vertical="center"/>
    </xf>
    <xf numFmtId="2" fontId="47" fillId="0" borderId="13" xfId="0" applyNumberFormat="1" applyFont="1" applyFill="1" applyBorder="1" applyAlignment="1">
      <alignment horizontal="center" vertical="center" wrapText="1"/>
    </xf>
    <xf numFmtId="0" fontId="4" fillId="0" borderId="13" xfId="2371" applyFont="1" applyFill="1" applyBorder="1" applyAlignment="1">
      <alignment horizontal="left" vertical="center"/>
    </xf>
    <xf numFmtId="0" fontId="4" fillId="0" borderId="0" xfId="1698" applyFont="1" applyFill="1" applyBorder="1" applyAlignment="1">
      <alignment vertical="center" wrapText="1"/>
    </xf>
    <xf numFmtId="0" fontId="46" fillId="0" borderId="33" xfId="0" applyFont="1" applyBorder="1" applyAlignment="1">
      <alignment vertical="center" wrapText="1"/>
    </xf>
    <xf numFmtId="0" fontId="46" fillId="0" borderId="33" xfId="0" applyFont="1" applyFill="1" applyBorder="1" applyAlignment="1">
      <alignment horizontal="center" vertical="center" wrapText="1"/>
    </xf>
    <xf numFmtId="0" fontId="46" fillId="36" borderId="33" xfId="0" applyFont="1" applyFill="1" applyBorder="1" applyAlignment="1">
      <alignment vertical="center" wrapText="1"/>
    </xf>
    <xf numFmtId="0" fontId="46" fillId="0" borderId="34" xfId="0" applyFont="1" applyFill="1" applyBorder="1" applyAlignment="1">
      <alignment horizontal="center" vertical="center" wrapText="1"/>
    </xf>
    <xf numFmtId="0" fontId="46" fillId="36" borderId="34" xfId="0" applyFont="1" applyFill="1" applyBorder="1" applyAlignment="1">
      <alignment vertical="center" wrapText="1"/>
    </xf>
    <xf numFmtId="0" fontId="46" fillId="0" borderId="34" xfId="0" applyFont="1" applyBorder="1" applyAlignment="1">
      <alignment vertical="center" wrapText="1"/>
    </xf>
    <xf numFmtId="0" fontId="47" fillId="36" borderId="13" xfId="0" applyFont="1" applyFill="1" applyBorder="1" applyAlignment="1">
      <alignment vertical="center" wrapText="1"/>
    </xf>
    <xf numFmtId="1" fontId="47" fillId="36" borderId="13" xfId="0" applyNumberFormat="1" applyFont="1" applyFill="1" applyBorder="1" applyAlignment="1">
      <alignment vertical="center" wrapText="1"/>
    </xf>
    <xf numFmtId="164" fontId="46" fillId="0" borderId="47" xfId="43" applyNumberFormat="1" applyFont="1" applyBorder="1"/>
    <xf numFmtId="164" fontId="80" fillId="40" borderId="0" xfId="43" applyNumberFormat="1" applyFont="1" applyFill="1" applyBorder="1" applyAlignment="1" applyProtection="1"/>
    <xf numFmtId="49" fontId="82" fillId="0" borderId="0" xfId="0" applyNumberFormat="1" applyFont="1" applyFill="1" applyBorder="1" applyAlignment="1" applyProtection="1">
      <alignment horizontal="center" vertical="center"/>
    </xf>
    <xf numFmtId="0" fontId="65" fillId="0" borderId="33" xfId="0" applyNumberFormat="1" applyFont="1" applyFill="1" applyBorder="1" applyAlignment="1" applyProtection="1">
      <alignment horizontal="left"/>
    </xf>
    <xf numFmtId="0" fontId="80" fillId="40" borderId="33" xfId="0" applyNumberFormat="1" applyFont="1" applyFill="1" applyBorder="1" applyAlignment="1" applyProtection="1"/>
    <xf numFmtId="0" fontId="82" fillId="0" borderId="33" xfId="0" applyFont="1" applyBorder="1"/>
    <xf numFmtId="0" fontId="80" fillId="0" borderId="33" xfId="0" applyNumberFormat="1" applyFont="1" applyFill="1" applyBorder="1" applyAlignment="1" applyProtection="1"/>
    <xf numFmtId="0" fontId="80" fillId="36" borderId="33" xfId="0" applyNumberFormat="1" applyFont="1" applyFill="1" applyBorder="1" applyAlignment="1" applyProtection="1"/>
    <xf numFmtId="0" fontId="80" fillId="36" borderId="33" xfId="0" applyFont="1" applyFill="1" applyBorder="1" applyAlignment="1"/>
    <xf numFmtId="0" fontId="80" fillId="0" borderId="33" xfId="0" applyFont="1" applyFill="1" applyBorder="1"/>
    <xf numFmtId="0" fontId="80" fillId="0" borderId="33" xfId="0" applyFont="1" applyBorder="1" applyAlignment="1"/>
    <xf numFmtId="0" fontId="108" fillId="0" borderId="33" xfId="0" applyFont="1" applyBorder="1"/>
    <xf numFmtId="0" fontId="180" fillId="40" borderId="0" xfId="0" applyNumberFormat="1" applyFont="1" applyFill="1" applyBorder="1" applyAlignment="1" applyProtection="1">
      <alignment horizontal="center" vertical="center" wrapText="1"/>
    </xf>
    <xf numFmtId="0" fontId="110" fillId="0" borderId="33" xfId="0" applyNumberFormat="1" applyFont="1" applyFill="1" applyBorder="1" applyAlignment="1" applyProtection="1">
      <alignment horizontal="left" wrapText="1"/>
    </xf>
    <xf numFmtId="0" fontId="109" fillId="0" borderId="33" xfId="0" applyNumberFormat="1" applyFont="1" applyFill="1" applyBorder="1" applyAlignment="1" applyProtection="1">
      <alignment horizontal="left" wrapText="1"/>
    </xf>
    <xf numFmtId="0" fontId="109" fillId="0" borderId="33" xfId="0" applyNumberFormat="1" applyFont="1" applyFill="1" applyBorder="1" applyAlignment="1" applyProtection="1">
      <alignment horizontal="left" vertical="top" wrapText="1"/>
    </xf>
    <xf numFmtId="2" fontId="4" fillId="0" borderId="0" xfId="1698" applyNumberFormat="1" applyFont="1" applyFill="1" applyBorder="1" applyAlignment="1">
      <alignment horizontal="right" vertical="center" wrapText="1"/>
    </xf>
    <xf numFmtId="3" fontId="4" fillId="0" borderId="0" xfId="1698" applyNumberFormat="1" applyFont="1" applyFill="1" applyBorder="1" applyAlignment="1">
      <alignment horizontal="right" vertical="center" wrapText="1"/>
    </xf>
    <xf numFmtId="164" fontId="4" fillId="0" borderId="0" xfId="43" applyNumberFormat="1" applyFont="1" applyFill="1" applyBorder="1" applyAlignment="1">
      <alignment horizontal="right" vertical="center" wrapText="1"/>
    </xf>
    <xf numFmtId="0" fontId="50" fillId="0" borderId="0" xfId="0" applyFont="1" applyFill="1" applyBorder="1" applyAlignment="1">
      <alignment horizontal="left" vertical="center"/>
    </xf>
    <xf numFmtId="0" fontId="4" fillId="0" borderId="0" xfId="2370" applyFont="1" applyFill="1" applyBorder="1" applyAlignment="1">
      <alignment horizontal="right" vertical="center"/>
    </xf>
    <xf numFmtId="0" fontId="46" fillId="0" borderId="0" xfId="0" applyFont="1" applyFill="1" applyBorder="1" applyAlignment="1">
      <alignment horizontal="left" vertical="center"/>
    </xf>
    <xf numFmtId="0" fontId="4" fillId="0" borderId="0" xfId="2370" applyNumberFormat="1" applyFont="1" applyFill="1" applyBorder="1" applyAlignment="1">
      <alignment horizontal="right" vertical="center"/>
    </xf>
    <xf numFmtId="0" fontId="4" fillId="0" borderId="0" xfId="2370" applyFont="1" applyFill="1" applyBorder="1" applyAlignment="1">
      <alignment horizontal="left" vertical="center"/>
    </xf>
    <xf numFmtId="14" fontId="19" fillId="0" borderId="0" xfId="6" applyNumberFormat="1" applyFont="1" applyFill="1" applyBorder="1" applyAlignment="1" applyProtection="1">
      <alignment horizontal="right" vertical="center"/>
      <protection locked="0"/>
    </xf>
    <xf numFmtId="43" fontId="4" fillId="0" borderId="0" xfId="43" applyFont="1" applyFill="1" applyBorder="1" applyAlignment="1">
      <alignment horizontal="right" vertical="center" wrapText="1"/>
    </xf>
    <xf numFmtId="0" fontId="4" fillId="0" borderId="0" xfId="43" applyNumberFormat="1" applyFont="1" applyFill="1" applyBorder="1" applyAlignment="1">
      <alignment horizontal="right" vertical="center" wrapText="1"/>
    </xf>
    <xf numFmtId="0" fontId="19" fillId="0" borderId="0" xfId="6" applyFont="1" applyFill="1" applyBorder="1" applyAlignment="1" applyProtection="1">
      <alignment horizontal="left" vertical="center"/>
      <protection locked="0"/>
    </xf>
    <xf numFmtId="0" fontId="4" fillId="0" borderId="0" xfId="2370" applyNumberFormat="1" applyFont="1" applyFill="1" applyBorder="1" applyAlignment="1">
      <alignment vertical="center"/>
    </xf>
    <xf numFmtId="0" fontId="4" fillId="103" borderId="13" xfId="1698" applyFont="1" applyFill="1" applyBorder="1" applyAlignment="1">
      <alignment vertical="center"/>
    </xf>
    <xf numFmtId="0" fontId="46" fillId="103" borderId="13" xfId="0" applyFont="1" applyFill="1" applyBorder="1" applyAlignment="1">
      <alignment horizontal="left" vertical="center"/>
    </xf>
    <xf numFmtId="0" fontId="46" fillId="103" borderId="13" xfId="0" applyFont="1" applyFill="1" applyBorder="1" applyAlignment="1">
      <alignment horizontal="left" vertical="center" wrapText="1"/>
    </xf>
    <xf numFmtId="0" fontId="46" fillId="109" borderId="13" xfId="0" applyFont="1" applyFill="1" applyBorder="1" applyAlignment="1">
      <alignment horizontal="left" vertical="center"/>
    </xf>
    <xf numFmtId="0" fontId="4" fillId="109" borderId="13" xfId="1698" applyFont="1" applyFill="1" applyBorder="1" applyAlignment="1">
      <alignment vertical="center"/>
    </xf>
    <xf numFmtId="0" fontId="46" fillId="109" borderId="13" xfId="0" applyFont="1" applyFill="1" applyBorder="1" applyAlignment="1">
      <alignment horizontal="left" vertical="center" wrapText="1"/>
    </xf>
    <xf numFmtId="0" fontId="46" fillId="36" borderId="13" xfId="0" applyFont="1" applyFill="1" applyBorder="1" applyAlignment="1">
      <alignment horizontal="left" vertical="center"/>
    </xf>
    <xf numFmtId="165" fontId="47" fillId="0" borderId="13" xfId="43" applyNumberFormat="1" applyFont="1" applyFill="1" applyBorder="1" applyAlignment="1">
      <alignment vertical="center"/>
    </xf>
    <xf numFmtId="0" fontId="4" fillId="36" borderId="13" xfId="0" applyFont="1" applyFill="1" applyBorder="1" applyAlignment="1">
      <alignment horizontal="left" vertical="center" wrapText="1"/>
    </xf>
    <xf numFmtId="0" fontId="4" fillId="110" borderId="13" xfId="1698" applyFont="1" applyFill="1" applyBorder="1" applyAlignment="1">
      <alignment vertical="center"/>
    </xf>
    <xf numFmtId="0" fontId="46" fillId="110" borderId="13" xfId="0" applyFont="1" applyFill="1" applyBorder="1" applyAlignment="1">
      <alignment horizontal="left" vertical="center" wrapText="1"/>
    </xf>
    <xf numFmtId="0" fontId="46" fillId="111" borderId="13" xfId="0" applyFont="1" applyFill="1" applyBorder="1" applyAlignment="1">
      <alignment horizontal="left" vertical="center"/>
    </xf>
    <xf numFmtId="0" fontId="46" fillId="110" borderId="13" xfId="0" applyFont="1" applyFill="1" applyBorder="1" applyAlignment="1">
      <alignment horizontal="left" vertical="center"/>
    </xf>
    <xf numFmtId="0" fontId="4" fillId="111" borderId="13" xfId="1698" applyFont="1" applyFill="1" applyBorder="1" applyAlignment="1">
      <alignment vertical="center"/>
    </xf>
    <xf numFmtId="0" fontId="4" fillId="111" borderId="13" xfId="2371" applyFont="1" applyFill="1" applyBorder="1" applyAlignment="1">
      <alignment vertical="center"/>
    </xf>
    <xf numFmtId="0" fontId="46" fillId="109" borderId="0" xfId="0" applyFont="1" applyFill="1" applyBorder="1" applyAlignment="1">
      <alignment horizontal="left" vertical="center"/>
    </xf>
    <xf numFmtId="0" fontId="46" fillId="0" borderId="0" xfId="0" applyFont="1" applyFill="1" applyBorder="1" applyAlignment="1">
      <alignment horizontal="left" vertical="center" wrapText="1"/>
    </xf>
    <xf numFmtId="0" fontId="46" fillId="0" borderId="0" xfId="0" applyFont="1" applyFill="1" applyAlignment="1">
      <alignment vertical="center" wrapText="1"/>
    </xf>
    <xf numFmtId="0" fontId="49" fillId="0" borderId="13" xfId="16037" applyFont="1" applyFill="1" applyBorder="1" applyAlignment="1" applyProtection="1">
      <alignment vertical="center" wrapText="1"/>
    </xf>
    <xf numFmtId="14" fontId="49" fillId="0" borderId="13" xfId="16053" applyNumberFormat="1" applyFont="1" applyFill="1" applyBorder="1" applyAlignment="1" applyProtection="1">
      <alignment vertical="center"/>
    </xf>
    <xf numFmtId="0" fontId="49" fillId="0" borderId="13" xfId="16053" applyFont="1" applyFill="1" applyBorder="1" applyAlignment="1" applyProtection="1">
      <alignment vertical="center"/>
    </xf>
    <xf numFmtId="14" fontId="49" fillId="0" borderId="13" xfId="16053" applyNumberFormat="1" applyFont="1" applyFill="1" applyBorder="1" applyAlignment="1" applyProtection="1">
      <alignment vertical="center" wrapText="1"/>
    </xf>
    <xf numFmtId="0" fontId="49" fillId="0" borderId="13" xfId="16053" applyFont="1" applyFill="1" applyBorder="1" applyAlignment="1" applyProtection="1">
      <alignment vertical="center" wrapText="1"/>
    </xf>
    <xf numFmtId="0" fontId="0" fillId="0" borderId="0" xfId="0" applyAlignment="1">
      <alignment vertical="center"/>
    </xf>
    <xf numFmtId="0" fontId="4" fillId="111" borderId="13" xfId="2370" applyFont="1" applyFill="1" applyBorder="1" applyAlignment="1">
      <alignment vertical="center"/>
    </xf>
    <xf numFmtId="43" fontId="46" fillId="0" borderId="13" xfId="43" applyFont="1" applyFill="1" applyBorder="1" applyAlignment="1">
      <alignment horizontal="right" vertical="center" wrapText="1"/>
    </xf>
    <xf numFmtId="0" fontId="46" fillId="0" borderId="13" xfId="0" applyFont="1" applyFill="1" applyBorder="1" applyAlignment="1">
      <alignment horizontal="center" vertical="center" wrapText="1"/>
    </xf>
    <xf numFmtId="0" fontId="46" fillId="110" borderId="13" xfId="0" applyFont="1" applyFill="1" applyBorder="1" applyAlignment="1">
      <alignment vertical="center" wrapText="1"/>
    </xf>
    <xf numFmtId="165" fontId="50" fillId="0" borderId="0" xfId="0" applyNumberFormat="1" applyFont="1" applyFill="1" applyAlignment="1">
      <alignment vertical="center"/>
    </xf>
    <xf numFmtId="0" fontId="4" fillId="0" borderId="13" xfId="2370" applyNumberFormat="1" applyFont="1" applyFill="1" applyBorder="1" applyAlignment="1">
      <alignment horizontal="left" vertical="center"/>
    </xf>
    <xf numFmtId="165" fontId="50" fillId="0" borderId="0" xfId="0" applyNumberFormat="1" applyFont="1" applyFill="1" applyAlignment="1">
      <alignment vertical="center" wrapText="1"/>
    </xf>
    <xf numFmtId="165" fontId="50" fillId="0" borderId="0" xfId="43" applyNumberFormat="1" applyFont="1" applyFill="1" applyAlignment="1">
      <alignment horizontal="right" vertical="center" wrapText="1"/>
    </xf>
    <xf numFmtId="165" fontId="111" fillId="0" borderId="13" xfId="0" applyNumberFormat="1" applyFont="1" applyFill="1" applyBorder="1" applyAlignment="1">
      <alignment horizontal="center" vertical="center" wrapText="1"/>
    </xf>
    <xf numFmtId="165" fontId="43" fillId="0" borderId="13" xfId="43" applyNumberFormat="1" applyFont="1" applyFill="1" applyBorder="1" applyAlignment="1">
      <alignment horizontal="right" vertical="center" wrapText="1"/>
    </xf>
    <xf numFmtId="14" fontId="111" fillId="0" borderId="13" xfId="0" applyNumberFormat="1" applyFont="1" applyFill="1" applyBorder="1" applyAlignment="1">
      <alignment horizontal="right" vertical="center" wrapText="1"/>
    </xf>
    <xf numFmtId="0" fontId="50" fillId="0" borderId="0" xfId="0" applyFont="1" applyFill="1" applyAlignment="1">
      <alignment horizontal="right" vertical="center" wrapText="1"/>
    </xf>
    <xf numFmtId="0" fontId="50" fillId="0" borderId="0" xfId="0" applyFont="1" applyFill="1" applyAlignment="1">
      <alignment horizontal="right" vertical="center"/>
    </xf>
    <xf numFmtId="0" fontId="4" fillId="0" borderId="13" xfId="0" applyNumberFormat="1" applyFont="1" applyFill="1" applyBorder="1" applyAlignment="1" applyProtection="1">
      <alignment horizontal="right" wrapText="1"/>
    </xf>
    <xf numFmtId="0" fontId="0" fillId="0" borderId="0" xfId="0" applyFill="1" applyAlignment="1">
      <alignment vertical="center"/>
    </xf>
    <xf numFmtId="0" fontId="46" fillId="0" borderId="0" xfId="0" applyFont="1" applyFill="1" applyAlignment="1">
      <alignment vertical="center" wrapText="1"/>
    </xf>
    <xf numFmtId="0" fontId="49" fillId="0" borderId="13" xfId="0" applyNumberFormat="1" applyFont="1" applyFill="1" applyBorder="1" applyAlignment="1">
      <alignment horizontal="right" vertical="center"/>
    </xf>
    <xf numFmtId="0" fontId="48" fillId="0" borderId="13" xfId="0" applyNumberFormat="1" applyFont="1" applyFill="1" applyBorder="1" applyAlignment="1">
      <alignment horizontal="center" vertical="center"/>
    </xf>
    <xf numFmtId="0" fontId="46" fillId="0" borderId="13" xfId="0" applyNumberFormat="1" applyFont="1" applyBorder="1" applyAlignment="1">
      <alignment vertical="center"/>
    </xf>
    <xf numFmtId="0" fontId="46" fillId="0" borderId="13" xfId="0" applyNumberFormat="1" applyFont="1" applyBorder="1" applyAlignment="1">
      <alignment horizontal="right" vertical="center"/>
    </xf>
    <xf numFmtId="0" fontId="47" fillId="0" borderId="13" xfId="0" applyNumberFormat="1" applyFont="1" applyFill="1" applyBorder="1" applyAlignment="1">
      <alignment horizontal="right" vertical="center"/>
    </xf>
    <xf numFmtId="0" fontId="19" fillId="0" borderId="0" xfId="0" applyNumberFormat="1" applyFont="1" applyBorder="1" applyAlignment="1">
      <alignment vertical="center"/>
    </xf>
    <xf numFmtId="0" fontId="46" fillId="0" borderId="0" xfId="0" applyNumberFormat="1" applyFont="1" applyAlignment="1">
      <alignment horizontal="right" vertical="center"/>
    </xf>
    <xf numFmtId="0" fontId="46" fillId="0" borderId="13" xfId="0" quotePrefix="1" applyFont="1" applyFill="1" applyBorder="1" applyAlignment="1">
      <alignment horizontal="left" vertical="center" wrapText="1"/>
    </xf>
    <xf numFmtId="10" fontId="49" fillId="0" borderId="13" xfId="0" applyNumberFormat="1" applyFont="1" applyFill="1" applyBorder="1" applyAlignment="1">
      <alignment horizontal="right" vertical="center"/>
    </xf>
    <xf numFmtId="10" fontId="46" fillId="0" borderId="13" xfId="0" applyNumberFormat="1" applyFont="1" applyBorder="1" applyAlignment="1">
      <alignment vertical="center"/>
    </xf>
    <xf numFmtId="10" fontId="46" fillId="0" borderId="13" xfId="0" applyNumberFormat="1" applyFont="1" applyFill="1" applyBorder="1" applyAlignment="1">
      <alignment horizontal="right" vertical="center"/>
    </xf>
    <xf numFmtId="0" fontId="46" fillId="36" borderId="0" xfId="0" applyFont="1" applyFill="1" applyBorder="1" applyAlignment="1">
      <alignment vertical="center" wrapText="1"/>
    </xf>
    <xf numFmtId="10" fontId="46" fillId="36" borderId="13" xfId="0" applyNumberFormat="1" applyFont="1" applyFill="1" applyBorder="1" applyAlignment="1">
      <alignment horizontal="right" vertical="center"/>
    </xf>
    <xf numFmtId="10" fontId="46" fillId="0" borderId="13" xfId="0" applyNumberFormat="1" applyFont="1" applyBorder="1" applyAlignment="1">
      <alignment horizontal="right" vertical="center"/>
    </xf>
    <xf numFmtId="0" fontId="19" fillId="0" borderId="13" xfId="19520" applyFont="1" applyBorder="1" applyAlignment="1">
      <alignment horizontal="left" wrapText="1"/>
    </xf>
    <xf numFmtId="2" fontId="19" fillId="0" borderId="13" xfId="0" applyNumberFormat="1" applyFont="1" applyFill="1" applyBorder="1" applyAlignment="1">
      <alignment horizontal="right" vertical="center" wrapText="1"/>
    </xf>
    <xf numFmtId="164" fontId="19" fillId="0" borderId="13" xfId="43"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43" fontId="19" fillId="0" borderId="13" xfId="43" applyNumberFormat="1" applyFont="1" applyFill="1" applyBorder="1" applyAlignment="1">
      <alignment horizontal="right" vertical="center" wrapText="1"/>
    </xf>
    <xf numFmtId="167" fontId="19" fillId="0" borderId="13" xfId="0" applyNumberFormat="1" applyFont="1" applyFill="1" applyBorder="1" applyAlignment="1">
      <alignment horizontal="right" vertical="center" wrapText="1"/>
    </xf>
    <xf numFmtId="203" fontId="19" fillId="0" borderId="13" xfId="43" applyNumberFormat="1" applyFont="1" applyFill="1" applyBorder="1" applyAlignment="1">
      <alignment horizontal="right" vertical="center" wrapText="1"/>
    </xf>
    <xf numFmtId="0" fontId="46" fillId="0" borderId="8" xfId="0" applyFont="1" applyFill="1" applyBorder="1" applyAlignment="1">
      <alignment horizontal="left" vertical="center"/>
    </xf>
    <xf numFmtId="0" fontId="46" fillId="0" borderId="8" xfId="0" applyFont="1" applyFill="1" applyBorder="1" applyAlignment="1">
      <alignment horizontal="left" vertical="center" wrapText="1"/>
    </xf>
    <xf numFmtId="0" fontId="46" fillId="0" borderId="0" xfId="0" applyFont="1" applyFill="1" applyAlignment="1">
      <alignment vertical="center" wrapText="1"/>
    </xf>
    <xf numFmtId="0" fontId="4" fillId="0" borderId="0" xfId="2371" applyFont="1" applyFill="1" applyBorder="1" applyAlignment="1">
      <alignment horizontal="right" vertical="center"/>
    </xf>
    <xf numFmtId="203" fontId="4" fillId="0" borderId="0" xfId="0" applyNumberFormat="1" applyFont="1" applyFill="1" applyBorder="1" applyAlignment="1">
      <alignment horizontal="right" vertical="center"/>
    </xf>
    <xf numFmtId="0" fontId="50" fillId="0" borderId="13" xfId="0" applyFont="1" applyFill="1" applyBorder="1" applyAlignment="1">
      <alignment wrapText="1"/>
    </xf>
    <xf numFmtId="0" fontId="46" fillId="0" borderId="13" xfId="0" applyFont="1" applyBorder="1" applyAlignment="1">
      <alignment horizontal="right" vertical="center"/>
    </xf>
    <xf numFmtId="0" fontId="181" fillId="0" borderId="0" xfId="0" applyFont="1"/>
    <xf numFmtId="0" fontId="47" fillId="0" borderId="46" xfId="0" applyFont="1" applyFill="1" applyBorder="1" applyAlignment="1">
      <alignment vertical="center" wrapText="1"/>
    </xf>
    <xf numFmtId="0" fontId="47" fillId="0" borderId="20" xfId="0" applyFont="1" applyFill="1" applyBorder="1" applyAlignment="1">
      <alignment vertical="center" wrapText="1"/>
    </xf>
    <xf numFmtId="0" fontId="46" fillId="0" borderId="0" xfId="0" applyFont="1" applyFill="1" applyBorder="1" applyAlignment="1">
      <alignment horizontal="right" vertical="center"/>
    </xf>
    <xf numFmtId="165" fontId="4" fillId="0" borderId="0" xfId="2371" applyNumberFormat="1" applyFont="1" applyFill="1" applyBorder="1" applyAlignment="1">
      <alignment horizontal="right" vertical="center"/>
    </xf>
    <xf numFmtId="14" fontId="50" fillId="0" borderId="0" xfId="0" applyNumberFormat="1" applyFont="1" applyFill="1" applyAlignment="1">
      <alignment horizontal="left" vertical="center" wrapText="1"/>
    </xf>
    <xf numFmtId="4" fontId="46" fillId="0" borderId="0" xfId="0" applyNumberFormat="1" applyFont="1" applyFill="1" applyBorder="1" applyAlignment="1">
      <alignment vertical="center"/>
    </xf>
    <xf numFmtId="2" fontId="46" fillId="0" borderId="0" xfId="0" applyNumberFormat="1" applyFont="1" applyFill="1" applyBorder="1" applyAlignment="1">
      <alignment vertical="center"/>
    </xf>
    <xf numFmtId="165" fontId="4" fillId="112" borderId="0" xfId="2371" applyNumberFormat="1" applyFont="1" applyFill="1" applyBorder="1" applyAlignment="1">
      <alignment horizontal="right" vertical="center"/>
    </xf>
    <xf numFmtId="2" fontId="4" fillId="112" borderId="13" xfId="0" applyNumberFormat="1" applyFont="1" applyFill="1" applyBorder="1" applyAlignment="1">
      <alignment horizontal="right" vertical="center"/>
    </xf>
    <xf numFmtId="0" fontId="46" fillId="112" borderId="13" xfId="0" applyFont="1" applyFill="1" applyBorder="1" applyAlignment="1">
      <alignment vertical="center" wrapText="1"/>
    </xf>
    <xf numFmtId="14" fontId="4" fillId="112" borderId="13" xfId="2370" applyNumberFormat="1" applyFont="1" applyFill="1" applyBorder="1" applyAlignment="1">
      <alignment horizontal="right" vertical="center"/>
    </xf>
    <xf numFmtId="0" fontId="0" fillId="112" borderId="0" xfId="0" applyFill="1" applyAlignment="1">
      <alignment vertical="center"/>
    </xf>
    <xf numFmtId="0" fontId="4" fillId="112" borderId="13" xfId="2370" applyFont="1" applyFill="1" applyBorder="1" applyAlignment="1">
      <alignment horizontal="left" vertical="center"/>
    </xf>
    <xf numFmtId="0" fontId="4" fillId="112" borderId="13" xfId="2370" applyFont="1" applyFill="1" applyBorder="1" applyAlignment="1">
      <alignment horizontal="right" vertical="center"/>
    </xf>
    <xf numFmtId="0" fontId="46" fillId="112" borderId="13" xfId="0" applyFont="1" applyFill="1" applyBorder="1" applyAlignment="1">
      <alignment vertical="center"/>
    </xf>
    <xf numFmtId="14" fontId="19" fillId="112" borderId="13" xfId="6" applyNumberFormat="1" applyFont="1" applyFill="1" applyBorder="1" applyAlignment="1" applyProtection="1">
      <alignment horizontal="right" vertical="center"/>
      <protection locked="0"/>
    </xf>
    <xf numFmtId="0" fontId="4" fillId="112" borderId="13" xfId="2370" applyFont="1" applyFill="1" applyBorder="1" applyAlignment="1">
      <alignment vertical="center"/>
    </xf>
    <xf numFmtId="0" fontId="4" fillId="112" borderId="13" xfId="2370" applyNumberFormat="1" applyFont="1" applyFill="1" applyBorder="1" applyAlignment="1">
      <alignment horizontal="right" vertical="center"/>
    </xf>
    <xf numFmtId="0" fontId="46" fillId="112" borderId="13" xfId="0" applyFont="1" applyFill="1" applyBorder="1" applyAlignment="1">
      <alignment horizontal="left" vertical="center"/>
    </xf>
    <xf numFmtId="165" fontId="43" fillId="0" borderId="0" xfId="0" applyNumberFormat="1" applyFont="1" applyFill="1" applyBorder="1" applyAlignment="1">
      <alignment horizontal="center" vertical="center" wrapText="1"/>
    </xf>
    <xf numFmtId="0" fontId="4" fillId="112" borderId="13" xfId="2370" applyNumberFormat="1" applyFont="1" applyFill="1" applyBorder="1" applyAlignment="1">
      <alignment vertical="center"/>
    </xf>
    <xf numFmtId="0" fontId="4" fillId="109" borderId="13" xfId="2370" applyFont="1" applyFill="1" applyBorder="1" applyAlignment="1">
      <alignment horizontal="right" vertical="center"/>
    </xf>
    <xf numFmtId="4" fontId="46" fillId="112" borderId="13" xfId="0" applyNumberFormat="1" applyFont="1" applyFill="1" applyBorder="1" applyAlignment="1">
      <alignment vertical="center"/>
    </xf>
    <xf numFmtId="0" fontId="19" fillId="112" borderId="13" xfId="6" applyFont="1" applyFill="1" applyBorder="1" applyAlignment="1" applyProtection="1">
      <alignment horizontal="left" vertical="center"/>
      <protection locked="0"/>
    </xf>
    <xf numFmtId="2" fontId="46" fillId="112" borderId="13" xfId="0" applyNumberFormat="1" applyFont="1" applyFill="1" applyBorder="1" applyAlignment="1">
      <alignment vertical="center"/>
    </xf>
    <xf numFmtId="0" fontId="4" fillId="112" borderId="13" xfId="43" applyNumberFormat="1" applyFont="1" applyFill="1" applyBorder="1" applyAlignment="1">
      <alignment horizontal="right" vertical="center" wrapText="1"/>
    </xf>
    <xf numFmtId="14" fontId="46" fillId="112" borderId="13" xfId="0" applyNumberFormat="1" applyFont="1" applyFill="1" applyBorder="1" applyAlignment="1">
      <alignment vertical="center"/>
    </xf>
    <xf numFmtId="43" fontId="4" fillId="112" borderId="13" xfId="43" applyFont="1" applyFill="1" applyBorder="1" applyAlignment="1">
      <alignment horizontal="right" vertical="center" wrapText="1"/>
    </xf>
    <xf numFmtId="14" fontId="46" fillId="112" borderId="13" xfId="0" applyNumberFormat="1" applyFont="1" applyFill="1" applyBorder="1" applyAlignment="1">
      <alignment horizontal="right" vertical="center"/>
    </xf>
    <xf numFmtId="165" fontId="46" fillId="112" borderId="13" xfId="0" applyNumberFormat="1" applyFont="1" applyFill="1" applyBorder="1" applyAlignment="1">
      <alignment vertical="center"/>
    </xf>
    <xf numFmtId="2" fontId="46" fillId="112" borderId="13" xfId="0" applyNumberFormat="1" applyFont="1" applyFill="1" applyBorder="1" applyAlignment="1">
      <alignment horizontal="right" vertical="center"/>
    </xf>
    <xf numFmtId="0" fontId="46" fillId="112" borderId="13" xfId="0" applyNumberFormat="1" applyFont="1" applyFill="1" applyBorder="1" applyAlignment="1">
      <alignment vertical="center"/>
    </xf>
    <xf numFmtId="165" fontId="4" fillId="112" borderId="13" xfId="2371" applyNumberFormat="1" applyFont="1" applyFill="1" applyBorder="1" applyAlignment="1">
      <alignment horizontal="right" vertical="center"/>
    </xf>
    <xf numFmtId="0" fontId="0" fillId="0" borderId="0" xfId="0"/>
    <xf numFmtId="0" fontId="4" fillId="109" borderId="13" xfId="2370" applyFont="1" applyFill="1" applyBorder="1" applyAlignment="1">
      <alignment vertical="center"/>
    </xf>
    <xf numFmtId="0" fontId="46" fillId="109" borderId="13" xfId="0" applyFont="1" applyFill="1" applyBorder="1" applyAlignment="1">
      <alignment vertical="center"/>
    </xf>
    <xf numFmtId="14" fontId="4" fillId="109" borderId="13" xfId="2370" applyNumberFormat="1" applyFont="1" applyFill="1" applyBorder="1" applyAlignment="1">
      <alignment horizontal="right" vertical="center"/>
    </xf>
    <xf numFmtId="0" fontId="46" fillId="109" borderId="13" xfId="0" applyFont="1" applyFill="1" applyBorder="1" applyAlignment="1">
      <alignment vertical="center" wrapText="1"/>
    </xf>
    <xf numFmtId="0" fontId="4" fillId="112" borderId="13" xfId="2371" applyFont="1" applyFill="1" applyBorder="1" applyAlignment="1">
      <alignment horizontal="right" vertical="center"/>
    </xf>
    <xf numFmtId="165" fontId="46" fillId="112" borderId="13" xfId="0" applyNumberFormat="1" applyFont="1" applyFill="1" applyBorder="1" applyAlignment="1">
      <alignment horizontal="right" vertical="center"/>
    </xf>
    <xf numFmtId="0" fontId="4" fillId="112" borderId="13" xfId="0" applyFont="1" applyFill="1" applyBorder="1" applyAlignment="1">
      <alignment vertical="center" wrapText="1"/>
    </xf>
    <xf numFmtId="0" fontId="4" fillId="112" borderId="13" xfId="0" applyNumberFormat="1" applyFont="1" applyFill="1" applyBorder="1" applyAlignment="1">
      <alignment vertical="center" wrapText="1"/>
    </xf>
    <xf numFmtId="165" fontId="4" fillId="112" borderId="13" xfId="0" applyNumberFormat="1" applyFont="1" applyFill="1" applyBorder="1" applyAlignment="1">
      <alignment horizontal="right" vertical="center"/>
    </xf>
    <xf numFmtId="203" fontId="4" fillId="112" borderId="13" xfId="0" applyNumberFormat="1" applyFont="1" applyFill="1" applyBorder="1" applyAlignment="1">
      <alignment horizontal="right" vertical="center"/>
    </xf>
    <xf numFmtId="2" fontId="46" fillId="112" borderId="13" xfId="0" applyNumberFormat="1" applyFont="1" applyFill="1" applyBorder="1" applyAlignment="1">
      <alignment horizontal="left" vertical="center"/>
    </xf>
    <xf numFmtId="0" fontId="46" fillId="112" borderId="13" xfId="0" applyFont="1" applyFill="1" applyBorder="1" applyAlignment="1">
      <alignment horizontal="right" vertical="center"/>
    </xf>
    <xf numFmtId="0" fontId="46" fillId="112" borderId="13" xfId="0" applyFont="1" applyFill="1" applyBorder="1" applyAlignment="1">
      <alignment horizontal="left" vertical="center" wrapText="1"/>
    </xf>
    <xf numFmtId="0" fontId="4" fillId="112" borderId="13" xfId="0" applyNumberFormat="1" applyFont="1" applyFill="1" applyBorder="1" applyAlignment="1">
      <alignment vertical="center"/>
    </xf>
    <xf numFmtId="2" fontId="46" fillId="0" borderId="0" xfId="0" applyNumberFormat="1" applyFont="1" applyFill="1" applyBorder="1" applyAlignment="1">
      <alignment horizontal="right" vertical="center"/>
    </xf>
    <xf numFmtId="0" fontId="4" fillId="0" borderId="0" xfId="0" applyFont="1" applyFill="1" applyBorder="1" applyAlignment="1">
      <alignment vertical="center" wrapText="1"/>
    </xf>
    <xf numFmtId="14" fontId="46" fillId="0" borderId="0" xfId="0" applyNumberFormat="1" applyFont="1" applyFill="1" applyBorder="1" applyAlignment="1">
      <alignment horizontal="right" vertical="center"/>
    </xf>
    <xf numFmtId="0" fontId="4" fillId="0" borderId="0" xfId="0" applyNumberFormat="1" applyFont="1" applyFill="1" applyBorder="1" applyAlignment="1">
      <alignment vertical="center" wrapText="1"/>
    </xf>
    <xf numFmtId="165" fontId="46" fillId="0" borderId="0"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0" fillId="0" borderId="13" xfId="0" applyBorder="1"/>
    <xf numFmtId="0" fontId="46" fillId="109" borderId="13" xfId="0" applyNumberFormat="1" applyFont="1" applyFill="1" applyBorder="1" applyAlignment="1">
      <alignment vertical="center"/>
    </xf>
    <xf numFmtId="0" fontId="47" fillId="35" borderId="13" xfId="0" applyFont="1" applyFill="1" applyBorder="1" applyAlignment="1">
      <alignment horizontal="center" vertical="center" wrapText="1"/>
    </xf>
    <xf numFmtId="0" fontId="182" fillId="0" borderId="13" xfId="0" applyFont="1" applyFill="1" applyBorder="1" applyAlignment="1" applyProtection="1">
      <alignment vertical="center" wrapText="1"/>
    </xf>
    <xf numFmtId="14" fontId="46" fillId="0" borderId="13" xfId="43" applyNumberFormat="1" applyFont="1" applyFill="1" applyBorder="1" applyAlignment="1">
      <alignment horizontal="right" vertical="center" wrapText="1"/>
    </xf>
    <xf numFmtId="0" fontId="46" fillId="0" borderId="13" xfId="0" applyNumberFormat="1" applyFont="1" applyBorder="1" applyAlignment="1">
      <alignment vertical="center" wrapText="1"/>
    </xf>
    <xf numFmtId="0" fontId="181" fillId="0" borderId="13" xfId="0" applyFont="1" applyBorder="1"/>
    <xf numFmtId="4" fontId="47" fillId="0" borderId="13" xfId="0" applyNumberFormat="1" applyFont="1" applyFill="1" applyBorder="1" applyAlignment="1">
      <alignment horizontal="center" vertical="center" wrapText="1"/>
    </xf>
    <xf numFmtId="4" fontId="47" fillId="0" borderId="13" xfId="0" applyNumberFormat="1" applyFont="1" applyFill="1" applyBorder="1" applyAlignment="1">
      <alignment horizontal="right" vertical="center" wrapText="1"/>
    </xf>
    <xf numFmtId="3" fontId="46" fillId="0" borderId="0" xfId="0" applyNumberFormat="1" applyFont="1" applyAlignment="1">
      <alignment vertical="center"/>
    </xf>
    <xf numFmtId="164" fontId="4" fillId="0" borderId="23" xfId="43" applyNumberFormat="1" applyFont="1" applyFill="1" applyBorder="1" applyAlignment="1">
      <alignment horizontal="right" vertical="center" wrapText="1"/>
    </xf>
    <xf numFmtId="0" fontId="0" fillId="0" borderId="0" xfId="0"/>
    <xf numFmtId="0" fontId="188" fillId="36" borderId="13" xfId="0" applyFont="1" applyFill="1" applyBorder="1" applyAlignment="1">
      <alignment vertical="center" wrapText="1"/>
    </xf>
    <xf numFmtId="14" fontId="188" fillId="36" borderId="13" xfId="0" applyNumberFormat="1" applyFont="1" applyFill="1" applyBorder="1" applyAlignment="1">
      <alignment horizontal="right" vertical="center" wrapText="1"/>
    </xf>
    <xf numFmtId="4" fontId="188" fillId="36" borderId="13" xfId="0" applyNumberFormat="1" applyFont="1" applyFill="1" applyBorder="1" applyAlignment="1">
      <alignment vertical="center" wrapText="1"/>
    </xf>
    <xf numFmtId="183" fontId="46" fillId="0" borderId="13" xfId="1702" applyNumberFormat="1" applyFont="1" applyBorder="1" applyAlignment="1">
      <alignment vertical="center"/>
    </xf>
    <xf numFmtId="165" fontId="46" fillId="0" borderId="13" xfId="0" applyNumberFormat="1" applyFont="1" applyBorder="1" applyAlignment="1">
      <alignment vertical="center"/>
    </xf>
    <xf numFmtId="0" fontId="0" fillId="0" borderId="0" xfId="0" applyFill="1"/>
    <xf numFmtId="0" fontId="4" fillId="0" borderId="13" xfId="2371" applyFont="1" applyFill="1" applyBorder="1" applyAlignment="1">
      <alignment horizontal="left" vertical="center" wrapText="1"/>
    </xf>
    <xf numFmtId="167" fontId="46" fillId="0" borderId="13" xfId="0" applyNumberFormat="1" applyFont="1" applyFill="1" applyBorder="1" applyAlignment="1">
      <alignment horizontal="right" vertical="center"/>
    </xf>
    <xf numFmtId="0" fontId="4" fillId="0" borderId="13" xfId="1698" applyFont="1" applyFill="1" applyBorder="1" applyAlignment="1">
      <alignment horizontal="left" vertical="center"/>
    </xf>
    <xf numFmtId="0" fontId="4" fillId="0" borderId="13" xfId="2368" applyFont="1" applyFill="1" applyBorder="1" applyAlignment="1">
      <alignment horizontal="left" vertical="center" wrapText="1"/>
    </xf>
    <xf numFmtId="0" fontId="46" fillId="0" borderId="13" xfId="0" applyNumberFormat="1" applyFont="1" applyBorder="1" applyAlignment="1">
      <alignment horizontal="right"/>
    </xf>
    <xf numFmtId="0" fontId="48" fillId="0" borderId="13" xfId="0" applyNumberFormat="1" applyFont="1" applyFill="1" applyBorder="1" applyAlignment="1">
      <alignment horizontal="center" vertical="center" wrapText="1"/>
    </xf>
    <xf numFmtId="0" fontId="46" fillId="0" borderId="13" xfId="0" applyNumberFormat="1" applyFont="1" applyFill="1" applyBorder="1" applyAlignment="1">
      <alignment horizontal="left" vertical="center"/>
    </xf>
    <xf numFmtId="0" fontId="19" fillId="0" borderId="13" xfId="43" applyNumberFormat="1" applyFont="1" applyFill="1" applyBorder="1" applyAlignment="1">
      <alignment horizontal="right" vertical="center" wrapText="1"/>
    </xf>
    <xf numFmtId="0" fontId="47" fillId="0" borderId="13" xfId="0" applyNumberFormat="1" applyFont="1" applyFill="1" applyBorder="1" applyAlignment="1">
      <alignment horizontal="right" vertical="center" wrapText="1"/>
    </xf>
    <xf numFmtId="0" fontId="46" fillId="36" borderId="13" xfId="0" applyNumberFormat="1" applyFont="1" applyFill="1" applyBorder="1" applyAlignment="1">
      <alignment vertical="center" wrapText="1"/>
    </xf>
    <xf numFmtId="0" fontId="46" fillId="0" borderId="0" xfId="0" applyNumberFormat="1" applyFont="1" applyAlignment="1">
      <alignment horizontal="left" vertical="center" wrapText="1"/>
    </xf>
    <xf numFmtId="0" fontId="46" fillId="0" borderId="34" xfId="0" applyFont="1" applyFill="1" applyBorder="1" applyAlignment="1">
      <alignment vertical="center" wrapText="1"/>
    </xf>
    <xf numFmtId="0" fontId="46" fillId="0" borderId="0" xfId="0" applyFont="1" applyBorder="1" applyAlignment="1">
      <alignment vertical="center" wrapText="1"/>
    </xf>
    <xf numFmtId="0" fontId="46" fillId="0" borderId="0" xfId="0" applyFont="1" applyAlignment="1">
      <alignment vertical="center" wrapText="1"/>
    </xf>
    <xf numFmtId="14" fontId="46" fillId="0" borderId="13" xfId="0" applyNumberFormat="1" applyFont="1" applyFill="1" applyBorder="1" applyAlignment="1">
      <alignment horizontal="right" vertical="center" wrapText="1"/>
    </xf>
    <xf numFmtId="0" fontId="46" fillId="0" borderId="13" xfId="0" applyFont="1" applyFill="1" applyBorder="1" applyAlignment="1">
      <alignment horizontal="left" vertical="center" wrapText="1"/>
    </xf>
    <xf numFmtId="0" fontId="46" fillId="0" borderId="0" xfId="0" applyFont="1" applyAlignment="1">
      <alignment vertical="center" wrapText="1"/>
    </xf>
    <xf numFmtId="0" fontId="4" fillId="0" borderId="13" xfId="0" applyFont="1" applyFill="1" applyBorder="1" applyAlignment="1">
      <alignment vertical="center" wrapText="1"/>
    </xf>
    <xf numFmtId="0" fontId="46" fillId="0" borderId="13" xfId="0" applyNumberFormat="1" applyFont="1" applyFill="1" applyBorder="1" applyAlignment="1">
      <alignment horizontal="right" vertical="center" wrapText="1"/>
    </xf>
    <xf numFmtId="14" fontId="46" fillId="0" borderId="13" xfId="0" applyNumberFormat="1" applyFont="1" applyFill="1" applyBorder="1" applyAlignment="1">
      <alignment horizontal="right" vertical="center" wrapText="1"/>
    </xf>
    <xf numFmtId="0" fontId="46" fillId="0" borderId="13" xfId="0" applyFont="1" applyFill="1" applyBorder="1" applyAlignment="1">
      <alignment horizontal="right" vertical="center" wrapText="1"/>
    </xf>
    <xf numFmtId="0" fontId="46"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6" fillId="0" borderId="13" xfId="0" applyNumberFormat="1" applyFont="1" applyFill="1" applyBorder="1" applyAlignment="1">
      <alignment horizontal="right" vertical="center"/>
    </xf>
    <xf numFmtId="0" fontId="46" fillId="36" borderId="13" xfId="0" applyFont="1" applyFill="1" applyBorder="1" applyAlignment="1">
      <alignment vertical="center" wrapText="1"/>
    </xf>
    <xf numFmtId="0" fontId="46" fillId="36" borderId="13" xfId="0" applyNumberFormat="1" applyFont="1" applyFill="1" applyBorder="1" applyAlignment="1">
      <alignment horizontal="right" vertical="center"/>
    </xf>
    <xf numFmtId="0" fontId="46" fillId="0" borderId="13" xfId="0" applyFont="1" applyFill="1" applyBorder="1" applyAlignment="1">
      <alignment vertical="center" wrapText="1"/>
    </xf>
    <xf numFmtId="0" fontId="46" fillId="0" borderId="13" xfId="0" applyFont="1" applyFill="1" applyBorder="1" applyAlignment="1">
      <alignment horizontal="left" vertical="center" wrapText="1"/>
    </xf>
    <xf numFmtId="0" fontId="46" fillId="0" borderId="13" xfId="0" applyNumberFormat="1" applyFont="1" applyFill="1" applyBorder="1" applyAlignment="1">
      <alignment horizontal="left" vertical="center" wrapText="1"/>
    </xf>
    <xf numFmtId="0" fontId="46" fillId="0" borderId="34" xfId="0" applyFont="1" applyBorder="1" applyAlignment="1">
      <alignment vertical="center" wrapText="1"/>
    </xf>
    <xf numFmtId="0" fontId="46" fillId="0" borderId="0" xfId="0" applyFont="1" applyFill="1" applyAlignment="1">
      <alignment vertical="center" wrapText="1"/>
    </xf>
    <xf numFmtId="0" fontId="46" fillId="0" borderId="0" xfId="0" applyFont="1" applyAlignment="1">
      <alignment vertical="center" wrapText="1"/>
    </xf>
    <xf numFmtId="165" fontId="46" fillId="0" borderId="13" xfId="0" applyNumberFormat="1" applyFont="1" applyBorder="1" applyAlignment="1">
      <alignment horizontal="right" vertical="center"/>
    </xf>
    <xf numFmtId="165" fontId="47" fillId="0" borderId="13" xfId="0" applyNumberFormat="1" applyFont="1" applyBorder="1" applyAlignment="1">
      <alignment horizontal="right" vertical="center"/>
    </xf>
    <xf numFmtId="14" fontId="46" fillId="0" borderId="13" xfId="0" applyNumberFormat="1" applyFont="1" applyFill="1" applyBorder="1" applyAlignment="1">
      <alignment horizontal="right" vertical="center" wrapText="1"/>
    </xf>
    <xf numFmtId="0" fontId="46" fillId="0" borderId="13" xfId="0" applyFont="1" applyFill="1" applyBorder="1" applyAlignment="1">
      <alignment horizontal="right" vertical="center" wrapText="1"/>
    </xf>
    <xf numFmtId="0" fontId="46"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3" xfId="0" applyNumberFormat="1" applyFont="1" applyFill="1" applyBorder="1" applyAlignment="1">
      <alignment horizontal="left" vertical="center" wrapText="1"/>
    </xf>
    <xf numFmtId="0" fontId="46" fillId="0" borderId="0" xfId="0" applyFont="1" applyFill="1" applyAlignment="1">
      <alignment vertical="center" wrapText="1"/>
    </xf>
    <xf numFmtId="0" fontId="47" fillId="35" borderId="13" xfId="0" applyFont="1" applyFill="1" applyBorder="1" applyAlignment="1">
      <alignment horizontal="center" vertical="center" wrapText="1"/>
    </xf>
    <xf numFmtId="183" fontId="46" fillId="0" borderId="13" xfId="1702" applyNumberFormat="1" applyFont="1" applyBorder="1" applyAlignment="1">
      <alignment vertical="center"/>
    </xf>
    <xf numFmtId="165" fontId="46" fillId="0" borderId="13" xfId="0" applyNumberFormat="1" applyFont="1" applyBorder="1" applyAlignment="1">
      <alignment vertical="center"/>
    </xf>
    <xf numFmtId="0" fontId="80" fillId="0" borderId="0" xfId="0" applyFont="1" applyFill="1" applyAlignment="1">
      <alignment wrapText="1"/>
    </xf>
    <xf numFmtId="0" fontId="80" fillId="0" borderId="0" xfId="0" applyFont="1" applyFill="1" applyAlignment="1">
      <alignment vertical="center" wrapText="1"/>
    </xf>
    <xf numFmtId="0" fontId="110" fillId="0" borderId="13" xfId="0" applyFont="1" applyFill="1" applyBorder="1" applyAlignment="1">
      <alignment horizontal="center" vertical="center" wrapText="1"/>
    </xf>
    <xf numFmtId="14" fontId="82" fillId="0" borderId="13" xfId="0" applyNumberFormat="1" applyFont="1" applyFill="1" applyBorder="1" applyAlignment="1">
      <alignment horizontal="center" vertical="center" wrapText="1"/>
    </xf>
    <xf numFmtId="2" fontId="82" fillId="0" borderId="13" xfId="0" applyNumberFormat="1" applyFont="1" applyFill="1" applyBorder="1" applyAlignment="1">
      <alignment horizontal="right" vertical="center" wrapText="1"/>
    </xf>
    <xf numFmtId="14" fontId="110" fillId="0" borderId="13" xfId="0" applyNumberFormat="1" applyFont="1" applyFill="1" applyBorder="1" applyAlignment="1">
      <alignment horizontal="right" vertical="center" wrapText="1"/>
    </xf>
    <xf numFmtId="0" fontId="82" fillId="0" borderId="13" xfId="0" applyFont="1" applyFill="1" applyBorder="1" applyAlignment="1">
      <alignment horizontal="left" vertical="center" wrapText="1"/>
    </xf>
    <xf numFmtId="2" fontId="110" fillId="0" borderId="13" xfId="0" applyNumberFormat="1" applyFont="1" applyFill="1" applyBorder="1" applyAlignment="1">
      <alignment horizontal="center" vertical="center" wrapText="1"/>
    </xf>
    <xf numFmtId="165" fontId="110" fillId="0" borderId="13" xfId="0" applyNumberFormat="1" applyFont="1" applyFill="1" applyBorder="1" applyAlignment="1">
      <alignment horizontal="center" vertical="center" wrapText="1"/>
    </xf>
    <xf numFmtId="43" fontId="110" fillId="0" borderId="13" xfId="43" applyFont="1" applyFill="1" applyBorder="1" applyAlignment="1">
      <alignment horizontal="center" vertical="center" wrapText="1"/>
    </xf>
    <xf numFmtId="0" fontId="65" fillId="0" borderId="13" xfId="0" applyFont="1" applyFill="1" applyBorder="1" applyAlignment="1">
      <alignment horizontal="center" vertical="center" wrapText="1"/>
    </xf>
    <xf numFmtId="0" fontId="110" fillId="0" borderId="13" xfId="0" applyNumberFormat="1" applyFont="1" applyFill="1" applyBorder="1" applyAlignment="1">
      <alignment horizontal="center" vertical="center" wrapText="1"/>
    </xf>
    <xf numFmtId="0" fontId="80" fillId="0" borderId="0" xfId="0" applyFont="1" applyFill="1" applyAlignment="1">
      <alignment horizontal="center" wrapText="1"/>
    </xf>
    <xf numFmtId="0" fontId="80" fillId="0" borderId="13" xfId="0" applyFont="1" applyFill="1" applyBorder="1" applyAlignment="1">
      <alignment vertical="center" wrapText="1"/>
    </xf>
    <xf numFmtId="0" fontId="109" fillId="0" borderId="13" xfId="1698" applyFont="1" applyFill="1" applyBorder="1" applyAlignment="1">
      <alignment vertical="center"/>
    </xf>
    <xf numFmtId="0" fontId="80" fillId="0" borderId="13" xfId="0" applyFont="1" applyFill="1" applyBorder="1" applyAlignment="1">
      <alignment horizontal="right" vertical="center"/>
    </xf>
    <xf numFmtId="0" fontId="80" fillId="0" borderId="13" xfId="0" applyNumberFormat="1" applyFont="1" applyFill="1" applyBorder="1" applyAlignment="1">
      <alignment horizontal="right" vertical="center"/>
    </xf>
    <xf numFmtId="14" fontId="80" fillId="0" borderId="13" xfId="0" applyNumberFormat="1" applyFont="1" applyFill="1" applyBorder="1" applyAlignment="1">
      <alignment horizontal="right" vertical="center"/>
    </xf>
    <xf numFmtId="0" fontId="109" fillId="0" borderId="13" xfId="2370" applyFont="1" applyFill="1" applyBorder="1" applyAlignment="1">
      <alignment horizontal="left" vertical="center"/>
    </xf>
    <xf numFmtId="0" fontId="80" fillId="0" borderId="13" xfId="0" applyFont="1" applyFill="1" applyBorder="1" applyAlignment="1">
      <alignment vertical="center"/>
    </xf>
    <xf numFmtId="165" fontId="80" fillId="0" borderId="13" xfId="0" applyNumberFormat="1" applyFont="1" applyFill="1" applyBorder="1" applyAlignment="1">
      <alignment vertical="center"/>
    </xf>
    <xf numFmtId="43" fontId="109" fillId="0" borderId="13" xfId="43" applyFont="1" applyFill="1" applyBorder="1" applyAlignment="1">
      <alignment horizontal="right" vertical="center" wrapText="1"/>
    </xf>
    <xf numFmtId="43" fontId="109" fillId="0" borderId="13" xfId="43" applyNumberFormat="1" applyFont="1" applyFill="1" applyBorder="1" applyAlignment="1">
      <alignment horizontal="right" vertical="center" wrapText="1"/>
    </xf>
    <xf numFmtId="4" fontId="80" fillId="0" borderId="13" xfId="0" applyNumberFormat="1" applyFont="1" applyFill="1" applyBorder="1" applyAlignment="1">
      <alignment vertical="center"/>
    </xf>
    <xf numFmtId="0" fontId="80" fillId="0" borderId="13" xfId="0" applyFont="1" applyFill="1" applyBorder="1" applyAlignment="1">
      <alignment horizontal="left" vertical="center" wrapText="1"/>
    </xf>
    <xf numFmtId="0" fontId="80" fillId="0" borderId="13" xfId="0" applyNumberFormat="1" applyFont="1" applyFill="1" applyBorder="1" applyAlignment="1">
      <alignment vertical="center"/>
    </xf>
    <xf numFmtId="0" fontId="80" fillId="0" borderId="0" xfId="0" applyFont="1" applyFill="1" applyAlignment="1">
      <alignment horizontal="center" vertical="center" wrapText="1"/>
    </xf>
    <xf numFmtId="0" fontId="80" fillId="0" borderId="13" xfId="0" applyFont="1" applyFill="1" applyBorder="1" applyAlignment="1">
      <alignment horizontal="center" vertical="center" wrapText="1"/>
    </xf>
    <xf numFmtId="0" fontId="109" fillId="0" borderId="13" xfId="2370" applyFont="1" applyFill="1" applyBorder="1" applyAlignment="1">
      <alignment horizontal="left" vertical="center" wrapText="1"/>
    </xf>
    <xf numFmtId="0" fontId="80" fillId="0" borderId="13" xfId="0" applyFont="1" applyFill="1" applyBorder="1" applyAlignment="1">
      <alignment horizontal="right" vertical="center" wrapText="1"/>
    </xf>
    <xf numFmtId="14" fontId="80" fillId="0" borderId="13" xfId="0" applyNumberFormat="1" applyFont="1" applyFill="1" applyBorder="1" applyAlignment="1">
      <alignment horizontal="right" vertical="center" wrapText="1"/>
    </xf>
    <xf numFmtId="2" fontId="80" fillId="0" borderId="13" xfId="0" applyNumberFormat="1" applyFont="1" applyFill="1" applyBorder="1" applyAlignment="1">
      <alignment horizontal="right" vertical="center" wrapText="1"/>
    </xf>
    <xf numFmtId="165" fontId="80" fillId="0" borderId="13" xfId="0" applyNumberFormat="1" applyFont="1" applyFill="1" applyBorder="1" applyAlignment="1">
      <alignment horizontal="right" vertical="center" wrapText="1"/>
    </xf>
    <xf numFmtId="0" fontId="80" fillId="0" borderId="13" xfId="0" applyNumberFormat="1" applyFont="1" applyFill="1" applyBorder="1" applyAlignment="1">
      <alignment horizontal="right" vertical="center" wrapText="1"/>
    </xf>
    <xf numFmtId="0" fontId="80" fillId="0" borderId="13" xfId="0" applyFont="1" applyFill="1" applyBorder="1" applyAlignment="1">
      <alignment horizontal="left" vertical="center"/>
    </xf>
    <xf numFmtId="0" fontId="109" fillId="0" borderId="13" xfId="2370" applyNumberFormat="1" applyFont="1" applyFill="1" applyBorder="1" applyAlignment="1">
      <alignment horizontal="right" vertical="center"/>
    </xf>
    <xf numFmtId="14" fontId="24" fillId="0" borderId="13" xfId="6" applyNumberFormat="1" applyFont="1" applyFill="1" applyBorder="1" applyAlignment="1" applyProtection="1">
      <alignment horizontal="right" vertical="center"/>
      <protection locked="0"/>
    </xf>
    <xf numFmtId="165" fontId="109" fillId="0" borderId="13" xfId="2370" applyNumberFormat="1" applyFont="1" applyFill="1" applyBorder="1" applyAlignment="1">
      <alignment horizontal="right" vertical="center"/>
    </xf>
    <xf numFmtId="0" fontId="24" fillId="0" borderId="13" xfId="6" applyFont="1" applyFill="1" applyBorder="1" applyAlignment="1" applyProtection="1">
      <alignment horizontal="left" vertical="center" wrapText="1"/>
      <protection locked="0"/>
    </xf>
    <xf numFmtId="0" fontId="109" fillId="0" borderId="13" xfId="2370" applyNumberFormat="1" applyFont="1" applyFill="1" applyBorder="1" applyAlignment="1">
      <alignment vertical="center"/>
    </xf>
    <xf numFmtId="0" fontId="109" fillId="0" borderId="13" xfId="2370" applyFont="1" applyFill="1" applyBorder="1" applyAlignment="1">
      <alignment vertical="center"/>
    </xf>
    <xf numFmtId="0" fontId="24" fillId="0" borderId="13" xfId="6" applyFont="1" applyFill="1" applyBorder="1" applyAlignment="1" applyProtection="1">
      <alignment horizontal="left" vertical="center"/>
      <protection locked="0"/>
    </xf>
    <xf numFmtId="165" fontId="80" fillId="0" borderId="13" xfId="0" applyNumberFormat="1" applyFont="1" applyFill="1" applyBorder="1" applyAlignment="1">
      <alignment horizontal="right" vertical="center"/>
    </xf>
    <xf numFmtId="0" fontId="109" fillId="0" borderId="13" xfId="43" applyNumberFormat="1" applyFont="1" applyFill="1" applyBorder="1" applyAlignment="1">
      <alignment horizontal="right" vertical="center" wrapText="1"/>
    </xf>
    <xf numFmtId="0" fontId="109" fillId="0" borderId="13" xfId="0" applyNumberFormat="1" applyFont="1" applyFill="1" applyBorder="1" applyAlignment="1">
      <alignment horizontal="right" vertical="center"/>
    </xf>
    <xf numFmtId="0" fontId="109" fillId="0" borderId="13" xfId="0" applyNumberFormat="1" applyFont="1" applyFill="1" applyBorder="1" applyAlignment="1">
      <alignment horizontal="right" vertical="center" wrapText="1"/>
    </xf>
    <xf numFmtId="14" fontId="80" fillId="0" borderId="13" xfId="0" applyNumberFormat="1" applyFont="1" applyFill="1" applyBorder="1" applyAlignment="1">
      <alignment vertical="center"/>
    </xf>
    <xf numFmtId="43" fontId="80" fillId="0" borderId="13" xfId="43" applyFont="1" applyFill="1" applyBorder="1" applyAlignment="1">
      <alignment horizontal="right" vertical="center" wrapText="1"/>
    </xf>
    <xf numFmtId="0" fontId="109" fillId="0" borderId="13" xfId="0" applyNumberFormat="1" applyFont="1" applyFill="1" applyBorder="1" applyAlignment="1" applyProtection="1">
      <alignment horizontal="right" wrapText="1"/>
    </xf>
    <xf numFmtId="165" fontId="80" fillId="0" borderId="13" xfId="43" applyNumberFormat="1" applyFont="1" applyFill="1" applyBorder="1" applyAlignment="1">
      <alignment horizontal="right" vertical="center" wrapText="1"/>
    </xf>
    <xf numFmtId="0" fontId="109" fillId="0" borderId="13" xfId="2370" applyNumberFormat="1" applyFont="1" applyFill="1" applyBorder="1" applyAlignment="1">
      <alignment horizontal="right" vertical="center" wrapText="1"/>
    </xf>
    <xf numFmtId="0" fontId="80" fillId="0" borderId="0" xfId="0" applyFont="1" applyFill="1" applyAlignment="1">
      <alignment vertical="center"/>
    </xf>
    <xf numFmtId="0" fontId="109" fillId="0" borderId="13" xfId="2370" applyNumberFormat="1" applyFont="1" applyFill="1" applyBorder="1" applyAlignment="1">
      <alignment horizontal="left" vertical="center"/>
    </xf>
    <xf numFmtId="0" fontId="158" fillId="0" borderId="13" xfId="0" applyFont="1" applyFill="1" applyBorder="1" applyAlignment="1">
      <alignment horizontal="left" vertical="center" wrapText="1"/>
    </xf>
    <xf numFmtId="0" fontId="158" fillId="0" borderId="13" xfId="0" applyFont="1" applyFill="1" applyBorder="1" applyAlignment="1">
      <alignment vertical="center"/>
    </xf>
    <xf numFmtId="0" fontId="110" fillId="0" borderId="13" xfId="0" applyFont="1" applyFill="1" applyBorder="1" applyAlignment="1">
      <alignment horizontal="left" vertical="center" wrapText="1"/>
    </xf>
    <xf numFmtId="2" fontId="109" fillId="0" borderId="13" xfId="0" applyNumberFormat="1" applyFont="1" applyFill="1" applyBorder="1" applyAlignment="1">
      <alignment horizontal="right" vertical="center" wrapText="1"/>
    </xf>
    <xf numFmtId="164" fontId="110" fillId="0" borderId="13" xfId="43" applyNumberFormat="1" applyFont="1" applyFill="1" applyBorder="1" applyAlignment="1">
      <alignment horizontal="right" vertical="center" wrapText="1"/>
    </xf>
    <xf numFmtId="0" fontId="80" fillId="0" borderId="0" xfId="0" applyFont="1" applyFill="1" applyAlignment="1">
      <alignment horizontal="right" vertical="center"/>
    </xf>
    <xf numFmtId="14" fontId="80" fillId="0" borderId="0" xfId="0" applyNumberFormat="1" applyFont="1" applyFill="1" applyAlignment="1">
      <alignment horizontal="right" vertical="center" wrapText="1"/>
    </xf>
    <xf numFmtId="2" fontId="80" fillId="0" borderId="0" xfId="0" applyNumberFormat="1" applyFont="1" applyFill="1" applyAlignment="1">
      <alignment horizontal="left" vertical="center"/>
    </xf>
    <xf numFmtId="165" fontId="80" fillId="0" borderId="0" xfId="0" applyNumberFormat="1" applyFont="1" applyFill="1" applyAlignment="1">
      <alignment vertical="center"/>
    </xf>
    <xf numFmtId="0" fontId="80" fillId="0" borderId="0" xfId="0" applyNumberFormat="1" applyFont="1" applyFill="1" applyAlignment="1">
      <alignment vertical="center"/>
    </xf>
    <xf numFmtId="0" fontId="80" fillId="0" borderId="0" xfId="0" applyFont="1" applyFill="1" applyAlignment="1">
      <alignment horizontal="right" vertical="center" wrapText="1"/>
    </xf>
    <xf numFmtId="0" fontId="80" fillId="0" borderId="0" xfId="0" applyFont="1" applyFill="1" applyAlignment="1">
      <alignment horizontal="left" vertical="center" wrapText="1"/>
    </xf>
    <xf numFmtId="165" fontId="80" fillId="0" borderId="0" xfId="0" applyNumberFormat="1" applyFont="1" applyFill="1" applyAlignment="1">
      <alignment vertical="center" wrapText="1"/>
    </xf>
    <xf numFmtId="0" fontId="80" fillId="0" borderId="0" xfId="0" applyNumberFormat="1" applyFont="1" applyFill="1" applyAlignment="1">
      <alignment vertical="center" wrapText="1"/>
    </xf>
    <xf numFmtId="0" fontId="80" fillId="0" borderId="0" xfId="0" applyFont="1" applyFill="1" applyAlignment="1">
      <alignment horizontal="left" vertical="top" wrapText="1"/>
    </xf>
    <xf numFmtId="2" fontId="80" fillId="0" borderId="0" xfId="0" applyNumberFormat="1" applyFont="1" applyFill="1" applyAlignment="1">
      <alignment horizontal="right" vertical="center" wrapText="1"/>
    </xf>
    <xf numFmtId="165" fontId="80" fillId="0" borderId="0" xfId="43" applyNumberFormat="1" applyFont="1" applyFill="1" applyAlignment="1">
      <alignment horizontal="right" vertical="center" wrapText="1"/>
    </xf>
    <xf numFmtId="43" fontId="80" fillId="0" borderId="0" xfId="43" applyFont="1" applyFill="1" applyAlignment="1">
      <alignment horizontal="right" vertical="center" wrapText="1"/>
    </xf>
    <xf numFmtId="0" fontId="80" fillId="0" borderId="0" xfId="0" applyNumberFormat="1" applyFont="1" applyFill="1" applyAlignment="1">
      <alignment horizontal="right" vertical="center" wrapText="1"/>
    </xf>
    <xf numFmtId="14" fontId="80" fillId="0" borderId="0" xfId="0" applyNumberFormat="1" applyFont="1" applyFill="1" applyAlignment="1">
      <alignment horizontal="left" vertical="center" wrapText="1"/>
    </xf>
    <xf numFmtId="0" fontId="109" fillId="113" borderId="13" xfId="1698" applyFont="1" applyFill="1" applyBorder="1" applyAlignment="1">
      <alignment vertical="center"/>
    </xf>
    <xf numFmtId="0" fontId="109" fillId="111" borderId="13" xfId="1698" applyFont="1" applyFill="1" applyBorder="1" applyAlignment="1">
      <alignment vertical="center"/>
    </xf>
    <xf numFmtId="0" fontId="80" fillId="113" borderId="13" xfId="0" applyFont="1" applyFill="1" applyBorder="1" applyAlignment="1">
      <alignment vertical="center" wrapText="1"/>
    </xf>
    <xf numFmtId="0" fontId="80" fillId="113" borderId="13" xfId="0" applyFont="1" applyFill="1" applyBorder="1" applyAlignment="1">
      <alignment horizontal="left" vertical="center" wrapText="1"/>
    </xf>
    <xf numFmtId="0" fontId="80" fillId="113" borderId="13" xfId="0" applyFont="1" applyFill="1" applyBorder="1" applyAlignment="1">
      <alignment horizontal="left" vertical="center"/>
    </xf>
    <xf numFmtId="0" fontId="80" fillId="111" borderId="13" xfId="0" applyFont="1" applyFill="1" applyBorder="1" applyAlignment="1">
      <alignment vertical="center" wrapText="1"/>
    </xf>
    <xf numFmtId="0" fontId="46" fillId="0" borderId="43" xfId="0" applyFont="1" applyFill="1" applyBorder="1" applyAlignment="1">
      <alignment horizontal="left" vertical="center"/>
    </xf>
    <xf numFmtId="0" fontId="50" fillId="0" borderId="13" xfId="0" applyFont="1" applyFill="1" applyBorder="1" applyAlignment="1">
      <alignment horizontal="left" vertical="top" wrapText="1"/>
    </xf>
    <xf numFmtId="0" fontId="50" fillId="0" borderId="13" xfId="0" applyFont="1" applyFill="1" applyBorder="1" applyAlignment="1">
      <alignment horizontal="right" vertical="center" wrapText="1"/>
    </xf>
    <xf numFmtId="14" fontId="50" fillId="0" borderId="13" xfId="0" applyNumberFormat="1" applyFont="1" applyFill="1" applyBorder="1" applyAlignment="1">
      <alignment horizontal="right" vertical="center" wrapText="1"/>
    </xf>
    <xf numFmtId="2" fontId="50" fillId="0" borderId="13" xfId="0" applyNumberFormat="1" applyFont="1" applyFill="1" applyBorder="1" applyAlignment="1">
      <alignment horizontal="right" vertical="center" wrapText="1"/>
    </xf>
    <xf numFmtId="165" fontId="4" fillId="0" borderId="0" xfId="2370" applyNumberFormat="1" applyFont="1" applyFill="1" applyBorder="1" applyAlignment="1">
      <alignment horizontal="right" vertical="center"/>
    </xf>
    <xf numFmtId="165" fontId="50" fillId="0" borderId="13" xfId="43" applyNumberFormat="1" applyFont="1" applyFill="1" applyBorder="1" applyAlignment="1">
      <alignment horizontal="right" vertical="center" wrapText="1"/>
    </xf>
    <xf numFmtId="43" fontId="50" fillId="0" borderId="13" xfId="43" applyFont="1" applyFill="1" applyBorder="1" applyAlignment="1">
      <alignment horizontal="right" vertical="center" wrapText="1"/>
    </xf>
    <xf numFmtId="0" fontId="50" fillId="0" borderId="13" xfId="0" applyFont="1" applyFill="1" applyBorder="1" applyAlignment="1">
      <alignment horizontal="center" vertical="center" wrapText="1"/>
    </xf>
    <xf numFmtId="0" fontId="46" fillId="103" borderId="0" xfId="0" applyFont="1" applyFill="1" applyBorder="1" applyAlignment="1">
      <alignment horizontal="left" vertical="center" wrapText="1"/>
    </xf>
    <xf numFmtId="0" fontId="19" fillId="0" borderId="0" xfId="6" applyFont="1" applyFill="1" applyBorder="1" applyAlignment="1" applyProtection="1">
      <alignment horizontal="left" vertical="center" wrapText="1"/>
      <protection locked="0"/>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2"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1" xfId="0" applyNumberFormat="1" applyFont="1" applyFill="1" applyBorder="1" applyAlignment="1">
      <alignment horizontal="center" vertical="center" wrapText="1"/>
    </xf>
    <xf numFmtId="0" fontId="47" fillId="0" borderId="23" xfId="0" applyFont="1" applyFill="1" applyBorder="1" applyAlignment="1">
      <alignment horizontal="center" vertical="center" wrapText="1"/>
    </xf>
    <xf numFmtId="0" fontId="110" fillId="0" borderId="46" xfId="0" applyFont="1" applyFill="1" applyBorder="1" applyAlignment="1">
      <alignment horizontal="center" vertical="center" wrapText="1"/>
    </xf>
    <xf numFmtId="0" fontId="110" fillId="0" borderId="20" xfId="0" applyFont="1" applyFill="1" applyBorder="1" applyAlignment="1">
      <alignment horizontal="center" vertical="center" wrapText="1"/>
    </xf>
    <xf numFmtId="0" fontId="47" fillId="0" borderId="22"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13" xfId="0" applyFont="1" applyBorder="1" applyAlignment="1">
      <alignment horizontal="center" vertical="center" wrapText="1"/>
    </xf>
    <xf numFmtId="0" fontId="111" fillId="0" borderId="46" xfId="0" applyFont="1" applyFill="1" applyBorder="1" applyAlignment="1">
      <alignment horizontal="center" vertical="center" wrapText="1"/>
    </xf>
    <xf numFmtId="0" fontId="111" fillId="0" borderId="20" xfId="0" applyFont="1" applyFill="1" applyBorder="1" applyAlignment="1">
      <alignment horizontal="center" vertical="center" wrapText="1"/>
    </xf>
    <xf numFmtId="0" fontId="47" fillId="0" borderId="21" xfId="0" applyFont="1" applyBorder="1" applyAlignment="1">
      <alignment horizontal="center" vertical="center"/>
    </xf>
  </cellXfs>
  <cellStyles count="19947">
    <cellStyle name="_x0013_" xfId="2378"/>
    <cellStyle name="_x0013_ 2" xfId="2379"/>
    <cellStyle name="_x0013_ 2 2" xfId="2380"/>
    <cellStyle name="_x0013_ 2 2 2" xfId="2381"/>
    <cellStyle name="_x0013_ 2 3" xfId="2382"/>
    <cellStyle name="_x0013_ 2 3 2" xfId="2383"/>
    <cellStyle name="_x0013_ 2 4" xfId="2384"/>
    <cellStyle name="_x0013_ 3" xfId="2385"/>
    <cellStyle name="_x0013_ 3 2" xfId="2386"/>
    <cellStyle name="_x0013_ 3 2 2" xfId="2387"/>
    <cellStyle name="_x0013_ 3 3" xfId="2388"/>
    <cellStyle name="_x0013_ 4" xfId="2389"/>
    <cellStyle name="_x0013_ 4 2" xfId="2390"/>
    <cellStyle name="_x0013_ 5" xfId="2391"/>
    <cellStyle name="_x0013_ 5 2" xfId="2392"/>
    <cellStyle name="_x0013_ 6" xfId="2393"/>
    <cellStyle name="$/RMB" xfId="1"/>
    <cellStyle name="$/RMB 0.00" xfId="2"/>
    <cellStyle name="$/RMB 0.0000" xfId="3"/>
    <cellStyle name="$0.00" xfId="2394"/>
    <cellStyle name="$0.00 2" xfId="2395"/>
    <cellStyle name="$HK" xfId="4"/>
    <cellStyle name="$HK 0.000" xfId="5"/>
    <cellStyle name="*MB Hardwired" xfId="2286"/>
    <cellStyle name="*MB Input Table Calc" xfId="2287"/>
    <cellStyle name="*MB Normal" xfId="2288"/>
    <cellStyle name="*MB Normal 2" xfId="2396"/>
    <cellStyle name="*MB Placeholder" xfId="2289"/>
    <cellStyle name="?? [0]_VERA" xfId="2290"/>
    <cellStyle name="?????_VERA" xfId="2291"/>
    <cellStyle name="??_VERA" xfId="2292"/>
    <cellStyle name="_x0013__12 Rolling Months" xfId="2397"/>
    <cellStyle name="_x0013__12 Rolling Months 2" xfId="2398"/>
    <cellStyle name="_x0013__12 Rolling Months 2 2" xfId="2399"/>
    <cellStyle name="_x0013__12 Rolling Months 3" xfId="2400"/>
    <cellStyle name="_2008_II__DR_RFP_COSTS" xfId="2401"/>
    <cellStyle name="_2008_II__DR_RFP_COSTS 2" xfId="2402"/>
    <cellStyle name="_x0013__2011 Actual" xfId="2403"/>
    <cellStyle name="_x0013__2011 Actual 2" xfId="2404"/>
    <cellStyle name="_x0013__2011 Actual 2 2" xfId="2405"/>
    <cellStyle name="_x0013__2011 Actual 3" xfId="2406"/>
    <cellStyle name="_x0013__2011 Data" xfId="2407"/>
    <cellStyle name="_x0013__2011 Data 2" xfId="2408"/>
    <cellStyle name="_x0013__2011 Data 2 2" xfId="2409"/>
    <cellStyle name="_x0013__2011 Data 2 2 2" xfId="2410"/>
    <cellStyle name="_x0013__2011 Data 2 3" xfId="2411"/>
    <cellStyle name="_x0013__2011 Data 3" xfId="2412"/>
    <cellStyle name="_x0013__2011 Data_1" xfId="2413"/>
    <cellStyle name="_x0013__2011 Data_1 2" xfId="2414"/>
    <cellStyle name="_x0013__2011 Data_1 2 2" xfId="2415"/>
    <cellStyle name="_x0013__2011 Data_1 3" xfId="2416"/>
    <cellStyle name="_x0013__2011 Data_1_2012 Data" xfId="2417"/>
    <cellStyle name="_x0013__2011 Data_1_2012 Data 2" xfId="2418"/>
    <cellStyle name="_x0013__2011 Data_1_2012 Data 2 2" xfId="2419"/>
    <cellStyle name="_x0013__2011 Data_1_2012 Data 3" xfId="2420"/>
    <cellStyle name="_x0013__2011 Data_1_JG view" xfId="2421"/>
    <cellStyle name="_x0013__2011 Data_1_JG view 2" xfId="2422"/>
    <cellStyle name="_x0013__2011 Data_12 Rolling Months" xfId="2423"/>
    <cellStyle name="_x0013__2011 Data_12 Rolling Months 2" xfId="2424"/>
    <cellStyle name="_x0013__2011 Data_12 Rolling Months 2 2" xfId="2425"/>
    <cellStyle name="_x0013__2011 Data_12 Rolling Months 3" xfId="2426"/>
    <cellStyle name="_x0013__2011 Data_2011 Actual" xfId="2427"/>
    <cellStyle name="_x0013__2011 Data_2011 Actual 2" xfId="2428"/>
    <cellStyle name="_x0013__2011 Data_2012 Actual" xfId="2429"/>
    <cellStyle name="_x0013__2011 Data_2012 Actual 2" xfId="2430"/>
    <cellStyle name="_x0013__2011 Data_2012 Forecast" xfId="2431"/>
    <cellStyle name="_x0013__2011 Data_2012 Forecast 2" xfId="2432"/>
    <cellStyle name="_x0013__2011 Data_Forecast Vs Actual Template" xfId="2433"/>
    <cellStyle name="_x0013__2011 Data_Forecast Vs Actual Template 2" xfId="2434"/>
    <cellStyle name="_2011 ERRA Forecast v394 092110 test" xfId="2435"/>
    <cellStyle name="_2011 ERRA Forecast v394 092110 test 2" xfId="2436"/>
    <cellStyle name="_x0013__2012 Actual" xfId="2437"/>
    <cellStyle name="_x0013__2012 Actual 2" xfId="2438"/>
    <cellStyle name="_x0013__2012 Actual 2 2" xfId="2439"/>
    <cellStyle name="_x0013__2012 Actual 3" xfId="2440"/>
    <cellStyle name="_x0013__2012 Data" xfId="2441"/>
    <cellStyle name="_x0013__2012 Data 2" xfId="2442"/>
    <cellStyle name="_x0013__Aqu forecast" xfId="2443"/>
    <cellStyle name="_x0013__Aqu forecast 2" xfId="2444"/>
    <cellStyle name="_x0013__Aqu forecast 2 2" xfId="2445"/>
    <cellStyle name="_x0013__Aqu forecast 3" xfId="2446"/>
    <cellStyle name="_Book15" xfId="2447"/>
    <cellStyle name="_Book15 2" xfId="2448"/>
    <cellStyle name="_Book2" xfId="2449"/>
    <cellStyle name="_Book2 2" xfId="2450"/>
    <cellStyle name="_Book6" xfId="2451"/>
    <cellStyle name="_Book6 2" xfId="2452"/>
    <cellStyle name="_Book6_Calc Greek Diffs" xfId="2453"/>
    <cellStyle name="_Book6_Calc Greek Diffs 2" xfId="2454"/>
    <cellStyle name="_Book6_Calc Greek Diffs_Forward AssumptionsPlusWorksheets" xfId="2455"/>
    <cellStyle name="_Book6_Calc Greek Diffs_PV GDC - Actual" xfId="2456"/>
    <cellStyle name="_Book6_Calc Greek Diffs_PV GDC - Actual 2" xfId="2457"/>
    <cellStyle name="_Book6_Calc Greek Diffs_PV GDC - Actual_Forward AssumptionsPlusWorksheets" xfId="2458"/>
    <cellStyle name="_Book6_Calc Spread Opt" xfId="2459"/>
    <cellStyle name="_Book6_Calc Spread Opt 2" xfId="2460"/>
    <cellStyle name="_Book6_Calc Spread Opt_Forward AssumptionsPlusWorksheets" xfId="2461"/>
    <cellStyle name="_Book6_Counterparties" xfId="2462"/>
    <cellStyle name="_Book6_Counterparties 2" xfId="2463"/>
    <cellStyle name="_Book6_Forward AssumptionsPlusWorksheets" xfId="2464"/>
    <cellStyle name="_Book6_Gas Input Screen" xfId="2465"/>
    <cellStyle name="_Book6_Gas Input Screen 2" xfId="2466"/>
    <cellStyle name="_Book6_Gas Input Screen_Forward AssumptionsPlusWorksheets" xfId="2467"/>
    <cellStyle name="_Book6_Greek Daily Changes" xfId="2468"/>
    <cellStyle name="_Book6_Greek Daily Changes 2" xfId="2469"/>
    <cellStyle name="_Book6_Greek Daily Changes_Forward AssumptionsPlusWorksheets" xfId="2470"/>
    <cellStyle name="_Book6_PnL Summary" xfId="2471"/>
    <cellStyle name="_Book6_PnL Summary 2" xfId="2472"/>
    <cellStyle name="_Book6_PV GDC - Actual" xfId="2473"/>
    <cellStyle name="_Book6_PV GDC - Actual 2" xfId="2474"/>
    <cellStyle name="_Book6_PV GDC - Actual_Forward AssumptionsPlusWorksheets" xfId="2475"/>
    <cellStyle name="_Book6_Rho Table" xfId="2476"/>
    <cellStyle name="_Book6_Rho Table 2" xfId="2477"/>
    <cellStyle name="_Book6_Rho Table_Forward AssumptionsPlusWorksheets" xfId="2478"/>
    <cellStyle name="_Book6_Sheet1" xfId="2479"/>
    <cellStyle name="_Book6_Sheet1 2" xfId="2480"/>
    <cellStyle name="_Book63" xfId="2481"/>
    <cellStyle name="_Book63 2" xfId="2482"/>
    <cellStyle name="_Book63_Calc Greek Diffs" xfId="2483"/>
    <cellStyle name="_Book63_Calc Greek Diffs 2" xfId="2484"/>
    <cellStyle name="_Book63_Calc Greek Diffs_Forward AssumptionsPlusWorksheets" xfId="2485"/>
    <cellStyle name="_Book63_Calc Greek Diffs_PV GDC - Actual" xfId="2486"/>
    <cellStyle name="_Book63_Calc Greek Diffs_PV GDC - Actual 2" xfId="2487"/>
    <cellStyle name="_Book63_Calc Greek Diffs_PV GDC - Actual_Forward AssumptionsPlusWorksheets" xfId="2488"/>
    <cellStyle name="_Book63_Calc Spread Opt" xfId="2489"/>
    <cellStyle name="_Book63_Calc Spread Opt 2" xfId="2490"/>
    <cellStyle name="_Book63_Calc Spread Opt_Forward AssumptionsPlusWorksheets" xfId="2491"/>
    <cellStyle name="_Book63_Counterparties" xfId="2492"/>
    <cellStyle name="_Book63_Counterparties 2" xfId="2493"/>
    <cellStyle name="_Book63_Forward AssumptionsPlusWorksheets" xfId="2494"/>
    <cellStyle name="_Book63_Gas Input Screen" xfId="2495"/>
    <cellStyle name="_Book63_Gas Input Screen 2" xfId="2496"/>
    <cellStyle name="_Book63_Gas Input Screen_Forward AssumptionsPlusWorksheets" xfId="2497"/>
    <cellStyle name="_Book63_Greek Daily Changes" xfId="2498"/>
    <cellStyle name="_Book63_Greek Daily Changes 2" xfId="2499"/>
    <cellStyle name="_Book63_Greek Daily Changes_Forward AssumptionsPlusWorksheets" xfId="2500"/>
    <cellStyle name="_Book63_PnL Summary" xfId="2501"/>
    <cellStyle name="_Book63_PnL Summary 2" xfId="2502"/>
    <cellStyle name="_Book63_PV GDC - Actual" xfId="2503"/>
    <cellStyle name="_Book63_PV GDC - Actual 2" xfId="2504"/>
    <cellStyle name="_Book63_PV GDC - Actual_Forward AssumptionsPlusWorksheets" xfId="2505"/>
    <cellStyle name="_Book63_Rho Table" xfId="2506"/>
    <cellStyle name="_Book63_Rho Table 2" xfId="2507"/>
    <cellStyle name="_Book63_Rho Table_Forward AssumptionsPlusWorksheets" xfId="2508"/>
    <cellStyle name="_Book63_Sheet1" xfId="2509"/>
    <cellStyle name="_Book63_Sheet1 2" xfId="2510"/>
    <cellStyle name="_CalPeak Model 5.24.06 - Final Equity Case v1" xfId="2293"/>
    <cellStyle name="_CalPeak Pro Forma v33" xfId="2294"/>
    <cellStyle name="_CCR" xfId="2511"/>
    <cellStyle name="_CCR 2" xfId="2512"/>
    <cellStyle name="_CFD 200601 RECON" xfId="2513"/>
    <cellStyle name="_CFD 200601 RECON 2" xfId="2514"/>
    <cellStyle name="_CFD 200601 RECON_Calc Greek Diffs" xfId="2515"/>
    <cellStyle name="_CFD 200601 RECON_Calc Greek Diffs 2" xfId="2516"/>
    <cellStyle name="_CFD 200601 RECON_Calc Greek Diffs_Forward AssumptionsPlusWorksheets" xfId="2517"/>
    <cellStyle name="_CFD 200601 RECON_Calc Greek Diffs_PV GDC - Actual" xfId="2518"/>
    <cellStyle name="_CFD 200601 RECON_Calc Greek Diffs_PV GDC - Actual 2" xfId="2519"/>
    <cellStyle name="_CFD 200601 RECON_Calc Greek Diffs_PV GDC - Actual_Forward AssumptionsPlusWorksheets" xfId="2520"/>
    <cellStyle name="_CFD 200601 RECON_Calc Spread Opt" xfId="2521"/>
    <cellStyle name="_CFD 200601 RECON_Calc Spread Opt 2" xfId="2522"/>
    <cellStyle name="_CFD 200601 RECON_Calc Spread Opt_Forward AssumptionsPlusWorksheets" xfId="2523"/>
    <cellStyle name="_CFD 200601 RECON_Counterparties" xfId="2524"/>
    <cellStyle name="_CFD 200601 RECON_Counterparties 2" xfId="2525"/>
    <cellStyle name="_CFD 200601 RECON_Forward AssumptionsPlusWorksheets" xfId="2526"/>
    <cellStyle name="_CFD 200601 RECON_Gas Input Screen" xfId="2527"/>
    <cellStyle name="_CFD 200601 RECON_Gas Input Screen 2" xfId="2528"/>
    <cellStyle name="_CFD 200601 RECON_Gas Input Screen_Forward AssumptionsPlusWorksheets" xfId="2529"/>
    <cellStyle name="_CFD 200601 RECON_Greek Daily Changes" xfId="2530"/>
    <cellStyle name="_CFD 200601 RECON_Greek Daily Changes 2" xfId="2531"/>
    <cellStyle name="_CFD 200601 RECON_Greek Daily Changes_Forward AssumptionsPlusWorksheets" xfId="2532"/>
    <cellStyle name="_CFD 200601 RECON_PnL Summary" xfId="2533"/>
    <cellStyle name="_CFD 200601 RECON_PnL Summary 2" xfId="2534"/>
    <cellStyle name="_CFD 200601 RECON_PV GDC - Actual" xfId="2535"/>
    <cellStyle name="_CFD 200601 RECON_PV GDC - Actual 2" xfId="2536"/>
    <cellStyle name="_CFD 200601 RECON_PV GDC - Actual_Forward AssumptionsPlusWorksheets" xfId="2537"/>
    <cellStyle name="_CFD 200601 RECON_Rho Table" xfId="2538"/>
    <cellStyle name="_CFD 200601 RECON_Rho Table 2" xfId="2539"/>
    <cellStyle name="_CFD 200601 RECON_Rho Table_Forward AssumptionsPlusWorksheets" xfId="2540"/>
    <cellStyle name="_CFD 200601 RECON_Sheet1" xfId="2541"/>
    <cellStyle name="_CFD 200601 RECON_Sheet1 2" xfId="2542"/>
    <cellStyle name="_CROSS CHECKS" xfId="2543"/>
    <cellStyle name="_CROSS CHECKS 2" xfId="2544"/>
    <cellStyle name="_DATA" xfId="2545"/>
    <cellStyle name="_DWR cash frcst_PM14_2010-ERRA-MWh_4-14-09gas_ver20b" xfId="2546"/>
    <cellStyle name="_DWR cash frcst_PM14_2010-ERRA-MWh_4-14-09gas_ver20b 2" xfId="2547"/>
    <cellStyle name="_DWR cash frcst_PM15_2010ERRA_9-17-09gas_ver22d" xfId="2548"/>
    <cellStyle name="_DWR cash frcst_PM15_2010ERRA_9-17-09gas_ver22d 2" xfId="2549"/>
    <cellStyle name="_x0013__Forecast Vs Actual Template" xfId="2550"/>
    <cellStyle name="_x0013__Forecast Vs Actual Template 2" xfId="2551"/>
    <cellStyle name="_Fossil" xfId="2552"/>
    <cellStyle name="_Fossil 2" xfId="2553"/>
    <cellStyle name="_Fossil Costs" xfId="2554"/>
    <cellStyle name="_Fossil Costs 2" xfId="2555"/>
    <cellStyle name="_Gas Position" xfId="2556"/>
    <cellStyle name="_Gas Position 2" xfId="2557"/>
    <cellStyle name="_x0013__Generation and Renewables 2010 2011 (Brad Format)" xfId="2558"/>
    <cellStyle name="_x0013__Generation and Renewables 2010 2011 (Brad Format) 2" xfId="2559"/>
    <cellStyle name="_x0013__Generation and Renewables 2010 2011 (Brad Format) 2 2" xfId="2560"/>
    <cellStyle name="_x0013__Generation and Renewables 2010 2011 (Brad Format) 3" xfId="2561"/>
    <cellStyle name="_x0013__Hydro Forecast 2011-2012 (2)" xfId="2562"/>
    <cellStyle name="_x0013__Hydro Forecast 2011-2012 (2) 2" xfId="2563"/>
    <cellStyle name="_x0013__Hydro Forecast 2011-2012 (2) 2 2" xfId="2564"/>
    <cellStyle name="_x0013__Hydro Forecast 2011-2012 (2) 3" xfId="2565"/>
    <cellStyle name="_June 2009 Misc" xfId="2566"/>
    <cellStyle name="_June 2009 Misc 2" xfId="2567"/>
    <cellStyle name="_x0013__MWD Forecast" xfId="2568"/>
    <cellStyle name="_x0013__MWD Forecast 2" xfId="2569"/>
    <cellStyle name="_x0013__MWD Forecast 2 2" xfId="2570"/>
    <cellStyle name="_x0013__MWD Forecast 3" xfId="2571"/>
    <cellStyle name="_x0013__MWD Forecast_2012 Data" xfId="2572"/>
    <cellStyle name="_x0013__MWD Forecast_2012 Data 2" xfId="2573"/>
    <cellStyle name="_x0013__MWD Forecast_2012 Data 2 2" xfId="2574"/>
    <cellStyle name="_x0013__MWD Forecast_2012 Data 3" xfId="2575"/>
    <cellStyle name="_x0013__MWD Forecast_JG view" xfId="2576"/>
    <cellStyle name="_x0013__MWD Forecast_JG view 2" xfId="2577"/>
    <cellStyle name="_x0013__new vs old data" xfId="2578"/>
    <cellStyle name="_x0013__new vs old data 2" xfId="2579"/>
    <cellStyle name="_x0013__new vs old data 2 2" xfId="2580"/>
    <cellStyle name="_x0013__new vs old data 3" xfId="2581"/>
    <cellStyle name="_Output.REC" xfId="2295"/>
    <cellStyle name="_PGE_Compliance Report_August_2010 with data sheets" xfId="2582"/>
    <cellStyle name="_PGE_Compliance Report_August_2010 with data sheets 2" xfId="2583"/>
    <cellStyle name="_PGE_Compliance Report_August_2010_Draft 3" xfId="2584"/>
    <cellStyle name="_PGE_Compliance Report_August_2010_Draft 3 2" xfId="2585"/>
    <cellStyle name="_PGE_Compliance Report_August_2010_Draft 5" xfId="2586"/>
    <cellStyle name="_PGE_Compliance Report_August_2010_Draft 5 2" xfId="2587"/>
    <cellStyle name="_PGE_Compliance Report_August_2010_Draft 8" xfId="2588"/>
    <cellStyle name="_PGE_Compliance Report_August_2010_Draft 8 2" xfId="2589"/>
    <cellStyle name="_PGE_Compliance Report_August_2010_Final_Confidential M2LL" xfId="2590"/>
    <cellStyle name="_PGE_Compliance Report_August_2010_Final_Confidential M2LL 2" xfId="2591"/>
    <cellStyle name="_RDC Fwd Pricing" xfId="2592"/>
    <cellStyle name="_RDC Fwd Pricing 2" xfId="2593"/>
    <cellStyle name="_x0013__Regression Forecast Comparison" xfId="2594"/>
    <cellStyle name="_x0013__Regression Forecast Comparison 2" xfId="2595"/>
    <cellStyle name="_x0013__Regression Forecast Comparison 2 2" xfId="2596"/>
    <cellStyle name="_x0013__Regression Forecast Comparison 3" xfId="2597"/>
    <cellStyle name="_RPS Costs" xfId="2598"/>
    <cellStyle name="_RPS Costs 2" xfId="2599"/>
    <cellStyle name="_x0013__Ruiz OG Gen" xfId="2600"/>
    <cellStyle name="_x0013__Ruiz OG Gen 2" xfId="2601"/>
    <cellStyle name="_x0013__Ruiz OG Gen 2 2" xfId="2602"/>
    <cellStyle name="_x0013__Ruiz OG Gen 3" xfId="2603"/>
    <cellStyle name="_Sheet1" xfId="2604"/>
    <cellStyle name="_Sheet1 2" xfId="2605"/>
    <cellStyle name="_Sheet2" xfId="2606"/>
    <cellStyle name="_Sheet2 2" xfId="2607"/>
    <cellStyle name="_Sheet3" xfId="2608"/>
    <cellStyle name="_Sheet3 2" xfId="2609"/>
    <cellStyle name="_Sheet6" xfId="2610"/>
    <cellStyle name="_Sheet6 2" xfId="2611"/>
    <cellStyle name="_Tbl 2 2 EBal" xfId="2612"/>
    <cellStyle name="_Tbl 2 2 EBal 2" xfId="2613"/>
    <cellStyle name="_x0010_“+ˆÉ•?pý¤" xfId="6"/>
    <cellStyle name="_x0010_“+ˆÉ•?pý¤ 2" xfId="7"/>
    <cellStyle name="_x0010_“+ˆÉ•?pý¤ 2 2" xfId="2296"/>
    <cellStyle name="_x0010_“+ˆÉ•?pý¤ 2 2 2" xfId="2614"/>
    <cellStyle name="_x0010_“+ˆÉ•?pý¤ 2 2 3" xfId="2615"/>
    <cellStyle name="_x0010_“+ˆÉ•?pý¤ 2 3" xfId="2616"/>
    <cellStyle name="_x0010_“+ˆÉ•?pý¤ 2 3 2" xfId="2617"/>
    <cellStyle name="_x0010_“+ˆÉ•?pý¤ 2 4" xfId="2618"/>
    <cellStyle name="_x0010_“+ˆÉ•?pý¤ 2 5" xfId="2619"/>
    <cellStyle name="_x0010_“+ˆÉ•?pý¤ 3" xfId="2297"/>
    <cellStyle name="_x0010_“+ˆÉ•?pý¤ 3 2" xfId="2620"/>
    <cellStyle name="_x0010_“+ˆÉ•?pý¤ 3 3" xfId="2621"/>
    <cellStyle name="_x0010_“+ˆÉ•?pý¤ 4" xfId="2622"/>
    <cellStyle name="_x0010_“+ˆÉ•?pý¤ 4 2" xfId="2623"/>
    <cellStyle name="_x0010_“+ˆÉ•?pý¤ 5" xfId="2624"/>
    <cellStyle name="_x0010_“+ˆÉ•?pý¤ 5 2" xfId="2625"/>
    <cellStyle name="_x0010_“+ˆÉ•?pý¤ 6" xfId="2626"/>
    <cellStyle name="⁤⸰〰〰䍟剃 嬀　崀" xfId="15903"/>
    <cellStyle name="0" xfId="8"/>
    <cellStyle name="0 2" xfId="2627"/>
    <cellStyle name="0.00" xfId="2628"/>
    <cellStyle name="0.00 2" xfId="2629"/>
    <cellStyle name="1" xfId="2630"/>
    <cellStyle name="20% - Accent1" xfId="19654" builtinId="30" customBuiltin="1"/>
    <cellStyle name="20% - Accent1 10" xfId="2631"/>
    <cellStyle name="20% - Accent1 10 2" xfId="2632"/>
    <cellStyle name="20% - Accent1 10 3" xfId="19448"/>
    <cellStyle name="20% - Accent1 11" xfId="15963"/>
    <cellStyle name="20% - Accent1 12" xfId="16198"/>
    <cellStyle name="20% - Accent1 2" xfId="9"/>
    <cellStyle name="20% - Accent1 2 2" xfId="2633"/>
    <cellStyle name="20% - Accent1 2 2 2" xfId="2634"/>
    <cellStyle name="20% - Accent1 2 2 2 2" xfId="18430"/>
    <cellStyle name="20% - Accent1 2 2 2 3" xfId="18740"/>
    <cellStyle name="20% - Accent1 2 2 2 4" xfId="17625"/>
    <cellStyle name="20% - Accent1 2 2 2 5" xfId="19818"/>
    <cellStyle name="20% - Accent1 2 2 3" xfId="2635"/>
    <cellStyle name="20% - Accent1 2 2 3 2" xfId="2636"/>
    <cellStyle name="20% - Accent1 2 2 3 2 2" xfId="2637"/>
    <cellStyle name="20% - Accent1 2 2 3 3" xfId="2638"/>
    <cellStyle name="20% - Accent1 2 2 3 4" xfId="17958"/>
    <cellStyle name="20% - Accent1 2 2 4" xfId="2639"/>
    <cellStyle name="20% - Accent1 2 2 4 2" xfId="2640"/>
    <cellStyle name="20% - Accent1 2 2 4 3" xfId="18678"/>
    <cellStyle name="20% - Accent1 2 2 5" xfId="2641"/>
    <cellStyle name="20% - Accent1 2 2 5 2" xfId="16560"/>
    <cellStyle name="20% - Accent1 2 2 6" xfId="2642"/>
    <cellStyle name="20% - Accent1 2 2 6 2" xfId="2643"/>
    <cellStyle name="20% - Accent1 2 2 7" xfId="16312"/>
    <cellStyle name="20% - Accent1 2 3" xfId="2644"/>
    <cellStyle name="20% - Accent1 2 3 2" xfId="2645"/>
    <cellStyle name="20% - Accent1 2 3 2 2" xfId="18387"/>
    <cellStyle name="20% - Accent1 2 3 2 3" xfId="19123"/>
    <cellStyle name="20% - Accent1 2 3 2 4" xfId="17582"/>
    <cellStyle name="20% - Accent1 2 3 3" xfId="18049"/>
    <cellStyle name="20% - Accent1 2 3 4" xfId="18709"/>
    <cellStyle name="20% - Accent1 2 3 5" xfId="17079"/>
    <cellStyle name="20% - Accent1 2 3 6" xfId="19776"/>
    <cellStyle name="20% - Accent1 2 4" xfId="2646"/>
    <cellStyle name="20% - Accent1 2 4 2" xfId="16911"/>
    <cellStyle name="20% - Accent1 2 5" xfId="2647"/>
    <cellStyle name="20% - Accent1 2 5 2" xfId="2648"/>
    <cellStyle name="20% - Accent1 2 5 3" xfId="17957"/>
    <cellStyle name="20% - Accent1 2 6" xfId="2649"/>
    <cellStyle name="20% - Accent1 2 6 2" xfId="18649"/>
    <cellStyle name="20% - Accent1 2 7" xfId="2650"/>
    <cellStyle name="20% - Accent1 2 7 2" xfId="16559"/>
    <cellStyle name="20% - Accent1 2 8" xfId="16267"/>
    <cellStyle name="20% - Accent1 3" xfId="2651"/>
    <cellStyle name="20% - Accent1 3 2" xfId="2652"/>
    <cellStyle name="20% - Accent1 3 2 2" xfId="2653"/>
    <cellStyle name="20% - Accent1 3 2 2 2" xfId="2654"/>
    <cellStyle name="20% - Accent1 3 2 2 2 2" xfId="2655"/>
    <cellStyle name="20% - Accent1 3 2 2 2 3" xfId="18421"/>
    <cellStyle name="20% - Accent1 3 2 2 3" xfId="2656"/>
    <cellStyle name="20% - Accent1 3 2 2 3 2" xfId="19151"/>
    <cellStyle name="20% - Accent1 3 2 2 4" xfId="17616"/>
    <cellStyle name="20% - Accent1 3 2 3" xfId="2657"/>
    <cellStyle name="20% - Accent1 3 2 3 2" xfId="2658"/>
    <cellStyle name="20% - Accent1 3 2 3 3" xfId="18076"/>
    <cellStyle name="20% - Accent1 3 2 4" xfId="2659"/>
    <cellStyle name="20% - Accent1 3 2 4 2" xfId="18724"/>
    <cellStyle name="20% - Accent1 3 2 5" xfId="2660"/>
    <cellStyle name="20% - Accent1 3 2 5 2" xfId="2661"/>
    <cellStyle name="20% - Accent1 3 2 6" xfId="2662"/>
    <cellStyle name="20% - Accent1 3 2 6 2" xfId="2663"/>
    <cellStyle name="20% - Accent1 3 2 7" xfId="17109"/>
    <cellStyle name="20% - Accent1 3 3" xfId="2664"/>
    <cellStyle name="20% - Accent1 3 3 2" xfId="2665"/>
    <cellStyle name="20% - Accent1 3 3 2 2" xfId="2666"/>
    <cellStyle name="20% - Accent1 3 3 3" xfId="2667"/>
    <cellStyle name="20% - Accent1 3 3 4" xfId="16940"/>
    <cellStyle name="20% - Accent1 3 3 5" xfId="19838"/>
    <cellStyle name="20% - Accent1 3 4" xfId="2668"/>
    <cellStyle name="20% - Accent1 3 4 2" xfId="2669"/>
    <cellStyle name="20% - Accent1 3 4 3" xfId="17959"/>
    <cellStyle name="20% - Accent1 3 5" xfId="2670"/>
    <cellStyle name="20% - Accent1 3 5 2" xfId="18662"/>
    <cellStyle name="20% - Accent1 3 6" xfId="2671"/>
    <cellStyle name="20% - Accent1 3 6 2" xfId="2672"/>
    <cellStyle name="20% - Accent1 3 6 3" xfId="16561"/>
    <cellStyle name="20% - Accent1 3 7" xfId="2673"/>
    <cellStyle name="20% - Accent1 3 7 2" xfId="2674"/>
    <cellStyle name="20% - Accent1 3 8" xfId="2675"/>
    <cellStyle name="20% - Accent1 3 9" xfId="16303"/>
    <cellStyle name="20% - Accent1 4" xfId="2676"/>
    <cellStyle name="20% - Accent1 4 2" xfId="2677"/>
    <cellStyle name="20% - Accent1 4 2 2" xfId="2678"/>
    <cellStyle name="20% - Accent1 4 2 2 2" xfId="2679"/>
    <cellStyle name="20% - Accent1 4 2 2 2 2" xfId="2680"/>
    <cellStyle name="20% - Accent1 4 2 2 2 3" xfId="18436"/>
    <cellStyle name="20% - Accent1 4 2 2 3" xfId="2681"/>
    <cellStyle name="20% - Accent1 4 2 2 3 2" xfId="19159"/>
    <cellStyle name="20% - Accent1 4 2 2 4" xfId="17631"/>
    <cellStyle name="20% - Accent1 4 2 3" xfId="2682"/>
    <cellStyle name="20% - Accent1 4 2 3 2" xfId="2683"/>
    <cellStyle name="20% - Accent1 4 2 3 3" xfId="18084"/>
    <cellStyle name="20% - Accent1 4 2 4" xfId="2684"/>
    <cellStyle name="20% - Accent1 4 2 4 2" xfId="18818"/>
    <cellStyle name="20% - Accent1 4 2 5" xfId="2685"/>
    <cellStyle name="20% - Accent1 4 2 5 2" xfId="2686"/>
    <cellStyle name="20% - Accent1 4 2 6" xfId="2687"/>
    <cellStyle name="20% - Accent1 4 2 6 2" xfId="2688"/>
    <cellStyle name="20% - Accent1 4 2 7" xfId="17117"/>
    <cellStyle name="20% - Accent1 4 3" xfId="2689"/>
    <cellStyle name="20% - Accent1 4 3 2" xfId="2690"/>
    <cellStyle name="20% - Accent1 4 3 3" xfId="2691"/>
    <cellStyle name="20% - Accent1 4 3 4" xfId="18692"/>
    <cellStyle name="20% - Accent1 4 4" xfId="2692"/>
    <cellStyle name="20% - Accent1 4 4 2" xfId="2693"/>
    <cellStyle name="20% - Accent1 4 4 3" xfId="16883"/>
    <cellStyle name="20% - Accent1 4 5" xfId="2694"/>
    <cellStyle name="20% - Accent1 4 6" xfId="2695"/>
    <cellStyle name="20% - Accent1 4 6 2" xfId="2696"/>
    <cellStyle name="20% - Accent1 4 7" xfId="2697"/>
    <cellStyle name="20% - Accent1 4 7 2" xfId="2698"/>
    <cellStyle name="20% - Accent1 4 8" xfId="2699"/>
    <cellStyle name="20% - Accent1 4 9" xfId="16319"/>
    <cellStyle name="20% - Accent1 5" xfId="2700"/>
    <cellStyle name="20% - Accent1 5 2" xfId="2701"/>
    <cellStyle name="20% - Accent1 5 2 2" xfId="2702"/>
    <cellStyle name="20% - Accent1 5 2 2 2" xfId="2703"/>
    <cellStyle name="20% - Accent1 5 2 2 2 2" xfId="2704"/>
    <cellStyle name="20% - Accent1 5 2 2 3" xfId="2705"/>
    <cellStyle name="20% - Accent1 5 2 3" xfId="2706"/>
    <cellStyle name="20% - Accent1 5 2 3 2" xfId="2707"/>
    <cellStyle name="20% - Accent1 5 2 4" xfId="2708"/>
    <cellStyle name="20% - Accent1 5 2 5" xfId="18258"/>
    <cellStyle name="20% - Accent1 5 3" xfId="2709"/>
    <cellStyle name="20% - Accent1 5 3 2" xfId="18994"/>
    <cellStyle name="20% - Accent1 5 4" xfId="2710"/>
    <cellStyle name="20% - Accent1 5 5" xfId="17453"/>
    <cellStyle name="20% - Accent1 6" xfId="2711"/>
    <cellStyle name="20% - Accent1 6 2" xfId="2712"/>
    <cellStyle name="20% - Accent1 6 2 2" xfId="2713"/>
    <cellStyle name="20% - Accent1 6 2 3" xfId="2714"/>
    <cellStyle name="20% - Accent1 6 2 4" xfId="18566"/>
    <cellStyle name="20% - Accent1 6 3" xfId="2715"/>
    <cellStyle name="20% - Accent1 6 3 2" xfId="2716"/>
    <cellStyle name="20% - Accent1 6 3 2 2" xfId="2717"/>
    <cellStyle name="20% - Accent1 6 3 3" xfId="2718"/>
    <cellStyle name="20% - Accent1 6 3 4" xfId="19288"/>
    <cellStyle name="20% - Accent1 6 4" xfId="2719"/>
    <cellStyle name="20% - Accent1 6 4 2" xfId="2720"/>
    <cellStyle name="20% - Accent1 6 5" xfId="2721"/>
    <cellStyle name="20% - Accent1 6 6" xfId="17761"/>
    <cellStyle name="20% - Accent1 7" xfId="2722"/>
    <cellStyle name="20% - Accent1 7 2" xfId="2723"/>
    <cellStyle name="20% - Accent1 7 2 2" xfId="2724"/>
    <cellStyle name="20% - Accent1 7 2 2 2" xfId="2725"/>
    <cellStyle name="20% - Accent1 7 2 3" xfId="2726"/>
    <cellStyle name="20% - Accent1 7 3" xfId="2727"/>
    <cellStyle name="20% - Accent1 7 3 2" xfId="2728"/>
    <cellStyle name="20% - Accent1 7 4" xfId="2729"/>
    <cellStyle name="20% - Accent1 7 5" xfId="17945"/>
    <cellStyle name="20% - Accent1 8" xfId="2730"/>
    <cellStyle name="20% - Accent1 8 2" xfId="2731"/>
    <cellStyle name="20% - Accent1 8 3" xfId="2732"/>
    <cellStyle name="20% - Accent1 8 4" xfId="18629"/>
    <cellStyle name="20% - Accent1 9" xfId="2733"/>
    <cellStyle name="20% - Accent1 9 2" xfId="2734"/>
    <cellStyle name="20% - Accent1 9 3" xfId="16532"/>
    <cellStyle name="20% - Accent2" xfId="19658" builtinId="34" customBuiltin="1"/>
    <cellStyle name="20% - Accent2 10" xfId="2735"/>
    <cellStyle name="20% - Accent2 10 2" xfId="2736"/>
    <cellStyle name="20% - Accent2 10 3" xfId="19450"/>
    <cellStyle name="20% - Accent2 11" xfId="15964"/>
    <cellStyle name="20% - Accent2 12" xfId="16202"/>
    <cellStyle name="20% - Accent2 2" xfId="10"/>
    <cellStyle name="20% - Accent2 2 2" xfId="2737"/>
    <cellStyle name="20% - Accent2 2 2 2" xfId="2738"/>
    <cellStyle name="20% - Accent2 2 2 2 2" xfId="18402"/>
    <cellStyle name="20% - Accent2 2 2 2 3" xfId="18742"/>
    <cellStyle name="20% - Accent2 2 2 2 4" xfId="17597"/>
    <cellStyle name="20% - Accent2 2 2 2 5" xfId="19809"/>
    <cellStyle name="20% - Accent2 2 2 3" xfId="2739"/>
    <cellStyle name="20% - Accent2 2 2 3 2" xfId="2740"/>
    <cellStyle name="20% - Accent2 2 2 3 2 2" xfId="2741"/>
    <cellStyle name="20% - Accent2 2 2 3 3" xfId="2742"/>
    <cellStyle name="20% - Accent2 2 2 3 4" xfId="17961"/>
    <cellStyle name="20% - Accent2 2 2 4" xfId="2743"/>
    <cellStyle name="20% - Accent2 2 2 4 2" xfId="2744"/>
    <cellStyle name="20% - Accent2 2 2 4 3" xfId="18680"/>
    <cellStyle name="20% - Accent2 2 2 5" xfId="2745"/>
    <cellStyle name="20% - Accent2 2 2 5 2" xfId="16563"/>
    <cellStyle name="20% - Accent2 2 2 6" xfId="2746"/>
    <cellStyle name="20% - Accent2 2 2 6 2" xfId="2747"/>
    <cellStyle name="20% - Accent2 2 2 7" xfId="16282"/>
    <cellStyle name="20% - Accent2 2 3" xfId="2748"/>
    <cellStyle name="20% - Accent2 2 3 2" xfId="2749"/>
    <cellStyle name="20% - Accent2 2 3 2 2" xfId="18389"/>
    <cellStyle name="20% - Accent2 2 3 2 3" xfId="19125"/>
    <cellStyle name="20% - Accent2 2 3 2 4" xfId="17584"/>
    <cellStyle name="20% - Accent2 2 3 3" xfId="18051"/>
    <cellStyle name="20% - Accent2 2 3 4" xfId="18713"/>
    <cellStyle name="20% - Accent2 2 3 5" xfId="17081"/>
    <cellStyle name="20% - Accent2 2 3 6" xfId="19777"/>
    <cellStyle name="20% - Accent2 2 4" xfId="2750"/>
    <cellStyle name="20% - Accent2 2 4 2" xfId="16912"/>
    <cellStyle name="20% - Accent2 2 5" xfId="2751"/>
    <cellStyle name="20% - Accent2 2 5 2" xfId="2752"/>
    <cellStyle name="20% - Accent2 2 5 3" xfId="17960"/>
    <cellStyle name="20% - Accent2 2 6" xfId="2753"/>
    <cellStyle name="20% - Accent2 2 6 2" xfId="18651"/>
    <cellStyle name="20% - Accent2 2 7" xfId="2754"/>
    <cellStyle name="20% - Accent2 2 7 2" xfId="16562"/>
    <cellStyle name="20% - Accent2 2 8" xfId="16269"/>
    <cellStyle name="20% - Accent2 3" xfId="2755"/>
    <cellStyle name="20% - Accent2 3 2" xfId="2756"/>
    <cellStyle name="20% - Accent2 3 2 2" xfId="2757"/>
    <cellStyle name="20% - Accent2 3 2 2 2" xfId="2758"/>
    <cellStyle name="20% - Accent2 3 2 2 2 2" xfId="2759"/>
    <cellStyle name="20% - Accent2 3 2 2 2 3" xfId="18398"/>
    <cellStyle name="20% - Accent2 3 2 2 3" xfId="2760"/>
    <cellStyle name="20% - Accent2 3 2 2 3 2" xfId="19134"/>
    <cellStyle name="20% - Accent2 3 2 2 4" xfId="17593"/>
    <cellStyle name="20% - Accent2 3 2 3" xfId="2761"/>
    <cellStyle name="20% - Accent2 3 2 3 2" xfId="2762"/>
    <cellStyle name="20% - Accent2 3 2 3 3" xfId="18060"/>
    <cellStyle name="20% - Accent2 3 2 4" xfId="2763"/>
    <cellStyle name="20% - Accent2 3 2 4 2" xfId="18726"/>
    <cellStyle name="20% - Accent2 3 2 5" xfId="2764"/>
    <cellStyle name="20% - Accent2 3 2 5 2" xfId="2765"/>
    <cellStyle name="20% - Accent2 3 2 6" xfId="2766"/>
    <cellStyle name="20% - Accent2 3 2 6 2" xfId="2767"/>
    <cellStyle name="20% - Accent2 3 2 7" xfId="17090"/>
    <cellStyle name="20% - Accent2 3 3" xfId="2768"/>
    <cellStyle name="20% - Accent2 3 3 2" xfId="2769"/>
    <cellStyle name="20% - Accent2 3 3 2 2" xfId="2770"/>
    <cellStyle name="20% - Accent2 3 3 3" xfId="2771"/>
    <cellStyle name="20% - Accent2 3 3 4" xfId="16941"/>
    <cellStyle name="20% - Accent2 3 3 5" xfId="19842"/>
    <cellStyle name="20% - Accent2 3 4" xfId="2772"/>
    <cellStyle name="20% - Accent2 3 4 2" xfId="2773"/>
    <cellStyle name="20% - Accent2 3 4 3" xfId="17962"/>
    <cellStyle name="20% - Accent2 3 5" xfId="2774"/>
    <cellStyle name="20% - Accent2 3 5 2" xfId="18664"/>
    <cellStyle name="20% - Accent2 3 6" xfId="2775"/>
    <cellStyle name="20% - Accent2 3 6 2" xfId="2776"/>
    <cellStyle name="20% - Accent2 3 6 3" xfId="16564"/>
    <cellStyle name="20% - Accent2 3 7" xfId="2777"/>
    <cellStyle name="20% - Accent2 3 7 2" xfId="2778"/>
    <cellStyle name="20% - Accent2 3 8" xfId="2779"/>
    <cellStyle name="20% - Accent2 3 9" xfId="16278"/>
    <cellStyle name="20% - Accent2 4" xfId="2780"/>
    <cellStyle name="20% - Accent2 4 2" xfId="2781"/>
    <cellStyle name="20% - Accent2 4 2 2" xfId="2782"/>
    <cellStyle name="20% - Accent2 4 2 2 2" xfId="2783"/>
    <cellStyle name="20% - Accent2 4 2 2 2 2" xfId="2784"/>
    <cellStyle name="20% - Accent2 4 2 2 2 3" xfId="18410"/>
    <cellStyle name="20% - Accent2 4 2 2 3" xfId="2785"/>
    <cellStyle name="20% - Accent2 4 2 2 3 2" xfId="19141"/>
    <cellStyle name="20% - Accent2 4 2 2 4" xfId="17605"/>
    <cellStyle name="20% - Accent2 4 2 3" xfId="2786"/>
    <cellStyle name="20% - Accent2 4 2 3 2" xfId="2787"/>
    <cellStyle name="20% - Accent2 4 2 3 3" xfId="18067"/>
    <cellStyle name="20% - Accent2 4 2 4" xfId="2788"/>
    <cellStyle name="20% - Accent2 4 2 4 2" xfId="18814"/>
    <cellStyle name="20% - Accent2 4 2 5" xfId="2789"/>
    <cellStyle name="20% - Accent2 4 2 5 2" xfId="2790"/>
    <cellStyle name="20% - Accent2 4 2 6" xfId="2791"/>
    <cellStyle name="20% - Accent2 4 2 6 2" xfId="2792"/>
    <cellStyle name="20% - Accent2 4 2 7" xfId="17097"/>
    <cellStyle name="20% - Accent2 4 3" xfId="2793"/>
    <cellStyle name="20% - Accent2 4 3 2" xfId="2794"/>
    <cellStyle name="20% - Accent2 4 3 3" xfId="2795"/>
    <cellStyle name="20% - Accent2 4 3 4" xfId="18694"/>
    <cellStyle name="20% - Accent2 4 4" xfId="2796"/>
    <cellStyle name="20% - Accent2 4 4 2" xfId="2797"/>
    <cellStyle name="20% - Accent2 4 4 3" xfId="16884"/>
    <cellStyle name="20% - Accent2 4 5" xfId="2798"/>
    <cellStyle name="20% - Accent2 4 6" xfId="2799"/>
    <cellStyle name="20% - Accent2 4 6 2" xfId="2800"/>
    <cellStyle name="20% - Accent2 4 7" xfId="2801"/>
    <cellStyle name="20% - Accent2 4 7 2" xfId="2802"/>
    <cellStyle name="20% - Accent2 4 8" xfId="2803"/>
    <cellStyle name="20% - Accent2 4 9" xfId="16290"/>
    <cellStyle name="20% - Accent2 5" xfId="2804"/>
    <cellStyle name="20% - Accent2 5 2" xfId="2805"/>
    <cellStyle name="20% - Accent2 5 2 2" xfId="2806"/>
    <cellStyle name="20% - Accent2 5 2 2 2" xfId="2807"/>
    <cellStyle name="20% - Accent2 5 2 2 2 2" xfId="2808"/>
    <cellStyle name="20% - Accent2 5 2 2 3" xfId="2809"/>
    <cellStyle name="20% - Accent2 5 2 3" xfId="2810"/>
    <cellStyle name="20% - Accent2 5 2 3 2" xfId="2811"/>
    <cellStyle name="20% - Accent2 5 2 4" xfId="2812"/>
    <cellStyle name="20% - Accent2 5 2 5" xfId="18261"/>
    <cellStyle name="20% - Accent2 5 3" xfId="2813"/>
    <cellStyle name="20% - Accent2 5 3 2" xfId="18997"/>
    <cellStyle name="20% - Accent2 5 4" xfId="2814"/>
    <cellStyle name="20% - Accent2 5 5" xfId="17456"/>
    <cellStyle name="20% - Accent2 6" xfId="2815"/>
    <cellStyle name="20% - Accent2 6 2" xfId="2816"/>
    <cellStyle name="20% - Accent2 6 2 2" xfId="2817"/>
    <cellStyle name="20% - Accent2 6 2 3" xfId="2818"/>
    <cellStyle name="20% - Accent2 6 2 4" xfId="18568"/>
    <cellStyle name="20% - Accent2 6 3" xfId="2819"/>
    <cellStyle name="20% - Accent2 6 3 2" xfId="2820"/>
    <cellStyle name="20% - Accent2 6 3 2 2" xfId="2821"/>
    <cellStyle name="20% - Accent2 6 3 3" xfId="2822"/>
    <cellStyle name="20% - Accent2 6 3 4" xfId="19290"/>
    <cellStyle name="20% - Accent2 6 4" xfId="2823"/>
    <cellStyle name="20% - Accent2 6 4 2" xfId="2824"/>
    <cellStyle name="20% - Accent2 6 5" xfId="2825"/>
    <cellStyle name="20% - Accent2 6 6" xfId="17763"/>
    <cellStyle name="20% - Accent2 7" xfId="2826"/>
    <cellStyle name="20% - Accent2 7 2" xfId="2827"/>
    <cellStyle name="20% - Accent2 7 2 2" xfId="2828"/>
    <cellStyle name="20% - Accent2 7 2 2 2" xfId="2829"/>
    <cellStyle name="20% - Accent2 7 2 3" xfId="2830"/>
    <cellStyle name="20% - Accent2 7 3" xfId="2831"/>
    <cellStyle name="20% - Accent2 7 3 2" xfId="2832"/>
    <cellStyle name="20% - Accent2 7 4" xfId="2833"/>
    <cellStyle name="20% - Accent2 7 5" xfId="17947"/>
    <cellStyle name="20% - Accent2 8" xfId="2834"/>
    <cellStyle name="20% - Accent2 8 2" xfId="2835"/>
    <cellStyle name="20% - Accent2 8 3" xfId="2836"/>
    <cellStyle name="20% - Accent2 8 4" xfId="18631"/>
    <cellStyle name="20% - Accent2 9" xfId="2837"/>
    <cellStyle name="20% - Accent2 9 2" xfId="2838"/>
    <cellStyle name="20% - Accent2 9 3" xfId="16536"/>
    <cellStyle name="20% - Accent3" xfId="19662" builtinId="38" customBuiltin="1"/>
    <cellStyle name="20% - Accent3 10" xfId="2839"/>
    <cellStyle name="20% - Accent3 10 2" xfId="2840"/>
    <cellStyle name="20% - Accent3 10 3" xfId="19452"/>
    <cellStyle name="20% - Accent3 11" xfId="15965"/>
    <cellStyle name="20% - Accent3 12" xfId="16206"/>
    <cellStyle name="20% - Accent3 2" xfId="11"/>
    <cellStyle name="20% - Accent3 2 2" xfId="2841"/>
    <cellStyle name="20% - Accent3 2 2 2" xfId="2842"/>
    <cellStyle name="20% - Accent3 2 2 2 2" xfId="18404"/>
    <cellStyle name="20% - Accent3 2 2 2 3" xfId="18744"/>
    <cellStyle name="20% - Accent3 2 2 2 4" xfId="17599"/>
    <cellStyle name="20% - Accent3 2 2 2 5" xfId="19804"/>
    <cellStyle name="20% - Accent3 2 2 3" xfId="2843"/>
    <cellStyle name="20% - Accent3 2 2 3 2" xfId="2844"/>
    <cellStyle name="20% - Accent3 2 2 3 2 2" xfId="2845"/>
    <cellStyle name="20% - Accent3 2 2 3 3" xfId="2846"/>
    <cellStyle name="20% - Accent3 2 2 3 4" xfId="17964"/>
    <cellStyle name="20% - Accent3 2 2 4" xfId="2847"/>
    <cellStyle name="20% - Accent3 2 2 4 2" xfId="2848"/>
    <cellStyle name="20% - Accent3 2 2 4 3" xfId="18682"/>
    <cellStyle name="20% - Accent3 2 2 5" xfId="2849"/>
    <cellStyle name="20% - Accent3 2 2 5 2" xfId="16566"/>
    <cellStyle name="20% - Accent3 2 2 6" xfId="2850"/>
    <cellStyle name="20% - Accent3 2 2 6 2" xfId="2851"/>
    <cellStyle name="20% - Accent3 2 2 7" xfId="16284"/>
    <cellStyle name="20% - Accent3 2 3" xfId="2852"/>
    <cellStyle name="20% - Accent3 2 3 2" xfId="2853"/>
    <cellStyle name="20% - Accent3 2 3 2 2" xfId="18416"/>
    <cellStyle name="20% - Accent3 2 3 2 3" xfId="19146"/>
    <cellStyle name="20% - Accent3 2 3 2 4" xfId="17611"/>
    <cellStyle name="20% - Accent3 2 3 3" xfId="18071"/>
    <cellStyle name="20% - Accent3 2 3 4" xfId="18715"/>
    <cellStyle name="20% - Accent3 2 3 5" xfId="17104"/>
    <cellStyle name="20% - Accent3 2 3 6" xfId="19778"/>
    <cellStyle name="20% - Accent3 2 4" xfId="2854"/>
    <cellStyle name="20% - Accent3 2 4 2" xfId="16913"/>
    <cellStyle name="20% - Accent3 2 5" xfId="2855"/>
    <cellStyle name="20% - Accent3 2 5 2" xfId="2856"/>
    <cellStyle name="20% - Accent3 2 5 3" xfId="17963"/>
    <cellStyle name="20% - Accent3 2 6" xfId="2857"/>
    <cellStyle name="20% - Accent3 2 6 2" xfId="18653"/>
    <cellStyle name="20% - Accent3 2 7" xfId="2858"/>
    <cellStyle name="20% - Accent3 2 7 2" xfId="16565"/>
    <cellStyle name="20% - Accent3 2 8" xfId="16298"/>
    <cellStyle name="20% - Accent3 3" xfId="2859"/>
    <cellStyle name="20% - Accent3 3 2" xfId="2860"/>
    <cellStyle name="20% - Accent3 3 2 2" xfId="2861"/>
    <cellStyle name="20% - Accent3 3 2 2 2" xfId="2862"/>
    <cellStyle name="20% - Accent3 3 2 2 2 2" xfId="2863"/>
    <cellStyle name="20% - Accent3 3 2 2 2 3" xfId="18423"/>
    <cellStyle name="20% - Accent3 3 2 2 3" xfId="2864"/>
    <cellStyle name="20% - Accent3 3 2 2 3 2" xfId="19153"/>
    <cellStyle name="20% - Accent3 3 2 2 4" xfId="17618"/>
    <cellStyle name="20% - Accent3 3 2 3" xfId="2865"/>
    <cellStyle name="20% - Accent3 3 2 3 2" xfId="2866"/>
    <cellStyle name="20% - Accent3 3 2 3 3" xfId="18078"/>
    <cellStyle name="20% - Accent3 3 2 4" xfId="2867"/>
    <cellStyle name="20% - Accent3 3 2 4 2" xfId="18728"/>
    <cellStyle name="20% - Accent3 3 2 5" xfId="2868"/>
    <cellStyle name="20% - Accent3 3 2 5 2" xfId="2869"/>
    <cellStyle name="20% - Accent3 3 2 6" xfId="2870"/>
    <cellStyle name="20% - Accent3 3 2 6 2" xfId="2871"/>
    <cellStyle name="20% - Accent3 3 2 7" xfId="17111"/>
    <cellStyle name="20% - Accent3 3 3" xfId="2872"/>
    <cellStyle name="20% - Accent3 3 3 2" xfId="2873"/>
    <cellStyle name="20% - Accent3 3 3 2 2" xfId="2874"/>
    <cellStyle name="20% - Accent3 3 3 3" xfId="2875"/>
    <cellStyle name="20% - Accent3 3 3 4" xfId="16942"/>
    <cellStyle name="20% - Accent3 3 3 5" xfId="19846"/>
    <cellStyle name="20% - Accent3 3 4" xfId="2876"/>
    <cellStyle name="20% - Accent3 3 4 2" xfId="2877"/>
    <cellStyle name="20% - Accent3 3 4 3" xfId="17965"/>
    <cellStyle name="20% - Accent3 3 5" xfId="2878"/>
    <cellStyle name="20% - Accent3 3 5 2" xfId="18666"/>
    <cellStyle name="20% - Accent3 3 6" xfId="2879"/>
    <cellStyle name="20% - Accent3 3 6 2" xfId="2880"/>
    <cellStyle name="20% - Accent3 3 6 3" xfId="16567"/>
    <cellStyle name="20% - Accent3 3 7" xfId="2881"/>
    <cellStyle name="20% - Accent3 3 7 2" xfId="2882"/>
    <cellStyle name="20% - Accent3 3 8" xfId="2883"/>
    <cellStyle name="20% - Accent3 3 9" xfId="16305"/>
    <cellStyle name="20% - Accent3 4" xfId="2884"/>
    <cellStyle name="20% - Accent3 4 2" xfId="2885"/>
    <cellStyle name="20% - Accent3 4 2 2" xfId="2886"/>
    <cellStyle name="20% - Accent3 4 2 2 2" xfId="2887"/>
    <cellStyle name="20% - Accent3 4 2 2 2 2" xfId="2888"/>
    <cellStyle name="20% - Accent3 4 2 2 2 3" xfId="18438"/>
    <cellStyle name="20% - Accent3 4 2 2 3" xfId="2889"/>
    <cellStyle name="20% - Accent3 4 2 2 3 2" xfId="19161"/>
    <cellStyle name="20% - Accent3 4 2 2 4" xfId="17633"/>
    <cellStyle name="20% - Accent3 4 2 3" xfId="2890"/>
    <cellStyle name="20% - Accent3 4 2 3 2" xfId="2891"/>
    <cellStyle name="20% - Accent3 4 2 3 3" xfId="18086"/>
    <cellStyle name="20% - Accent3 4 2 4" xfId="2892"/>
    <cellStyle name="20% - Accent3 4 2 4 2" xfId="18820"/>
    <cellStyle name="20% - Accent3 4 2 5" xfId="2893"/>
    <cellStyle name="20% - Accent3 4 2 5 2" xfId="2894"/>
    <cellStyle name="20% - Accent3 4 2 6" xfId="2895"/>
    <cellStyle name="20% - Accent3 4 2 6 2" xfId="2896"/>
    <cellStyle name="20% - Accent3 4 2 7" xfId="17119"/>
    <cellStyle name="20% - Accent3 4 3" xfId="2897"/>
    <cellStyle name="20% - Accent3 4 3 2" xfId="2898"/>
    <cellStyle name="20% - Accent3 4 3 3" xfId="2899"/>
    <cellStyle name="20% - Accent3 4 3 4" xfId="18696"/>
    <cellStyle name="20% - Accent3 4 4" xfId="2900"/>
    <cellStyle name="20% - Accent3 4 4 2" xfId="2901"/>
    <cellStyle name="20% - Accent3 4 4 3" xfId="16885"/>
    <cellStyle name="20% - Accent3 4 5" xfId="2902"/>
    <cellStyle name="20% - Accent3 4 6" xfId="2903"/>
    <cellStyle name="20% - Accent3 4 6 2" xfId="2904"/>
    <cellStyle name="20% - Accent3 4 7" xfId="2905"/>
    <cellStyle name="20% - Accent3 4 7 2" xfId="2906"/>
    <cellStyle name="20% - Accent3 4 8" xfId="2907"/>
    <cellStyle name="20% - Accent3 4 9" xfId="16321"/>
    <cellStyle name="20% - Accent3 5" xfId="2908"/>
    <cellStyle name="20% - Accent3 5 2" xfId="2909"/>
    <cellStyle name="20% - Accent3 5 2 2" xfId="2910"/>
    <cellStyle name="20% - Accent3 5 2 2 2" xfId="2911"/>
    <cellStyle name="20% - Accent3 5 2 2 2 2" xfId="2912"/>
    <cellStyle name="20% - Accent3 5 2 2 3" xfId="2913"/>
    <cellStyle name="20% - Accent3 5 2 3" xfId="2914"/>
    <cellStyle name="20% - Accent3 5 2 3 2" xfId="2915"/>
    <cellStyle name="20% - Accent3 5 2 4" xfId="2916"/>
    <cellStyle name="20% - Accent3 5 2 5" xfId="18263"/>
    <cellStyle name="20% - Accent3 5 3" xfId="2917"/>
    <cellStyle name="20% - Accent3 5 3 2" xfId="18999"/>
    <cellStyle name="20% - Accent3 5 4" xfId="2918"/>
    <cellStyle name="20% - Accent3 5 5" xfId="17458"/>
    <cellStyle name="20% - Accent3 6" xfId="2919"/>
    <cellStyle name="20% - Accent3 6 2" xfId="2920"/>
    <cellStyle name="20% - Accent3 6 2 2" xfId="2921"/>
    <cellStyle name="20% - Accent3 6 2 3" xfId="2922"/>
    <cellStyle name="20% - Accent3 6 2 4" xfId="18570"/>
    <cellStyle name="20% - Accent3 6 3" xfId="2923"/>
    <cellStyle name="20% - Accent3 6 3 2" xfId="2924"/>
    <cellStyle name="20% - Accent3 6 3 2 2" xfId="2925"/>
    <cellStyle name="20% - Accent3 6 3 3" xfId="2926"/>
    <cellStyle name="20% - Accent3 6 3 4" xfId="19292"/>
    <cellStyle name="20% - Accent3 6 4" xfId="2927"/>
    <cellStyle name="20% - Accent3 6 4 2" xfId="2928"/>
    <cellStyle name="20% - Accent3 6 5" xfId="2929"/>
    <cellStyle name="20% - Accent3 6 6" xfId="17765"/>
    <cellStyle name="20% - Accent3 7" xfId="2930"/>
    <cellStyle name="20% - Accent3 7 2" xfId="2931"/>
    <cellStyle name="20% - Accent3 7 2 2" xfId="2932"/>
    <cellStyle name="20% - Accent3 7 2 2 2" xfId="2933"/>
    <cellStyle name="20% - Accent3 7 2 3" xfId="2934"/>
    <cellStyle name="20% - Accent3 7 3" xfId="2935"/>
    <cellStyle name="20% - Accent3 7 3 2" xfId="2936"/>
    <cellStyle name="20% - Accent3 7 4" xfId="2937"/>
    <cellStyle name="20% - Accent3 7 5" xfId="17949"/>
    <cellStyle name="20% - Accent3 8" xfId="2938"/>
    <cellStyle name="20% - Accent3 8 2" xfId="2939"/>
    <cellStyle name="20% - Accent3 8 3" xfId="2940"/>
    <cellStyle name="20% - Accent3 8 4" xfId="18634"/>
    <cellStyle name="20% - Accent3 9" xfId="2941"/>
    <cellStyle name="20% - Accent3 9 2" xfId="2942"/>
    <cellStyle name="20% - Accent3 9 3" xfId="16540"/>
    <cellStyle name="20% - Accent4" xfId="19666" builtinId="42" customBuiltin="1"/>
    <cellStyle name="20% - Accent4 10" xfId="2943"/>
    <cellStyle name="20% - Accent4 10 2" xfId="2944"/>
    <cellStyle name="20% - Accent4 10 3" xfId="19454"/>
    <cellStyle name="20% - Accent4 11" xfId="15966"/>
    <cellStyle name="20% - Accent4 12" xfId="16210"/>
    <cellStyle name="20% - Accent4 2" xfId="12"/>
    <cellStyle name="20% - Accent4 2 2" xfId="2945"/>
    <cellStyle name="20% - Accent4 2 2 2" xfId="2946"/>
    <cellStyle name="20% - Accent4 2 2 2 2" xfId="18432"/>
    <cellStyle name="20% - Accent4 2 2 2 3" xfId="18746"/>
    <cellStyle name="20% - Accent4 2 2 2 4" xfId="17627"/>
    <cellStyle name="20% - Accent4 2 2 2 5" xfId="19815"/>
    <cellStyle name="20% - Accent4 2 2 3" xfId="2947"/>
    <cellStyle name="20% - Accent4 2 2 3 2" xfId="2948"/>
    <cellStyle name="20% - Accent4 2 2 3 2 2" xfId="2949"/>
    <cellStyle name="20% - Accent4 2 2 3 3" xfId="2950"/>
    <cellStyle name="20% - Accent4 2 2 3 4" xfId="17967"/>
    <cellStyle name="20% - Accent4 2 2 4" xfId="2951"/>
    <cellStyle name="20% - Accent4 2 2 4 2" xfId="2952"/>
    <cellStyle name="20% - Accent4 2 2 4 3" xfId="18684"/>
    <cellStyle name="20% - Accent4 2 2 5" xfId="2953"/>
    <cellStyle name="20% - Accent4 2 2 5 2" xfId="16569"/>
    <cellStyle name="20% - Accent4 2 2 6" xfId="2954"/>
    <cellStyle name="20% - Accent4 2 2 6 2" xfId="2955"/>
    <cellStyle name="20% - Accent4 2 2 7" xfId="16314"/>
    <cellStyle name="20% - Accent4 2 3" xfId="2956"/>
    <cellStyle name="20% - Accent4 2 3 2" xfId="2957"/>
    <cellStyle name="20% - Accent4 2 3 2 2" xfId="18418"/>
    <cellStyle name="20% - Accent4 2 3 2 3" xfId="19148"/>
    <cellStyle name="20% - Accent4 2 3 2 4" xfId="17613"/>
    <cellStyle name="20% - Accent4 2 3 3" xfId="18073"/>
    <cellStyle name="20% - Accent4 2 3 4" xfId="18717"/>
    <cellStyle name="20% - Accent4 2 3 5" xfId="17106"/>
    <cellStyle name="20% - Accent4 2 3 6" xfId="19779"/>
    <cellStyle name="20% - Accent4 2 4" xfId="2958"/>
    <cellStyle name="20% - Accent4 2 4 2" xfId="16914"/>
    <cellStyle name="20% - Accent4 2 5" xfId="2959"/>
    <cellStyle name="20% - Accent4 2 5 2" xfId="2960"/>
    <cellStyle name="20% - Accent4 2 5 3" xfId="17966"/>
    <cellStyle name="20% - Accent4 2 6" xfId="2961"/>
    <cellStyle name="20% - Accent4 2 6 2" xfId="18655"/>
    <cellStyle name="20% - Accent4 2 7" xfId="2962"/>
    <cellStyle name="20% - Accent4 2 7 2" xfId="16568"/>
    <cellStyle name="20% - Accent4 2 8" xfId="16300"/>
    <cellStyle name="20% - Accent4 3" xfId="2963"/>
    <cellStyle name="20% - Accent4 3 2" xfId="2964"/>
    <cellStyle name="20% - Accent4 3 2 2" xfId="2965"/>
    <cellStyle name="20% - Accent4 3 2 2 2" xfId="2966"/>
    <cellStyle name="20% - Accent4 3 2 2 2 2" xfId="2967"/>
    <cellStyle name="20% - Accent4 3 2 2 2 3" xfId="18396"/>
    <cellStyle name="20% - Accent4 3 2 2 3" xfId="2968"/>
    <cellStyle name="20% - Accent4 3 2 2 3 2" xfId="19132"/>
    <cellStyle name="20% - Accent4 3 2 2 4" xfId="17591"/>
    <cellStyle name="20% - Accent4 3 2 3" xfId="2969"/>
    <cellStyle name="20% - Accent4 3 2 3 2" xfId="2970"/>
    <cellStyle name="20% - Accent4 3 2 3 3" xfId="18058"/>
    <cellStyle name="20% - Accent4 3 2 4" xfId="2971"/>
    <cellStyle name="20% - Accent4 3 2 4 2" xfId="18730"/>
    <cellStyle name="20% - Accent4 3 2 5" xfId="2972"/>
    <cellStyle name="20% - Accent4 3 2 5 2" xfId="2973"/>
    <cellStyle name="20% - Accent4 3 2 6" xfId="2974"/>
    <cellStyle name="20% - Accent4 3 2 6 2" xfId="2975"/>
    <cellStyle name="20% - Accent4 3 2 7" xfId="17088"/>
    <cellStyle name="20% - Accent4 3 3" xfId="2976"/>
    <cellStyle name="20% - Accent4 3 3 2" xfId="2977"/>
    <cellStyle name="20% - Accent4 3 3 2 2" xfId="2978"/>
    <cellStyle name="20% - Accent4 3 3 3" xfId="2979"/>
    <cellStyle name="20% - Accent4 3 3 4" xfId="16943"/>
    <cellStyle name="20% - Accent4 3 3 5" xfId="19850"/>
    <cellStyle name="20% - Accent4 3 4" xfId="2980"/>
    <cellStyle name="20% - Accent4 3 4 2" xfId="2981"/>
    <cellStyle name="20% - Accent4 3 4 3" xfId="17968"/>
    <cellStyle name="20% - Accent4 3 5" xfId="2982"/>
    <cellStyle name="20% - Accent4 3 5 2" xfId="18668"/>
    <cellStyle name="20% - Accent4 3 6" xfId="2983"/>
    <cellStyle name="20% - Accent4 3 6 2" xfId="2984"/>
    <cellStyle name="20% - Accent4 3 6 3" xfId="16570"/>
    <cellStyle name="20% - Accent4 3 7" xfId="2985"/>
    <cellStyle name="20% - Accent4 3 7 2" xfId="2986"/>
    <cellStyle name="20% - Accent4 3 8" xfId="2987"/>
    <cellStyle name="20% - Accent4 3 9" xfId="16276"/>
    <cellStyle name="20% - Accent4 4" xfId="2988"/>
    <cellStyle name="20% - Accent4 4 2" xfId="2989"/>
    <cellStyle name="20% - Accent4 4 2 2" xfId="2990"/>
    <cellStyle name="20% - Accent4 4 2 2 2" xfId="2991"/>
    <cellStyle name="20% - Accent4 4 2 2 2 2" xfId="2992"/>
    <cellStyle name="20% - Accent4 4 2 2 2 3" xfId="18408"/>
    <cellStyle name="20% - Accent4 4 2 2 3" xfId="2993"/>
    <cellStyle name="20% - Accent4 4 2 2 3 2" xfId="19139"/>
    <cellStyle name="20% - Accent4 4 2 2 4" xfId="17603"/>
    <cellStyle name="20% - Accent4 4 2 3" xfId="2994"/>
    <cellStyle name="20% - Accent4 4 2 3 2" xfId="2995"/>
    <cellStyle name="20% - Accent4 4 2 3 3" xfId="18065"/>
    <cellStyle name="20% - Accent4 4 2 4" xfId="2996"/>
    <cellStyle name="20% - Accent4 4 2 4 2" xfId="18812"/>
    <cellStyle name="20% - Accent4 4 2 5" xfId="2997"/>
    <cellStyle name="20% - Accent4 4 2 5 2" xfId="2998"/>
    <cellStyle name="20% - Accent4 4 2 6" xfId="2999"/>
    <cellStyle name="20% - Accent4 4 2 6 2" xfId="3000"/>
    <cellStyle name="20% - Accent4 4 2 7" xfId="17095"/>
    <cellStyle name="20% - Accent4 4 3" xfId="3001"/>
    <cellStyle name="20% - Accent4 4 3 2" xfId="3002"/>
    <cellStyle name="20% - Accent4 4 3 3" xfId="3003"/>
    <cellStyle name="20% - Accent4 4 3 4" xfId="18698"/>
    <cellStyle name="20% - Accent4 4 4" xfId="3004"/>
    <cellStyle name="20% - Accent4 4 4 2" xfId="3005"/>
    <cellStyle name="20% - Accent4 4 4 3" xfId="16886"/>
    <cellStyle name="20% - Accent4 4 5" xfId="3006"/>
    <cellStyle name="20% - Accent4 4 6" xfId="3007"/>
    <cellStyle name="20% - Accent4 4 6 2" xfId="3008"/>
    <cellStyle name="20% - Accent4 4 7" xfId="3009"/>
    <cellStyle name="20% - Accent4 4 7 2" xfId="3010"/>
    <cellStyle name="20% - Accent4 4 8" xfId="3011"/>
    <cellStyle name="20% - Accent4 4 9" xfId="16288"/>
    <cellStyle name="20% - Accent4 5" xfId="3012"/>
    <cellStyle name="20% - Accent4 5 2" xfId="3013"/>
    <cellStyle name="20% - Accent4 5 2 2" xfId="3014"/>
    <cellStyle name="20% - Accent4 5 2 2 2" xfId="3015"/>
    <cellStyle name="20% - Accent4 5 2 2 2 2" xfId="3016"/>
    <cellStyle name="20% - Accent4 5 2 2 3" xfId="3017"/>
    <cellStyle name="20% - Accent4 5 2 3" xfId="3018"/>
    <cellStyle name="20% - Accent4 5 2 3 2" xfId="3019"/>
    <cellStyle name="20% - Accent4 5 2 4" xfId="3020"/>
    <cellStyle name="20% - Accent4 5 2 5" xfId="18266"/>
    <cellStyle name="20% - Accent4 5 3" xfId="3021"/>
    <cellStyle name="20% - Accent4 5 3 2" xfId="19002"/>
    <cellStyle name="20% - Accent4 5 4" xfId="3022"/>
    <cellStyle name="20% - Accent4 5 5" xfId="17461"/>
    <cellStyle name="20% - Accent4 6" xfId="3023"/>
    <cellStyle name="20% - Accent4 6 2" xfId="3024"/>
    <cellStyle name="20% - Accent4 6 2 2" xfId="3025"/>
    <cellStyle name="20% - Accent4 6 2 3" xfId="3026"/>
    <cellStyle name="20% - Accent4 6 2 4" xfId="18572"/>
    <cellStyle name="20% - Accent4 6 3" xfId="3027"/>
    <cellStyle name="20% - Accent4 6 3 2" xfId="3028"/>
    <cellStyle name="20% - Accent4 6 3 2 2" xfId="3029"/>
    <cellStyle name="20% - Accent4 6 3 3" xfId="3030"/>
    <cellStyle name="20% - Accent4 6 3 4" xfId="19294"/>
    <cellStyle name="20% - Accent4 6 4" xfId="3031"/>
    <cellStyle name="20% - Accent4 6 4 2" xfId="3032"/>
    <cellStyle name="20% - Accent4 6 5" xfId="3033"/>
    <cellStyle name="20% - Accent4 6 6" xfId="17767"/>
    <cellStyle name="20% - Accent4 7" xfId="3034"/>
    <cellStyle name="20% - Accent4 7 2" xfId="3035"/>
    <cellStyle name="20% - Accent4 7 2 2" xfId="3036"/>
    <cellStyle name="20% - Accent4 7 2 2 2" xfId="3037"/>
    <cellStyle name="20% - Accent4 7 2 3" xfId="3038"/>
    <cellStyle name="20% - Accent4 7 3" xfId="3039"/>
    <cellStyle name="20% - Accent4 7 3 2" xfId="3040"/>
    <cellStyle name="20% - Accent4 7 4" xfId="3041"/>
    <cellStyle name="20% - Accent4 7 5" xfId="17951"/>
    <cellStyle name="20% - Accent4 8" xfId="3042"/>
    <cellStyle name="20% - Accent4 8 2" xfId="3043"/>
    <cellStyle name="20% - Accent4 8 3" xfId="3044"/>
    <cellStyle name="20% - Accent4 8 4" xfId="18636"/>
    <cellStyle name="20% - Accent4 9" xfId="3045"/>
    <cellStyle name="20% - Accent4 9 2" xfId="3046"/>
    <cellStyle name="20% - Accent4 9 3" xfId="16544"/>
    <cellStyle name="20% - Accent5" xfId="19670" builtinId="46" customBuiltin="1"/>
    <cellStyle name="20% - Accent5 10" xfId="3047"/>
    <cellStyle name="20% - Accent5 10 2" xfId="3048"/>
    <cellStyle name="20% - Accent5 10 3" xfId="19456"/>
    <cellStyle name="20% - Accent5 11" xfId="15967"/>
    <cellStyle name="20% - Accent5 12" xfId="16214"/>
    <cellStyle name="20% - Accent5 2" xfId="13"/>
    <cellStyle name="20% - Accent5 2 2" xfId="3049"/>
    <cellStyle name="20% - Accent5 2 2 2" xfId="3050"/>
    <cellStyle name="20% - Accent5 2 2 2 2" xfId="18434"/>
    <cellStyle name="20% - Accent5 2 2 2 3" xfId="18748"/>
    <cellStyle name="20% - Accent5 2 2 2 4" xfId="17629"/>
    <cellStyle name="20% - Accent5 2 2 2 5" xfId="19807"/>
    <cellStyle name="20% - Accent5 2 2 3" xfId="3051"/>
    <cellStyle name="20% - Accent5 2 2 3 2" xfId="3052"/>
    <cellStyle name="20% - Accent5 2 2 3 2 2" xfId="3053"/>
    <cellStyle name="20% - Accent5 2 2 3 3" xfId="3054"/>
    <cellStyle name="20% - Accent5 2 2 3 4" xfId="17970"/>
    <cellStyle name="20% - Accent5 2 2 4" xfId="3055"/>
    <cellStyle name="20% - Accent5 2 2 4 2" xfId="3056"/>
    <cellStyle name="20% - Accent5 2 2 4 3" xfId="18686"/>
    <cellStyle name="20% - Accent5 2 2 5" xfId="3057"/>
    <cellStyle name="20% - Accent5 2 2 5 2" xfId="16572"/>
    <cellStyle name="20% - Accent5 2 2 6" xfId="3058"/>
    <cellStyle name="20% - Accent5 2 2 6 2" xfId="3059"/>
    <cellStyle name="20% - Accent5 2 2 7" xfId="16316"/>
    <cellStyle name="20% - Accent5 2 3" xfId="3060"/>
    <cellStyle name="20% - Accent5 2 3 2" xfId="17594"/>
    <cellStyle name="20% - Accent5 2 3 2 2" xfId="18399"/>
    <cellStyle name="20% - Accent5 2 3 2 3" xfId="19135"/>
    <cellStyle name="20% - Accent5 2 3 3" xfId="18061"/>
    <cellStyle name="20% - Accent5 2 3 4" xfId="18719"/>
    <cellStyle name="20% - Accent5 2 3 5" xfId="17091"/>
    <cellStyle name="20% - Accent5 2 3 6" xfId="19780"/>
    <cellStyle name="20% - Accent5 2 4" xfId="3061"/>
    <cellStyle name="20% - Accent5 2 4 2" xfId="16915"/>
    <cellStyle name="20% - Accent5 2 5" xfId="3062"/>
    <cellStyle name="20% - Accent5 2 5 2" xfId="17969"/>
    <cellStyle name="20% - Accent5 2 6" xfId="18657"/>
    <cellStyle name="20% - Accent5 2 7" xfId="16571"/>
    <cellStyle name="20% - Accent5 2 8" xfId="16279"/>
    <cellStyle name="20% - Accent5 3" xfId="3063"/>
    <cellStyle name="20% - Accent5 3 2" xfId="3064"/>
    <cellStyle name="20% - Accent5 3 2 2" xfId="3065"/>
    <cellStyle name="20% - Accent5 3 2 2 2" xfId="3066"/>
    <cellStyle name="20% - Accent5 3 2 2 2 2" xfId="3067"/>
    <cellStyle name="20% - Accent5 3 2 2 2 3" xfId="18425"/>
    <cellStyle name="20% - Accent5 3 2 2 3" xfId="3068"/>
    <cellStyle name="20% - Accent5 3 2 2 3 2" xfId="19155"/>
    <cellStyle name="20% - Accent5 3 2 2 4" xfId="17620"/>
    <cellStyle name="20% - Accent5 3 2 3" xfId="3069"/>
    <cellStyle name="20% - Accent5 3 2 3 2" xfId="3070"/>
    <cellStyle name="20% - Accent5 3 2 3 3" xfId="18080"/>
    <cellStyle name="20% - Accent5 3 2 4" xfId="3071"/>
    <cellStyle name="20% - Accent5 3 2 4 2" xfId="18732"/>
    <cellStyle name="20% - Accent5 3 2 5" xfId="3072"/>
    <cellStyle name="20% - Accent5 3 2 5 2" xfId="3073"/>
    <cellStyle name="20% - Accent5 3 2 6" xfId="3074"/>
    <cellStyle name="20% - Accent5 3 2 6 2" xfId="3075"/>
    <cellStyle name="20% - Accent5 3 2 7" xfId="17113"/>
    <cellStyle name="20% - Accent5 3 3" xfId="3076"/>
    <cellStyle name="20% - Accent5 3 3 2" xfId="3077"/>
    <cellStyle name="20% - Accent5 3 3 2 2" xfId="3078"/>
    <cellStyle name="20% - Accent5 3 3 3" xfId="3079"/>
    <cellStyle name="20% - Accent5 3 3 4" xfId="16944"/>
    <cellStyle name="20% - Accent5 3 3 5" xfId="19854"/>
    <cellStyle name="20% - Accent5 3 4" xfId="3080"/>
    <cellStyle name="20% - Accent5 3 4 2" xfId="3081"/>
    <cellStyle name="20% - Accent5 3 4 3" xfId="17971"/>
    <cellStyle name="20% - Accent5 3 5" xfId="3082"/>
    <cellStyle name="20% - Accent5 3 5 2" xfId="18670"/>
    <cellStyle name="20% - Accent5 3 6" xfId="3083"/>
    <cellStyle name="20% - Accent5 3 6 2" xfId="3084"/>
    <cellStyle name="20% - Accent5 3 6 3" xfId="16573"/>
    <cellStyle name="20% - Accent5 3 7" xfId="3085"/>
    <cellStyle name="20% - Accent5 3 7 2" xfId="3086"/>
    <cellStyle name="20% - Accent5 3 8" xfId="3087"/>
    <cellStyle name="20% - Accent5 3 9" xfId="16307"/>
    <cellStyle name="20% - Accent5 4" xfId="3088"/>
    <cellStyle name="20% - Accent5 4 2" xfId="3089"/>
    <cellStyle name="20% - Accent5 4 2 2" xfId="3090"/>
    <cellStyle name="20% - Accent5 4 2 2 2" xfId="3091"/>
    <cellStyle name="20% - Accent5 4 2 2 2 2" xfId="3092"/>
    <cellStyle name="20% - Accent5 4 2 2 2 3" xfId="18440"/>
    <cellStyle name="20% - Accent5 4 2 2 3" xfId="3093"/>
    <cellStyle name="20% - Accent5 4 2 2 3 2" xfId="19163"/>
    <cellStyle name="20% - Accent5 4 2 2 4" xfId="17635"/>
    <cellStyle name="20% - Accent5 4 2 3" xfId="3094"/>
    <cellStyle name="20% - Accent5 4 2 3 2" xfId="3095"/>
    <cellStyle name="20% - Accent5 4 2 3 3" xfId="18088"/>
    <cellStyle name="20% - Accent5 4 2 4" xfId="3096"/>
    <cellStyle name="20% - Accent5 4 2 4 2" xfId="18822"/>
    <cellStyle name="20% - Accent5 4 2 5" xfId="3097"/>
    <cellStyle name="20% - Accent5 4 2 5 2" xfId="3098"/>
    <cellStyle name="20% - Accent5 4 2 6" xfId="3099"/>
    <cellStyle name="20% - Accent5 4 2 6 2" xfId="3100"/>
    <cellStyle name="20% - Accent5 4 2 7" xfId="17122"/>
    <cellStyle name="20% - Accent5 4 3" xfId="3101"/>
    <cellStyle name="20% - Accent5 4 3 2" xfId="3102"/>
    <cellStyle name="20% - Accent5 4 3 3" xfId="3103"/>
    <cellStyle name="20% - Accent5 4 3 4" xfId="18700"/>
    <cellStyle name="20% - Accent5 4 4" xfId="3104"/>
    <cellStyle name="20% - Accent5 4 4 2" xfId="3105"/>
    <cellStyle name="20% - Accent5 4 4 3" xfId="16887"/>
    <cellStyle name="20% - Accent5 4 5" xfId="3106"/>
    <cellStyle name="20% - Accent5 4 6" xfId="3107"/>
    <cellStyle name="20% - Accent5 4 6 2" xfId="3108"/>
    <cellStyle name="20% - Accent5 4 7" xfId="3109"/>
    <cellStyle name="20% - Accent5 4 7 2" xfId="3110"/>
    <cellStyle name="20% - Accent5 4 8" xfId="3111"/>
    <cellStyle name="20% - Accent5 4 9" xfId="16325"/>
    <cellStyle name="20% - Accent5 5" xfId="3112"/>
    <cellStyle name="20% - Accent5 5 2" xfId="3113"/>
    <cellStyle name="20% - Accent5 5 2 2" xfId="3114"/>
    <cellStyle name="20% - Accent5 5 2 3" xfId="3115"/>
    <cellStyle name="20% - Accent5 5 2 4" xfId="3116"/>
    <cellStyle name="20% - Accent5 5 2 5" xfId="18269"/>
    <cellStyle name="20% - Accent5 5 3" xfId="3117"/>
    <cellStyle name="20% - Accent5 5 3 2" xfId="3118"/>
    <cellStyle name="20% - Accent5 5 3 2 2" xfId="3119"/>
    <cellStyle name="20% - Accent5 5 3 3" xfId="3120"/>
    <cellStyle name="20% - Accent5 5 3 4" xfId="19005"/>
    <cellStyle name="20% - Accent5 5 4" xfId="3121"/>
    <cellStyle name="20% - Accent5 5 4 2" xfId="3122"/>
    <cellStyle name="20% - Accent5 5 5" xfId="3123"/>
    <cellStyle name="20% - Accent5 5 6" xfId="17464"/>
    <cellStyle name="20% - Accent5 6" xfId="3124"/>
    <cellStyle name="20% - Accent5 6 2" xfId="3125"/>
    <cellStyle name="20% - Accent5 6 2 2" xfId="3126"/>
    <cellStyle name="20% - Accent5 6 2 2 2" xfId="3127"/>
    <cellStyle name="20% - Accent5 6 2 3" xfId="3128"/>
    <cellStyle name="20% - Accent5 6 2 4" xfId="18574"/>
    <cellStyle name="20% - Accent5 6 3" xfId="3129"/>
    <cellStyle name="20% - Accent5 6 3 2" xfId="3130"/>
    <cellStyle name="20% - Accent5 6 3 3" xfId="19296"/>
    <cellStyle name="20% - Accent5 6 4" xfId="3131"/>
    <cellStyle name="20% - Accent5 6 5" xfId="17769"/>
    <cellStyle name="20% - Accent5 7" xfId="3132"/>
    <cellStyle name="20% - Accent5 7 2" xfId="3133"/>
    <cellStyle name="20% - Accent5 7 2 2" xfId="3134"/>
    <cellStyle name="20% - Accent5 7 2 2 2" xfId="3135"/>
    <cellStyle name="20% - Accent5 7 2 3" xfId="3136"/>
    <cellStyle name="20% - Accent5 7 3" xfId="3137"/>
    <cellStyle name="20% - Accent5 7 3 2" xfId="3138"/>
    <cellStyle name="20% - Accent5 7 4" xfId="3139"/>
    <cellStyle name="20% - Accent5 7 5" xfId="17953"/>
    <cellStyle name="20% - Accent5 8" xfId="3140"/>
    <cellStyle name="20% - Accent5 8 2" xfId="3141"/>
    <cellStyle name="20% - Accent5 8 3" xfId="3142"/>
    <cellStyle name="20% - Accent5 8 4" xfId="18638"/>
    <cellStyle name="20% - Accent5 9" xfId="3143"/>
    <cellStyle name="20% - Accent5 9 2" xfId="3144"/>
    <cellStyle name="20% - Accent5 9 3" xfId="16548"/>
    <cellStyle name="20% - Accent6" xfId="19674" builtinId="50" customBuiltin="1"/>
    <cellStyle name="20% - Accent6 10" xfId="3145"/>
    <cellStyle name="20% - Accent6 10 2" xfId="3146"/>
    <cellStyle name="20% - Accent6 10 3" xfId="19458"/>
    <cellStyle name="20% - Accent6 11" xfId="15968"/>
    <cellStyle name="20% - Accent6 12" xfId="16218"/>
    <cellStyle name="20% - Accent6 2" xfId="14"/>
    <cellStyle name="20% - Accent6 2 2" xfId="3147"/>
    <cellStyle name="20% - Accent6 2 2 2" xfId="3148"/>
    <cellStyle name="20% - Accent6 2 2 2 2" xfId="18411"/>
    <cellStyle name="20% - Accent6 2 2 2 3" xfId="18750"/>
    <cellStyle name="20% - Accent6 2 2 2 4" xfId="17606"/>
    <cellStyle name="20% - Accent6 2 2 2 5" xfId="19863"/>
    <cellStyle name="20% - Accent6 2 2 3" xfId="3149"/>
    <cellStyle name="20% - Accent6 2 2 3 2" xfId="3150"/>
    <cellStyle name="20% - Accent6 2 2 3 2 2" xfId="3151"/>
    <cellStyle name="20% - Accent6 2 2 3 3" xfId="3152"/>
    <cellStyle name="20% - Accent6 2 2 3 4" xfId="17973"/>
    <cellStyle name="20% - Accent6 2 2 4" xfId="3153"/>
    <cellStyle name="20% - Accent6 2 2 4 2" xfId="3154"/>
    <cellStyle name="20% - Accent6 2 2 4 3" xfId="18688"/>
    <cellStyle name="20% - Accent6 2 2 5" xfId="3155"/>
    <cellStyle name="20% - Accent6 2 2 5 2" xfId="16575"/>
    <cellStyle name="20% - Accent6 2 2 6" xfId="3156"/>
    <cellStyle name="20% - Accent6 2 2 6 2" xfId="3157"/>
    <cellStyle name="20% - Accent6 2 2 7" xfId="16291"/>
    <cellStyle name="20% - Accent6 2 3" xfId="3158"/>
    <cellStyle name="20% - Accent6 2 3 2" xfId="17615"/>
    <cellStyle name="20% - Accent6 2 3 2 2" xfId="18420"/>
    <cellStyle name="20% - Accent6 2 3 2 3" xfId="19150"/>
    <cellStyle name="20% - Accent6 2 3 3" xfId="18075"/>
    <cellStyle name="20% - Accent6 2 3 4" xfId="18721"/>
    <cellStyle name="20% - Accent6 2 3 5" xfId="17108"/>
    <cellStyle name="20% - Accent6 2 3 6" xfId="19781"/>
    <cellStyle name="20% - Accent6 2 4" xfId="3159"/>
    <cellStyle name="20% - Accent6 2 4 2" xfId="16916"/>
    <cellStyle name="20% - Accent6 2 5" xfId="3160"/>
    <cellStyle name="20% - Accent6 2 5 2" xfId="17972"/>
    <cellStyle name="20% - Accent6 2 6" xfId="18659"/>
    <cellStyle name="20% - Accent6 2 7" xfId="16574"/>
    <cellStyle name="20% - Accent6 2 8" xfId="16302"/>
    <cellStyle name="20% - Accent6 3" xfId="3161"/>
    <cellStyle name="20% - Accent6 3 2" xfId="3162"/>
    <cellStyle name="20% - Accent6 3 2 2" xfId="3163"/>
    <cellStyle name="20% - Accent6 3 2 2 2" xfId="3164"/>
    <cellStyle name="20% - Accent6 3 2 2 2 2" xfId="3165"/>
    <cellStyle name="20% - Accent6 3 2 2 2 3" xfId="18427"/>
    <cellStyle name="20% - Accent6 3 2 2 3" xfId="3166"/>
    <cellStyle name="20% - Accent6 3 2 2 3 2" xfId="19157"/>
    <cellStyle name="20% - Accent6 3 2 2 4" xfId="17622"/>
    <cellStyle name="20% - Accent6 3 2 3" xfId="3167"/>
    <cellStyle name="20% - Accent6 3 2 3 2" xfId="3168"/>
    <cellStyle name="20% - Accent6 3 2 3 3" xfId="18082"/>
    <cellStyle name="20% - Accent6 3 2 4" xfId="3169"/>
    <cellStyle name="20% - Accent6 3 2 4 2" xfId="18734"/>
    <cellStyle name="20% - Accent6 3 2 5" xfId="3170"/>
    <cellStyle name="20% - Accent6 3 2 5 2" xfId="3171"/>
    <cellStyle name="20% - Accent6 3 2 6" xfId="3172"/>
    <cellStyle name="20% - Accent6 3 2 6 2" xfId="3173"/>
    <cellStyle name="20% - Accent6 3 2 7" xfId="17115"/>
    <cellStyle name="20% - Accent6 3 3" xfId="3174"/>
    <cellStyle name="20% - Accent6 3 3 2" xfId="3175"/>
    <cellStyle name="20% - Accent6 3 3 2 2" xfId="3176"/>
    <cellStyle name="20% - Accent6 3 3 3" xfId="3177"/>
    <cellStyle name="20% - Accent6 3 3 4" xfId="16945"/>
    <cellStyle name="20% - Accent6 3 3 5" xfId="19858"/>
    <cellStyle name="20% - Accent6 3 4" xfId="3178"/>
    <cellStyle name="20% - Accent6 3 4 2" xfId="3179"/>
    <cellStyle name="20% - Accent6 3 4 3" xfId="17974"/>
    <cellStyle name="20% - Accent6 3 5" xfId="3180"/>
    <cellStyle name="20% - Accent6 3 5 2" xfId="18672"/>
    <cellStyle name="20% - Accent6 3 6" xfId="3181"/>
    <cellStyle name="20% - Accent6 3 6 2" xfId="3182"/>
    <cellStyle name="20% - Accent6 3 6 3" xfId="16576"/>
    <cellStyle name="20% - Accent6 3 7" xfId="3183"/>
    <cellStyle name="20% - Accent6 3 7 2" xfId="3184"/>
    <cellStyle name="20% - Accent6 3 8" xfId="3185"/>
    <cellStyle name="20% - Accent6 3 9" xfId="16309"/>
    <cellStyle name="20% - Accent6 4" xfId="3186"/>
    <cellStyle name="20% - Accent6 4 2" xfId="3187"/>
    <cellStyle name="20% - Accent6 4 2 2" xfId="3188"/>
    <cellStyle name="20% - Accent6 4 2 2 2" xfId="3189"/>
    <cellStyle name="20% - Accent6 4 2 2 2 2" xfId="3190"/>
    <cellStyle name="20% - Accent6 4 2 2 2 3" xfId="18445"/>
    <cellStyle name="20% - Accent6 4 2 2 3" xfId="3191"/>
    <cellStyle name="20% - Accent6 4 2 2 3 2" xfId="19168"/>
    <cellStyle name="20% - Accent6 4 2 2 4" xfId="17640"/>
    <cellStyle name="20% - Accent6 4 2 3" xfId="3192"/>
    <cellStyle name="20% - Accent6 4 2 3 2" xfId="3193"/>
    <cellStyle name="20% - Accent6 4 2 3 3" xfId="18090"/>
    <cellStyle name="20% - Accent6 4 2 4" xfId="3194"/>
    <cellStyle name="20% - Accent6 4 2 4 2" xfId="18824"/>
    <cellStyle name="20% - Accent6 4 2 5" xfId="3195"/>
    <cellStyle name="20% - Accent6 4 2 5 2" xfId="3196"/>
    <cellStyle name="20% - Accent6 4 2 6" xfId="3197"/>
    <cellStyle name="20% - Accent6 4 2 6 2" xfId="3198"/>
    <cellStyle name="20% - Accent6 4 2 7" xfId="17126"/>
    <cellStyle name="20% - Accent6 4 3" xfId="3199"/>
    <cellStyle name="20% - Accent6 4 3 2" xfId="3200"/>
    <cellStyle name="20% - Accent6 4 3 3" xfId="3201"/>
    <cellStyle name="20% - Accent6 4 3 4" xfId="18702"/>
    <cellStyle name="20% - Accent6 4 4" xfId="3202"/>
    <cellStyle name="20% - Accent6 4 4 2" xfId="3203"/>
    <cellStyle name="20% - Accent6 4 4 3" xfId="16888"/>
    <cellStyle name="20% - Accent6 4 5" xfId="3204"/>
    <cellStyle name="20% - Accent6 4 6" xfId="3205"/>
    <cellStyle name="20% - Accent6 4 6 2" xfId="3206"/>
    <cellStyle name="20% - Accent6 4 7" xfId="3207"/>
    <cellStyle name="20% - Accent6 4 7 2" xfId="3208"/>
    <cellStyle name="20% - Accent6 4 8" xfId="3209"/>
    <cellStyle name="20% - Accent6 4 9" xfId="16330"/>
    <cellStyle name="20% - Accent6 5" xfId="3210"/>
    <cellStyle name="20% - Accent6 5 2" xfId="3211"/>
    <cellStyle name="20% - Accent6 5 2 2" xfId="3212"/>
    <cellStyle name="20% - Accent6 5 2 3" xfId="3213"/>
    <cellStyle name="20% - Accent6 5 2 4" xfId="3214"/>
    <cellStyle name="20% - Accent6 5 2 5" xfId="18272"/>
    <cellStyle name="20% - Accent6 5 3" xfId="3215"/>
    <cellStyle name="20% - Accent6 5 3 2" xfId="3216"/>
    <cellStyle name="20% - Accent6 5 3 2 2" xfId="3217"/>
    <cellStyle name="20% - Accent6 5 3 3" xfId="3218"/>
    <cellStyle name="20% - Accent6 5 3 4" xfId="19008"/>
    <cellStyle name="20% - Accent6 5 4" xfId="3219"/>
    <cellStyle name="20% - Accent6 5 4 2" xfId="3220"/>
    <cellStyle name="20% - Accent6 5 5" xfId="3221"/>
    <cellStyle name="20% - Accent6 5 6" xfId="17467"/>
    <cellStyle name="20% - Accent6 6" xfId="3222"/>
    <cellStyle name="20% - Accent6 6 2" xfId="3223"/>
    <cellStyle name="20% - Accent6 6 2 2" xfId="3224"/>
    <cellStyle name="20% - Accent6 6 2 2 2" xfId="3225"/>
    <cellStyle name="20% - Accent6 6 2 3" xfId="3226"/>
    <cellStyle name="20% - Accent6 6 2 4" xfId="18576"/>
    <cellStyle name="20% - Accent6 6 3" xfId="3227"/>
    <cellStyle name="20% - Accent6 6 3 2" xfId="3228"/>
    <cellStyle name="20% - Accent6 6 3 3" xfId="19298"/>
    <cellStyle name="20% - Accent6 6 4" xfId="3229"/>
    <cellStyle name="20% - Accent6 6 5" xfId="17771"/>
    <cellStyle name="20% - Accent6 7" xfId="3230"/>
    <cellStyle name="20% - Accent6 7 2" xfId="3231"/>
    <cellStyle name="20% - Accent6 7 2 2" xfId="3232"/>
    <cellStyle name="20% - Accent6 7 2 2 2" xfId="3233"/>
    <cellStyle name="20% - Accent6 7 2 3" xfId="3234"/>
    <cellStyle name="20% - Accent6 7 3" xfId="3235"/>
    <cellStyle name="20% - Accent6 7 3 2" xfId="3236"/>
    <cellStyle name="20% - Accent6 7 4" xfId="3237"/>
    <cellStyle name="20% - Accent6 7 5" xfId="17955"/>
    <cellStyle name="20% - Accent6 8" xfId="3238"/>
    <cellStyle name="20% - Accent6 8 2" xfId="3239"/>
    <cellStyle name="20% - Accent6 8 3" xfId="3240"/>
    <cellStyle name="20% - Accent6 8 4" xfId="18640"/>
    <cellStyle name="20% - Accent6 9" xfId="3241"/>
    <cellStyle name="20% - Accent6 9 2" xfId="3242"/>
    <cellStyle name="20% - Accent6 9 3" xfId="16552"/>
    <cellStyle name="40% - Accent1" xfId="19655" builtinId="31" customBuiltin="1"/>
    <cellStyle name="40% - Accent1 10" xfId="3243"/>
    <cellStyle name="40% - Accent1 10 2" xfId="3244"/>
    <cellStyle name="40% - Accent1 10 3" xfId="19449"/>
    <cellStyle name="40% - Accent1 11" xfId="15969"/>
    <cellStyle name="40% - Accent1 12" xfId="16199"/>
    <cellStyle name="40% - Accent1 2" xfId="15"/>
    <cellStyle name="40% - Accent1 2 2" xfId="3245"/>
    <cellStyle name="40% - Accent1 2 2 2" xfId="3246"/>
    <cellStyle name="40% - Accent1 2 2 2 2" xfId="18405"/>
    <cellStyle name="40% - Accent1 2 2 2 3" xfId="18741"/>
    <cellStyle name="40% - Accent1 2 2 2 4" xfId="17600"/>
    <cellStyle name="40% - Accent1 2 2 2 5" xfId="19817"/>
    <cellStyle name="40% - Accent1 2 2 3" xfId="3247"/>
    <cellStyle name="40% - Accent1 2 2 3 2" xfId="3248"/>
    <cellStyle name="40% - Accent1 2 2 3 2 2" xfId="3249"/>
    <cellStyle name="40% - Accent1 2 2 3 3" xfId="3250"/>
    <cellStyle name="40% - Accent1 2 2 3 4" xfId="17976"/>
    <cellStyle name="40% - Accent1 2 2 4" xfId="3251"/>
    <cellStyle name="40% - Accent1 2 2 4 2" xfId="3252"/>
    <cellStyle name="40% - Accent1 2 2 4 3" xfId="18679"/>
    <cellStyle name="40% - Accent1 2 2 5" xfId="3253"/>
    <cellStyle name="40% - Accent1 2 2 5 2" xfId="16578"/>
    <cellStyle name="40% - Accent1 2 2 6" xfId="3254"/>
    <cellStyle name="40% - Accent1 2 2 6 2" xfId="3255"/>
    <cellStyle name="40% - Accent1 2 2 7" xfId="16285"/>
    <cellStyle name="40% - Accent1 2 3" xfId="3256"/>
    <cellStyle name="40% - Accent1 2 3 2" xfId="3257"/>
    <cellStyle name="40% - Accent1 2 3 2 2" xfId="18415"/>
    <cellStyle name="40% - Accent1 2 3 2 3" xfId="19145"/>
    <cellStyle name="40% - Accent1 2 3 2 4" xfId="17610"/>
    <cellStyle name="40% - Accent1 2 3 3" xfId="18070"/>
    <cellStyle name="40% - Accent1 2 3 4" xfId="18712"/>
    <cellStyle name="40% - Accent1 2 3 5" xfId="17103"/>
    <cellStyle name="40% - Accent1 2 3 6" xfId="19782"/>
    <cellStyle name="40% - Accent1 2 4" xfId="3258"/>
    <cellStyle name="40% - Accent1 2 4 2" xfId="16917"/>
    <cellStyle name="40% - Accent1 2 5" xfId="3259"/>
    <cellStyle name="40% - Accent1 2 5 2" xfId="3260"/>
    <cellStyle name="40% - Accent1 2 5 3" xfId="17975"/>
    <cellStyle name="40% - Accent1 2 6" xfId="3261"/>
    <cellStyle name="40% - Accent1 2 6 2" xfId="18650"/>
    <cellStyle name="40% - Accent1 2 7" xfId="3262"/>
    <cellStyle name="40% - Accent1 2 7 2" xfId="16577"/>
    <cellStyle name="40% - Accent1 2 8" xfId="16297"/>
    <cellStyle name="40% - Accent1 3" xfId="3263"/>
    <cellStyle name="40% - Accent1 3 2" xfId="3264"/>
    <cellStyle name="40% - Accent1 3 2 2" xfId="3265"/>
    <cellStyle name="40% - Accent1 3 2 2 2" xfId="3266"/>
    <cellStyle name="40% - Accent1 3 2 2 2 2" xfId="3267"/>
    <cellStyle name="40% - Accent1 3 2 2 2 3" xfId="18422"/>
    <cellStyle name="40% - Accent1 3 2 2 3" xfId="3268"/>
    <cellStyle name="40% - Accent1 3 2 2 3 2" xfId="19152"/>
    <cellStyle name="40% - Accent1 3 2 2 4" xfId="17617"/>
    <cellStyle name="40% - Accent1 3 2 3" xfId="3269"/>
    <cellStyle name="40% - Accent1 3 2 3 2" xfId="3270"/>
    <cellStyle name="40% - Accent1 3 2 3 3" xfId="18077"/>
    <cellStyle name="40% - Accent1 3 2 4" xfId="3271"/>
    <cellStyle name="40% - Accent1 3 2 4 2" xfId="18725"/>
    <cellStyle name="40% - Accent1 3 2 5" xfId="3272"/>
    <cellStyle name="40% - Accent1 3 2 5 2" xfId="3273"/>
    <cellStyle name="40% - Accent1 3 2 6" xfId="3274"/>
    <cellStyle name="40% - Accent1 3 2 6 2" xfId="3275"/>
    <cellStyle name="40% - Accent1 3 2 7" xfId="17110"/>
    <cellStyle name="40% - Accent1 3 3" xfId="3276"/>
    <cellStyle name="40% - Accent1 3 3 2" xfId="3277"/>
    <cellStyle name="40% - Accent1 3 3 2 2" xfId="3278"/>
    <cellStyle name="40% - Accent1 3 3 3" xfId="3279"/>
    <cellStyle name="40% - Accent1 3 3 4" xfId="16946"/>
    <cellStyle name="40% - Accent1 3 3 5" xfId="19839"/>
    <cellStyle name="40% - Accent1 3 4" xfId="3280"/>
    <cellStyle name="40% - Accent1 3 4 2" xfId="3281"/>
    <cellStyle name="40% - Accent1 3 4 3" xfId="17977"/>
    <cellStyle name="40% - Accent1 3 5" xfId="3282"/>
    <cellStyle name="40% - Accent1 3 5 2" xfId="18663"/>
    <cellStyle name="40% - Accent1 3 6" xfId="3283"/>
    <cellStyle name="40% - Accent1 3 6 2" xfId="3284"/>
    <cellStyle name="40% - Accent1 3 6 3" xfId="16579"/>
    <cellStyle name="40% - Accent1 3 7" xfId="3285"/>
    <cellStyle name="40% - Accent1 3 7 2" xfId="3286"/>
    <cellStyle name="40% - Accent1 3 8" xfId="3287"/>
    <cellStyle name="40% - Accent1 3 9" xfId="16304"/>
    <cellStyle name="40% - Accent1 4" xfId="3288"/>
    <cellStyle name="40% - Accent1 4 2" xfId="3289"/>
    <cellStyle name="40% - Accent1 4 2 2" xfId="3290"/>
    <cellStyle name="40% - Accent1 4 2 2 2" xfId="3291"/>
    <cellStyle name="40% - Accent1 4 2 2 2 2" xfId="3292"/>
    <cellStyle name="40% - Accent1 4 2 2 2 3" xfId="18437"/>
    <cellStyle name="40% - Accent1 4 2 2 3" xfId="3293"/>
    <cellStyle name="40% - Accent1 4 2 2 3 2" xfId="19160"/>
    <cellStyle name="40% - Accent1 4 2 2 4" xfId="17632"/>
    <cellStyle name="40% - Accent1 4 2 3" xfId="3294"/>
    <cellStyle name="40% - Accent1 4 2 3 2" xfId="3295"/>
    <cellStyle name="40% - Accent1 4 2 3 3" xfId="18085"/>
    <cellStyle name="40% - Accent1 4 2 4" xfId="3296"/>
    <cellStyle name="40% - Accent1 4 2 4 2" xfId="18819"/>
    <cellStyle name="40% - Accent1 4 2 5" xfId="3297"/>
    <cellStyle name="40% - Accent1 4 2 5 2" xfId="3298"/>
    <cellStyle name="40% - Accent1 4 2 6" xfId="3299"/>
    <cellStyle name="40% - Accent1 4 2 6 2" xfId="3300"/>
    <cellStyle name="40% - Accent1 4 2 7" xfId="17118"/>
    <cellStyle name="40% - Accent1 4 3" xfId="3301"/>
    <cellStyle name="40% - Accent1 4 3 2" xfId="3302"/>
    <cellStyle name="40% - Accent1 4 3 3" xfId="3303"/>
    <cellStyle name="40% - Accent1 4 3 4" xfId="18693"/>
    <cellStyle name="40% - Accent1 4 4" xfId="3304"/>
    <cellStyle name="40% - Accent1 4 4 2" xfId="3305"/>
    <cellStyle name="40% - Accent1 4 4 3" xfId="16889"/>
    <cellStyle name="40% - Accent1 4 5" xfId="3306"/>
    <cellStyle name="40% - Accent1 4 6" xfId="3307"/>
    <cellStyle name="40% - Accent1 4 6 2" xfId="3308"/>
    <cellStyle name="40% - Accent1 4 7" xfId="3309"/>
    <cellStyle name="40% - Accent1 4 7 2" xfId="3310"/>
    <cellStyle name="40% - Accent1 4 8" xfId="3311"/>
    <cellStyle name="40% - Accent1 4 9" xfId="16320"/>
    <cellStyle name="40% - Accent1 5" xfId="3312"/>
    <cellStyle name="40% - Accent1 5 2" xfId="3313"/>
    <cellStyle name="40% - Accent1 5 2 2" xfId="3314"/>
    <cellStyle name="40% - Accent1 5 2 2 2" xfId="3315"/>
    <cellStyle name="40% - Accent1 5 2 2 2 2" xfId="3316"/>
    <cellStyle name="40% - Accent1 5 2 2 3" xfId="3317"/>
    <cellStyle name="40% - Accent1 5 2 3" xfId="3318"/>
    <cellStyle name="40% - Accent1 5 2 3 2" xfId="3319"/>
    <cellStyle name="40% - Accent1 5 2 4" xfId="3320"/>
    <cellStyle name="40% - Accent1 5 2 5" xfId="18259"/>
    <cellStyle name="40% - Accent1 5 3" xfId="3321"/>
    <cellStyle name="40% - Accent1 5 3 2" xfId="18995"/>
    <cellStyle name="40% - Accent1 5 4" xfId="3322"/>
    <cellStyle name="40% - Accent1 5 5" xfId="17454"/>
    <cellStyle name="40% - Accent1 6" xfId="3323"/>
    <cellStyle name="40% - Accent1 6 2" xfId="3324"/>
    <cellStyle name="40% - Accent1 6 2 2" xfId="3325"/>
    <cellStyle name="40% - Accent1 6 2 3" xfId="3326"/>
    <cellStyle name="40% - Accent1 6 2 4" xfId="18567"/>
    <cellStyle name="40% - Accent1 6 3" xfId="3327"/>
    <cellStyle name="40% - Accent1 6 3 2" xfId="3328"/>
    <cellStyle name="40% - Accent1 6 3 2 2" xfId="3329"/>
    <cellStyle name="40% - Accent1 6 3 3" xfId="3330"/>
    <cellStyle name="40% - Accent1 6 3 4" xfId="19289"/>
    <cellStyle name="40% - Accent1 6 4" xfId="3331"/>
    <cellStyle name="40% - Accent1 6 4 2" xfId="3332"/>
    <cellStyle name="40% - Accent1 6 5" xfId="3333"/>
    <cellStyle name="40% - Accent1 6 6" xfId="17762"/>
    <cellStyle name="40% - Accent1 7" xfId="3334"/>
    <cellStyle name="40% - Accent1 7 2" xfId="3335"/>
    <cellStyle name="40% - Accent1 7 2 2" xfId="3336"/>
    <cellStyle name="40% - Accent1 7 2 2 2" xfId="3337"/>
    <cellStyle name="40% - Accent1 7 2 3" xfId="3338"/>
    <cellStyle name="40% - Accent1 7 3" xfId="3339"/>
    <cellStyle name="40% - Accent1 7 3 2" xfId="3340"/>
    <cellStyle name="40% - Accent1 7 4" xfId="3341"/>
    <cellStyle name="40% - Accent1 7 5" xfId="17946"/>
    <cellStyle name="40% - Accent1 8" xfId="3342"/>
    <cellStyle name="40% - Accent1 8 2" xfId="3343"/>
    <cellStyle name="40% - Accent1 8 3" xfId="3344"/>
    <cellStyle name="40% - Accent1 8 4" xfId="18630"/>
    <cellStyle name="40% - Accent1 9" xfId="3345"/>
    <cellStyle name="40% - Accent1 9 2" xfId="3346"/>
    <cellStyle name="40% - Accent1 9 3" xfId="16533"/>
    <cellStyle name="40% - Accent2" xfId="19659" builtinId="35" customBuiltin="1"/>
    <cellStyle name="40% - Accent2 10" xfId="3347"/>
    <cellStyle name="40% - Accent2 10 2" xfId="3348"/>
    <cellStyle name="40% - Accent2 10 3" xfId="19451"/>
    <cellStyle name="40% - Accent2 11" xfId="15970"/>
    <cellStyle name="40% - Accent2 12" xfId="16203"/>
    <cellStyle name="40% - Accent2 2" xfId="16"/>
    <cellStyle name="40% - Accent2 2 2" xfId="3349"/>
    <cellStyle name="40% - Accent2 2 2 2" xfId="3350"/>
    <cellStyle name="40% - Accent2 2 2 2 2" xfId="18431"/>
    <cellStyle name="40% - Accent2 2 2 2 3" xfId="18743"/>
    <cellStyle name="40% - Accent2 2 2 2 4" xfId="17626"/>
    <cellStyle name="40% - Accent2 2 2 2 5" xfId="19811"/>
    <cellStyle name="40% - Accent2 2 2 3" xfId="3351"/>
    <cellStyle name="40% - Accent2 2 2 3 2" xfId="3352"/>
    <cellStyle name="40% - Accent2 2 2 3 2 2" xfId="3353"/>
    <cellStyle name="40% - Accent2 2 2 3 3" xfId="3354"/>
    <cellStyle name="40% - Accent2 2 2 3 4" xfId="17979"/>
    <cellStyle name="40% - Accent2 2 2 4" xfId="3355"/>
    <cellStyle name="40% - Accent2 2 2 4 2" xfId="3356"/>
    <cellStyle name="40% - Accent2 2 2 4 3" xfId="18681"/>
    <cellStyle name="40% - Accent2 2 2 5" xfId="3357"/>
    <cellStyle name="40% - Accent2 2 2 5 2" xfId="16581"/>
    <cellStyle name="40% - Accent2 2 2 6" xfId="3358"/>
    <cellStyle name="40% - Accent2 2 2 6 2" xfId="3359"/>
    <cellStyle name="40% - Accent2 2 2 7" xfId="16313"/>
    <cellStyle name="40% - Accent2 2 3" xfId="3360"/>
    <cellStyle name="40% - Accent2 2 3 2" xfId="17583"/>
    <cellStyle name="40% - Accent2 2 3 2 2" xfId="18388"/>
    <cellStyle name="40% - Accent2 2 3 2 3" xfId="19124"/>
    <cellStyle name="40% - Accent2 2 3 3" xfId="18050"/>
    <cellStyle name="40% - Accent2 2 3 4" xfId="18714"/>
    <cellStyle name="40% - Accent2 2 3 5" xfId="17080"/>
    <cellStyle name="40% - Accent2 2 3 6" xfId="19783"/>
    <cellStyle name="40% - Accent2 2 4" xfId="3361"/>
    <cellStyle name="40% - Accent2 2 4 2" xfId="16918"/>
    <cellStyle name="40% - Accent2 2 5" xfId="3362"/>
    <cellStyle name="40% - Accent2 2 5 2" xfId="17978"/>
    <cellStyle name="40% - Accent2 2 6" xfId="18652"/>
    <cellStyle name="40% - Accent2 2 7" xfId="16580"/>
    <cellStyle name="40% - Accent2 2 8" xfId="16268"/>
    <cellStyle name="40% - Accent2 3" xfId="3363"/>
    <cellStyle name="40% - Accent2 3 2" xfId="3364"/>
    <cellStyle name="40% - Accent2 3 2 2" xfId="3365"/>
    <cellStyle name="40% - Accent2 3 2 2 2" xfId="3366"/>
    <cellStyle name="40% - Accent2 3 2 2 2 2" xfId="3367"/>
    <cellStyle name="40% - Accent2 3 2 2 2 3" xfId="18395"/>
    <cellStyle name="40% - Accent2 3 2 2 3" xfId="3368"/>
    <cellStyle name="40% - Accent2 3 2 2 3 2" xfId="19131"/>
    <cellStyle name="40% - Accent2 3 2 2 4" xfId="17590"/>
    <cellStyle name="40% - Accent2 3 2 3" xfId="3369"/>
    <cellStyle name="40% - Accent2 3 2 3 2" xfId="3370"/>
    <cellStyle name="40% - Accent2 3 2 3 3" xfId="18057"/>
    <cellStyle name="40% - Accent2 3 2 4" xfId="3371"/>
    <cellStyle name="40% - Accent2 3 2 4 2" xfId="18727"/>
    <cellStyle name="40% - Accent2 3 2 5" xfId="3372"/>
    <cellStyle name="40% - Accent2 3 2 5 2" xfId="3373"/>
    <cellStyle name="40% - Accent2 3 2 6" xfId="3374"/>
    <cellStyle name="40% - Accent2 3 2 6 2" xfId="3375"/>
    <cellStyle name="40% - Accent2 3 2 7" xfId="17087"/>
    <cellStyle name="40% - Accent2 3 3" xfId="3376"/>
    <cellStyle name="40% - Accent2 3 3 2" xfId="3377"/>
    <cellStyle name="40% - Accent2 3 3 2 2" xfId="3378"/>
    <cellStyle name="40% - Accent2 3 3 3" xfId="3379"/>
    <cellStyle name="40% - Accent2 3 3 4" xfId="16947"/>
    <cellStyle name="40% - Accent2 3 3 5" xfId="19843"/>
    <cellStyle name="40% - Accent2 3 4" xfId="3380"/>
    <cellStyle name="40% - Accent2 3 4 2" xfId="3381"/>
    <cellStyle name="40% - Accent2 3 4 3" xfId="17980"/>
    <cellStyle name="40% - Accent2 3 5" xfId="3382"/>
    <cellStyle name="40% - Accent2 3 5 2" xfId="18665"/>
    <cellStyle name="40% - Accent2 3 6" xfId="3383"/>
    <cellStyle name="40% - Accent2 3 6 2" xfId="3384"/>
    <cellStyle name="40% - Accent2 3 6 3" xfId="16582"/>
    <cellStyle name="40% - Accent2 3 7" xfId="3385"/>
    <cellStyle name="40% - Accent2 3 7 2" xfId="3386"/>
    <cellStyle name="40% - Accent2 3 8" xfId="3387"/>
    <cellStyle name="40% - Accent2 3 9" xfId="16275"/>
    <cellStyle name="40% - Accent2 4" xfId="3388"/>
    <cellStyle name="40% - Accent2 4 2" xfId="3389"/>
    <cellStyle name="40% - Accent2 4 2 2" xfId="3390"/>
    <cellStyle name="40% - Accent2 4 2 2 2" xfId="3391"/>
    <cellStyle name="40% - Accent2 4 2 2 2 2" xfId="3392"/>
    <cellStyle name="40% - Accent2 4 2 2 2 3" xfId="18407"/>
    <cellStyle name="40% - Accent2 4 2 2 3" xfId="3393"/>
    <cellStyle name="40% - Accent2 4 2 2 3 2" xfId="19138"/>
    <cellStyle name="40% - Accent2 4 2 2 4" xfId="17602"/>
    <cellStyle name="40% - Accent2 4 2 3" xfId="3394"/>
    <cellStyle name="40% - Accent2 4 2 3 2" xfId="3395"/>
    <cellStyle name="40% - Accent2 4 2 3 3" xfId="18064"/>
    <cellStyle name="40% - Accent2 4 2 4" xfId="3396"/>
    <cellStyle name="40% - Accent2 4 2 4 2" xfId="18811"/>
    <cellStyle name="40% - Accent2 4 2 5" xfId="3397"/>
    <cellStyle name="40% - Accent2 4 2 5 2" xfId="3398"/>
    <cellStyle name="40% - Accent2 4 2 6" xfId="3399"/>
    <cellStyle name="40% - Accent2 4 2 6 2" xfId="3400"/>
    <cellStyle name="40% - Accent2 4 2 7" xfId="17094"/>
    <cellStyle name="40% - Accent2 4 3" xfId="3401"/>
    <cellStyle name="40% - Accent2 4 3 2" xfId="3402"/>
    <cellStyle name="40% - Accent2 4 3 3" xfId="3403"/>
    <cellStyle name="40% - Accent2 4 3 4" xfId="18695"/>
    <cellStyle name="40% - Accent2 4 4" xfId="3404"/>
    <cellStyle name="40% - Accent2 4 4 2" xfId="3405"/>
    <cellStyle name="40% - Accent2 4 4 3" xfId="16890"/>
    <cellStyle name="40% - Accent2 4 5" xfId="3406"/>
    <cellStyle name="40% - Accent2 4 6" xfId="3407"/>
    <cellStyle name="40% - Accent2 4 6 2" xfId="3408"/>
    <cellStyle name="40% - Accent2 4 7" xfId="3409"/>
    <cellStyle name="40% - Accent2 4 7 2" xfId="3410"/>
    <cellStyle name="40% - Accent2 4 8" xfId="3411"/>
    <cellStyle name="40% - Accent2 4 9" xfId="16287"/>
    <cellStyle name="40% - Accent2 5" xfId="3412"/>
    <cellStyle name="40% - Accent2 5 2" xfId="3413"/>
    <cellStyle name="40% - Accent2 5 2 2" xfId="3414"/>
    <cellStyle name="40% - Accent2 5 2 3" xfId="3415"/>
    <cellStyle name="40% - Accent2 5 2 4" xfId="3416"/>
    <cellStyle name="40% - Accent2 5 2 5" xfId="18262"/>
    <cellStyle name="40% - Accent2 5 3" xfId="3417"/>
    <cellStyle name="40% - Accent2 5 3 2" xfId="3418"/>
    <cellStyle name="40% - Accent2 5 3 2 2" xfId="3419"/>
    <cellStyle name="40% - Accent2 5 3 3" xfId="3420"/>
    <cellStyle name="40% - Accent2 5 3 4" xfId="18998"/>
    <cellStyle name="40% - Accent2 5 4" xfId="3421"/>
    <cellStyle name="40% - Accent2 5 4 2" xfId="3422"/>
    <cellStyle name="40% - Accent2 5 5" xfId="3423"/>
    <cellStyle name="40% - Accent2 5 6" xfId="17457"/>
    <cellStyle name="40% - Accent2 6" xfId="3424"/>
    <cellStyle name="40% - Accent2 6 2" xfId="3425"/>
    <cellStyle name="40% - Accent2 6 2 2" xfId="3426"/>
    <cellStyle name="40% - Accent2 6 2 2 2" xfId="3427"/>
    <cellStyle name="40% - Accent2 6 2 3" xfId="3428"/>
    <cellStyle name="40% - Accent2 6 2 4" xfId="18569"/>
    <cellStyle name="40% - Accent2 6 3" xfId="3429"/>
    <cellStyle name="40% - Accent2 6 3 2" xfId="3430"/>
    <cellStyle name="40% - Accent2 6 3 3" xfId="19291"/>
    <cellStyle name="40% - Accent2 6 4" xfId="3431"/>
    <cellStyle name="40% - Accent2 6 5" xfId="17764"/>
    <cellStyle name="40% - Accent2 7" xfId="3432"/>
    <cellStyle name="40% - Accent2 7 2" xfId="3433"/>
    <cellStyle name="40% - Accent2 7 2 2" xfId="3434"/>
    <cellStyle name="40% - Accent2 7 2 2 2" xfId="3435"/>
    <cellStyle name="40% - Accent2 7 2 3" xfId="3436"/>
    <cellStyle name="40% - Accent2 7 3" xfId="3437"/>
    <cellStyle name="40% - Accent2 7 3 2" xfId="3438"/>
    <cellStyle name="40% - Accent2 7 4" xfId="3439"/>
    <cellStyle name="40% - Accent2 7 5" xfId="17948"/>
    <cellStyle name="40% - Accent2 8" xfId="3440"/>
    <cellStyle name="40% - Accent2 8 2" xfId="3441"/>
    <cellStyle name="40% - Accent2 8 3" xfId="3442"/>
    <cellStyle name="40% - Accent2 8 4" xfId="18632"/>
    <cellStyle name="40% - Accent2 9" xfId="3443"/>
    <cellStyle name="40% - Accent2 9 2" xfId="3444"/>
    <cellStyle name="40% - Accent2 9 3" xfId="16537"/>
    <cellStyle name="40% - Accent3" xfId="19663" builtinId="39" customBuiltin="1"/>
    <cellStyle name="40% - Accent3 10" xfId="3445"/>
    <cellStyle name="40% - Accent3 10 2" xfId="3446"/>
    <cellStyle name="40% - Accent3 10 3" xfId="19453"/>
    <cellStyle name="40% - Accent3 11" xfId="15971"/>
    <cellStyle name="40% - Accent3 12" xfId="16207"/>
    <cellStyle name="40% - Accent3 2" xfId="17"/>
    <cellStyle name="40% - Accent3 2 2" xfId="3447"/>
    <cellStyle name="40% - Accent3 2 2 2" xfId="3448"/>
    <cellStyle name="40% - Accent3 2 2 2 2" xfId="18403"/>
    <cellStyle name="40% - Accent3 2 2 2 3" xfId="18745"/>
    <cellStyle name="40% - Accent3 2 2 2 4" xfId="17598"/>
    <cellStyle name="40% - Accent3 2 2 2 5" xfId="19806"/>
    <cellStyle name="40% - Accent3 2 2 3" xfId="3449"/>
    <cellStyle name="40% - Accent3 2 2 3 2" xfId="3450"/>
    <cellStyle name="40% - Accent3 2 2 3 2 2" xfId="3451"/>
    <cellStyle name="40% - Accent3 2 2 3 3" xfId="3452"/>
    <cellStyle name="40% - Accent3 2 2 3 4" xfId="17982"/>
    <cellStyle name="40% - Accent3 2 2 4" xfId="3453"/>
    <cellStyle name="40% - Accent3 2 2 4 2" xfId="3454"/>
    <cellStyle name="40% - Accent3 2 2 4 3" xfId="18683"/>
    <cellStyle name="40% - Accent3 2 2 5" xfId="3455"/>
    <cellStyle name="40% - Accent3 2 2 5 2" xfId="16584"/>
    <cellStyle name="40% - Accent3 2 2 6" xfId="3456"/>
    <cellStyle name="40% - Accent3 2 2 6 2" xfId="3457"/>
    <cellStyle name="40% - Accent3 2 2 7" xfId="16283"/>
    <cellStyle name="40% - Accent3 2 3" xfId="3458"/>
    <cellStyle name="40% - Accent3 2 3 2" xfId="3459"/>
    <cellStyle name="40% - Accent3 2 3 2 2" xfId="18417"/>
    <cellStyle name="40% - Accent3 2 3 2 3" xfId="19147"/>
    <cellStyle name="40% - Accent3 2 3 2 4" xfId="17612"/>
    <cellStyle name="40% - Accent3 2 3 3" xfId="18072"/>
    <cellStyle name="40% - Accent3 2 3 4" xfId="18716"/>
    <cellStyle name="40% - Accent3 2 3 5" xfId="17105"/>
    <cellStyle name="40% - Accent3 2 3 6" xfId="19784"/>
    <cellStyle name="40% - Accent3 2 4" xfId="3460"/>
    <cellStyle name="40% - Accent3 2 4 2" xfId="16919"/>
    <cellStyle name="40% - Accent3 2 5" xfId="3461"/>
    <cellStyle name="40% - Accent3 2 5 2" xfId="3462"/>
    <cellStyle name="40% - Accent3 2 5 3" xfId="17981"/>
    <cellStyle name="40% - Accent3 2 6" xfId="3463"/>
    <cellStyle name="40% - Accent3 2 6 2" xfId="18654"/>
    <cellStyle name="40% - Accent3 2 7" xfId="3464"/>
    <cellStyle name="40% - Accent3 2 7 2" xfId="16583"/>
    <cellStyle name="40% - Accent3 2 8" xfId="16299"/>
    <cellStyle name="40% - Accent3 3" xfId="3465"/>
    <cellStyle name="40% - Accent3 3 2" xfId="3466"/>
    <cellStyle name="40% - Accent3 3 2 2" xfId="3467"/>
    <cellStyle name="40% - Accent3 3 2 2 2" xfId="3468"/>
    <cellStyle name="40% - Accent3 3 2 2 2 2" xfId="3469"/>
    <cellStyle name="40% - Accent3 3 2 2 2 3" xfId="18397"/>
    <cellStyle name="40% - Accent3 3 2 2 3" xfId="3470"/>
    <cellStyle name="40% - Accent3 3 2 2 3 2" xfId="19133"/>
    <cellStyle name="40% - Accent3 3 2 2 4" xfId="17592"/>
    <cellStyle name="40% - Accent3 3 2 3" xfId="3471"/>
    <cellStyle name="40% - Accent3 3 2 3 2" xfId="3472"/>
    <cellStyle name="40% - Accent3 3 2 3 3" xfId="18059"/>
    <cellStyle name="40% - Accent3 3 2 4" xfId="3473"/>
    <cellStyle name="40% - Accent3 3 2 4 2" xfId="18729"/>
    <cellStyle name="40% - Accent3 3 2 5" xfId="3474"/>
    <cellStyle name="40% - Accent3 3 2 5 2" xfId="3475"/>
    <cellStyle name="40% - Accent3 3 2 6" xfId="3476"/>
    <cellStyle name="40% - Accent3 3 2 6 2" xfId="3477"/>
    <cellStyle name="40% - Accent3 3 2 7" xfId="17089"/>
    <cellStyle name="40% - Accent3 3 3" xfId="3478"/>
    <cellStyle name="40% - Accent3 3 3 2" xfId="3479"/>
    <cellStyle name="40% - Accent3 3 3 2 2" xfId="3480"/>
    <cellStyle name="40% - Accent3 3 3 3" xfId="3481"/>
    <cellStyle name="40% - Accent3 3 3 4" xfId="16948"/>
    <cellStyle name="40% - Accent3 3 3 5" xfId="19847"/>
    <cellStyle name="40% - Accent3 3 4" xfId="3482"/>
    <cellStyle name="40% - Accent3 3 4 2" xfId="3483"/>
    <cellStyle name="40% - Accent3 3 4 3" xfId="17983"/>
    <cellStyle name="40% - Accent3 3 5" xfId="3484"/>
    <cellStyle name="40% - Accent3 3 5 2" xfId="18667"/>
    <cellStyle name="40% - Accent3 3 6" xfId="3485"/>
    <cellStyle name="40% - Accent3 3 6 2" xfId="3486"/>
    <cellStyle name="40% - Accent3 3 6 3" xfId="16585"/>
    <cellStyle name="40% - Accent3 3 7" xfId="3487"/>
    <cellStyle name="40% - Accent3 3 7 2" xfId="3488"/>
    <cellStyle name="40% - Accent3 3 8" xfId="3489"/>
    <cellStyle name="40% - Accent3 3 9" xfId="16277"/>
    <cellStyle name="40% - Accent3 4" xfId="3490"/>
    <cellStyle name="40% - Accent3 4 2" xfId="3491"/>
    <cellStyle name="40% - Accent3 4 2 2" xfId="3492"/>
    <cellStyle name="40% - Accent3 4 2 2 2" xfId="3493"/>
    <cellStyle name="40% - Accent3 4 2 2 2 2" xfId="3494"/>
    <cellStyle name="40% - Accent3 4 2 2 2 3" xfId="18409"/>
    <cellStyle name="40% - Accent3 4 2 2 3" xfId="3495"/>
    <cellStyle name="40% - Accent3 4 2 2 3 2" xfId="19140"/>
    <cellStyle name="40% - Accent3 4 2 2 4" xfId="17604"/>
    <cellStyle name="40% - Accent3 4 2 3" xfId="3496"/>
    <cellStyle name="40% - Accent3 4 2 3 2" xfId="3497"/>
    <cellStyle name="40% - Accent3 4 2 3 3" xfId="18066"/>
    <cellStyle name="40% - Accent3 4 2 4" xfId="3498"/>
    <cellStyle name="40% - Accent3 4 2 4 2" xfId="18813"/>
    <cellStyle name="40% - Accent3 4 2 5" xfId="3499"/>
    <cellStyle name="40% - Accent3 4 2 5 2" xfId="3500"/>
    <cellStyle name="40% - Accent3 4 2 6" xfId="3501"/>
    <cellStyle name="40% - Accent3 4 2 6 2" xfId="3502"/>
    <cellStyle name="40% - Accent3 4 2 7" xfId="17096"/>
    <cellStyle name="40% - Accent3 4 3" xfId="3503"/>
    <cellStyle name="40% - Accent3 4 3 2" xfId="3504"/>
    <cellStyle name="40% - Accent3 4 3 3" xfId="3505"/>
    <cellStyle name="40% - Accent3 4 3 4" xfId="18697"/>
    <cellStyle name="40% - Accent3 4 4" xfId="3506"/>
    <cellStyle name="40% - Accent3 4 4 2" xfId="3507"/>
    <cellStyle name="40% - Accent3 4 4 3" xfId="16891"/>
    <cellStyle name="40% - Accent3 4 5" xfId="3508"/>
    <cellStyle name="40% - Accent3 4 6" xfId="3509"/>
    <cellStyle name="40% - Accent3 4 6 2" xfId="3510"/>
    <cellStyle name="40% - Accent3 4 7" xfId="3511"/>
    <cellStyle name="40% - Accent3 4 7 2" xfId="3512"/>
    <cellStyle name="40% - Accent3 4 8" xfId="3513"/>
    <cellStyle name="40% - Accent3 4 9" xfId="16289"/>
    <cellStyle name="40% - Accent3 5" xfId="3514"/>
    <cellStyle name="40% - Accent3 5 2" xfId="3515"/>
    <cellStyle name="40% - Accent3 5 2 2" xfId="3516"/>
    <cellStyle name="40% - Accent3 5 2 2 2" xfId="3517"/>
    <cellStyle name="40% - Accent3 5 2 2 2 2" xfId="3518"/>
    <cellStyle name="40% - Accent3 5 2 2 3" xfId="3519"/>
    <cellStyle name="40% - Accent3 5 2 3" xfId="3520"/>
    <cellStyle name="40% - Accent3 5 2 3 2" xfId="3521"/>
    <cellStyle name="40% - Accent3 5 2 4" xfId="3522"/>
    <cellStyle name="40% - Accent3 5 2 5" xfId="18264"/>
    <cellStyle name="40% - Accent3 5 3" xfId="3523"/>
    <cellStyle name="40% - Accent3 5 3 2" xfId="19000"/>
    <cellStyle name="40% - Accent3 5 4" xfId="3524"/>
    <cellStyle name="40% - Accent3 5 5" xfId="17459"/>
    <cellStyle name="40% - Accent3 6" xfId="3525"/>
    <cellStyle name="40% - Accent3 6 2" xfId="3526"/>
    <cellStyle name="40% - Accent3 6 2 2" xfId="3527"/>
    <cellStyle name="40% - Accent3 6 2 3" xfId="3528"/>
    <cellStyle name="40% - Accent3 6 2 4" xfId="18571"/>
    <cellStyle name="40% - Accent3 6 3" xfId="3529"/>
    <cellStyle name="40% - Accent3 6 3 2" xfId="3530"/>
    <cellStyle name="40% - Accent3 6 3 2 2" xfId="3531"/>
    <cellStyle name="40% - Accent3 6 3 3" xfId="3532"/>
    <cellStyle name="40% - Accent3 6 3 4" xfId="19293"/>
    <cellStyle name="40% - Accent3 6 4" xfId="3533"/>
    <cellStyle name="40% - Accent3 6 4 2" xfId="3534"/>
    <cellStyle name="40% - Accent3 6 5" xfId="3535"/>
    <cellStyle name="40% - Accent3 6 6" xfId="17766"/>
    <cellStyle name="40% - Accent3 7" xfId="3536"/>
    <cellStyle name="40% - Accent3 7 2" xfId="3537"/>
    <cellStyle name="40% - Accent3 7 2 2" xfId="3538"/>
    <cellStyle name="40% - Accent3 7 2 2 2" xfId="3539"/>
    <cellStyle name="40% - Accent3 7 2 3" xfId="3540"/>
    <cellStyle name="40% - Accent3 7 3" xfId="3541"/>
    <cellStyle name="40% - Accent3 7 3 2" xfId="3542"/>
    <cellStyle name="40% - Accent3 7 4" xfId="3543"/>
    <cellStyle name="40% - Accent3 7 5" xfId="17950"/>
    <cellStyle name="40% - Accent3 8" xfId="3544"/>
    <cellStyle name="40% - Accent3 8 2" xfId="3545"/>
    <cellStyle name="40% - Accent3 8 3" xfId="3546"/>
    <cellStyle name="40% - Accent3 8 4" xfId="18635"/>
    <cellStyle name="40% - Accent3 9" xfId="3547"/>
    <cellStyle name="40% - Accent3 9 2" xfId="3548"/>
    <cellStyle name="40% - Accent3 9 3" xfId="16541"/>
    <cellStyle name="40% - Accent4" xfId="19667" builtinId="43" customBuiltin="1"/>
    <cellStyle name="40% - Accent4 10" xfId="3549"/>
    <cellStyle name="40% - Accent4 10 2" xfId="3550"/>
    <cellStyle name="40% - Accent4 10 3" xfId="19455"/>
    <cellStyle name="40% - Accent4 11" xfId="15972"/>
    <cellStyle name="40% - Accent4 12" xfId="16211"/>
    <cellStyle name="40% - Accent4 2" xfId="18"/>
    <cellStyle name="40% - Accent4 2 2" xfId="3551"/>
    <cellStyle name="40% - Accent4 2 2 2" xfId="3552"/>
    <cellStyle name="40% - Accent4 2 2 2 2" xfId="18433"/>
    <cellStyle name="40% - Accent4 2 2 2 3" xfId="18747"/>
    <cellStyle name="40% - Accent4 2 2 2 4" xfId="17628"/>
    <cellStyle name="40% - Accent4 2 2 2 5" xfId="19816"/>
    <cellStyle name="40% - Accent4 2 2 3" xfId="3553"/>
    <cellStyle name="40% - Accent4 2 2 3 2" xfId="3554"/>
    <cellStyle name="40% - Accent4 2 2 3 2 2" xfId="3555"/>
    <cellStyle name="40% - Accent4 2 2 3 3" xfId="3556"/>
    <cellStyle name="40% - Accent4 2 2 3 4" xfId="17985"/>
    <cellStyle name="40% - Accent4 2 2 4" xfId="3557"/>
    <cellStyle name="40% - Accent4 2 2 4 2" xfId="3558"/>
    <cellStyle name="40% - Accent4 2 2 4 3" xfId="18685"/>
    <cellStyle name="40% - Accent4 2 2 5" xfId="3559"/>
    <cellStyle name="40% - Accent4 2 2 5 2" xfId="16587"/>
    <cellStyle name="40% - Accent4 2 2 6" xfId="3560"/>
    <cellStyle name="40% - Accent4 2 2 6 2" xfId="3561"/>
    <cellStyle name="40% - Accent4 2 2 7" xfId="16315"/>
    <cellStyle name="40% - Accent4 2 3" xfId="3562"/>
    <cellStyle name="40% - Accent4 2 3 2" xfId="3563"/>
    <cellStyle name="40% - Accent4 2 3 2 2" xfId="18419"/>
    <cellStyle name="40% - Accent4 2 3 2 3" xfId="19149"/>
    <cellStyle name="40% - Accent4 2 3 2 4" xfId="17614"/>
    <cellStyle name="40% - Accent4 2 3 3" xfId="18074"/>
    <cellStyle name="40% - Accent4 2 3 4" xfId="18718"/>
    <cellStyle name="40% - Accent4 2 3 5" xfId="17107"/>
    <cellStyle name="40% - Accent4 2 3 6" xfId="19785"/>
    <cellStyle name="40% - Accent4 2 4" xfId="3564"/>
    <cellStyle name="40% - Accent4 2 4 2" xfId="16920"/>
    <cellStyle name="40% - Accent4 2 5" xfId="3565"/>
    <cellStyle name="40% - Accent4 2 5 2" xfId="3566"/>
    <cellStyle name="40% - Accent4 2 5 3" xfId="17984"/>
    <cellStyle name="40% - Accent4 2 6" xfId="3567"/>
    <cellStyle name="40% - Accent4 2 6 2" xfId="18656"/>
    <cellStyle name="40% - Accent4 2 7" xfId="3568"/>
    <cellStyle name="40% - Accent4 2 7 2" xfId="16586"/>
    <cellStyle name="40% - Accent4 2 8" xfId="16301"/>
    <cellStyle name="40% - Accent4 3" xfId="3569"/>
    <cellStyle name="40% - Accent4 3 2" xfId="3570"/>
    <cellStyle name="40% - Accent4 3 2 2" xfId="3571"/>
    <cellStyle name="40% - Accent4 3 2 2 2" xfId="3572"/>
    <cellStyle name="40% - Accent4 3 2 2 2 2" xfId="3573"/>
    <cellStyle name="40% - Accent4 3 2 2 2 3" xfId="18424"/>
    <cellStyle name="40% - Accent4 3 2 2 3" xfId="3574"/>
    <cellStyle name="40% - Accent4 3 2 2 3 2" xfId="19154"/>
    <cellStyle name="40% - Accent4 3 2 2 4" xfId="17619"/>
    <cellStyle name="40% - Accent4 3 2 3" xfId="3575"/>
    <cellStyle name="40% - Accent4 3 2 3 2" xfId="3576"/>
    <cellStyle name="40% - Accent4 3 2 3 3" xfId="18079"/>
    <cellStyle name="40% - Accent4 3 2 4" xfId="3577"/>
    <cellStyle name="40% - Accent4 3 2 4 2" xfId="18731"/>
    <cellStyle name="40% - Accent4 3 2 5" xfId="3578"/>
    <cellStyle name="40% - Accent4 3 2 5 2" xfId="3579"/>
    <cellStyle name="40% - Accent4 3 2 6" xfId="3580"/>
    <cellStyle name="40% - Accent4 3 2 6 2" xfId="3581"/>
    <cellStyle name="40% - Accent4 3 2 7" xfId="17112"/>
    <cellStyle name="40% - Accent4 3 3" xfId="3582"/>
    <cellStyle name="40% - Accent4 3 3 2" xfId="3583"/>
    <cellStyle name="40% - Accent4 3 3 2 2" xfId="3584"/>
    <cellStyle name="40% - Accent4 3 3 3" xfId="3585"/>
    <cellStyle name="40% - Accent4 3 3 4" xfId="16949"/>
    <cellStyle name="40% - Accent4 3 3 5" xfId="19851"/>
    <cellStyle name="40% - Accent4 3 4" xfId="3586"/>
    <cellStyle name="40% - Accent4 3 4 2" xfId="3587"/>
    <cellStyle name="40% - Accent4 3 4 3" xfId="17986"/>
    <cellStyle name="40% - Accent4 3 5" xfId="3588"/>
    <cellStyle name="40% - Accent4 3 5 2" xfId="18669"/>
    <cellStyle name="40% - Accent4 3 6" xfId="3589"/>
    <cellStyle name="40% - Accent4 3 6 2" xfId="3590"/>
    <cellStyle name="40% - Accent4 3 6 3" xfId="16588"/>
    <cellStyle name="40% - Accent4 3 7" xfId="3591"/>
    <cellStyle name="40% - Accent4 3 7 2" xfId="3592"/>
    <cellStyle name="40% - Accent4 3 8" xfId="3593"/>
    <cellStyle name="40% - Accent4 3 9" xfId="16306"/>
    <cellStyle name="40% - Accent4 4" xfId="3594"/>
    <cellStyle name="40% - Accent4 4 2" xfId="3595"/>
    <cellStyle name="40% - Accent4 4 2 2" xfId="3596"/>
    <cellStyle name="40% - Accent4 4 2 2 2" xfId="3597"/>
    <cellStyle name="40% - Accent4 4 2 2 2 2" xfId="3598"/>
    <cellStyle name="40% - Accent4 4 2 2 2 3" xfId="18439"/>
    <cellStyle name="40% - Accent4 4 2 2 3" xfId="3599"/>
    <cellStyle name="40% - Accent4 4 2 2 3 2" xfId="19162"/>
    <cellStyle name="40% - Accent4 4 2 2 4" xfId="17634"/>
    <cellStyle name="40% - Accent4 4 2 3" xfId="3600"/>
    <cellStyle name="40% - Accent4 4 2 3 2" xfId="3601"/>
    <cellStyle name="40% - Accent4 4 2 3 3" xfId="18087"/>
    <cellStyle name="40% - Accent4 4 2 4" xfId="3602"/>
    <cellStyle name="40% - Accent4 4 2 4 2" xfId="18821"/>
    <cellStyle name="40% - Accent4 4 2 5" xfId="3603"/>
    <cellStyle name="40% - Accent4 4 2 5 2" xfId="3604"/>
    <cellStyle name="40% - Accent4 4 2 6" xfId="3605"/>
    <cellStyle name="40% - Accent4 4 2 6 2" xfId="3606"/>
    <cellStyle name="40% - Accent4 4 2 7" xfId="17121"/>
    <cellStyle name="40% - Accent4 4 3" xfId="3607"/>
    <cellStyle name="40% - Accent4 4 3 2" xfId="3608"/>
    <cellStyle name="40% - Accent4 4 3 3" xfId="3609"/>
    <cellStyle name="40% - Accent4 4 3 4" xfId="18699"/>
    <cellStyle name="40% - Accent4 4 4" xfId="3610"/>
    <cellStyle name="40% - Accent4 4 4 2" xfId="3611"/>
    <cellStyle name="40% - Accent4 4 4 3" xfId="16892"/>
    <cellStyle name="40% - Accent4 4 5" xfId="3612"/>
    <cellStyle name="40% - Accent4 4 6" xfId="3613"/>
    <cellStyle name="40% - Accent4 4 6 2" xfId="3614"/>
    <cellStyle name="40% - Accent4 4 7" xfId="3615"/>
    <cellStyle name="40% - Accent4 4 7 2" xfId="3616"/>
    <cellStyle name="40% - Accent4 4 8" xfId="3617"/>
    <cellStyle name="40% - Accent4 4 9" xfId="16324"/>
    <cellStyle name="40% - Accent4 5" xfId="3618"/>
    <cellStyle name="40% - Accent4 5 2" xfId="3619"/>
    <cellStyle name="40% - Accent4 5 2 2" xfId="3620"/>
    <cellStyle name="40% - Accent4 5 2 2 2" xfId="3621"/>
    <cellStyle name="40% - Accent4 5 2 2 2 2" xfId="3622"/>
    <cellStyle name="40% - Accent4 5 2 2 3" xfId="3623"/>
    <cellStyle name="40% - Accent4 5 2 3" xfId="3624"/>
    <cellStyle name="40% - Accent4 5 2 3 2" xfId="3625"/>
    <cellStyle name="40% - Accent4 5 2 4" xfId="3626"/>
    <cellStyle name="40% - Accent4 5 2 5" xfId="18267"/>
    <cellStyle name="40% - Accent4 5 3" xfId="3627"/>
    <cellStyle name="40% - Accent4 5 3 2" xfId="19003"/>
    <cellStyle name="40% - Accent4 5 4" xfId="3628"/>
    <cellStyle name="40% - Accent4 5 5" xfId="17462"/>
    <cellStyle name="40% - Accent4 6" xfId="3629"/>
    <cellStyle name="40% - Accent4 6 2" xfId="3630"/>
    <cellStyle name="40% - Accent4 6 2 2" xfId="3631"/>
    <cellStyle name="40% - Accent4 6 2 3" xfId="3632"/>
    <cellStyle name="40% - Accent4 6 2 4" xfId="18573"/>
    <cellStyle name="40% - Accent4 6 3" xfId="3633"/>
    <cellStyle name="40% - Accent4 6 3 2" xfId="3634"/>
    <cellStyle name="40% - Accent4 6 3 2 2" xfId="3635"/>
    <cellStyle name="40% - Accent4 6 3 3" xfId="3636"/>
    <cellStyle name="40% - Accent4 6 3 4" xfId="19295"/>
    <cellStyle name="40% - Accent4 6 4" xfId="3637"/>
    <cellStyle name="40% - Accent4 6 4 2" xfId="3638"/>
    <cellStyle name="40% - Accent4 6 5" xfId="3639"/>
    <cellStyle name="40% - Accent4 6 6" xfId="17768"/>
    <cellStyle name="40% - Accent4 7" xfId="3640"/>
    <cellStyle name="40% - Accent4 7 2" xfId="3641"/>
    <cellStyle name="40% - Accent4 7 2 2" xfId="3642"/>
    <cellStyle name="40% - Accent4 7 2 2 2" xfId="3643"/>
    <cellStyle name="40% - Accent4 7 2 3" xfId="3644"/>
    <cellStyle name="40% - Accent4 7 3" xfId="3645"/>
    <cellStyle name="40% - Accent4 7 3 2" xfId="3646"/>
    <cellStyle name="40% - Accent4 7 4" xfId="3647"/>
    <cellStyle name="40% - Accent4 7 5" xfId="17952"/>
    <cellStyle name="40% - Accent4 8" xfId="3648"/>
    <cellStyle name="40% - Accent4 8 2" xfId="3649"/>
    <cellStyle name="40% - Accent4 8 3" xfId="3650"/>
    <cellStyle name="40% - Accent4 8 4" xfId="18637"/>
    <cellStyle name="40% - Accent4 9" xfId="3651"/>
    <cellStyle name="40% - Accent4 9 2" xfId="3652"/>
    <cellStyle name="40% - Accent4 9 3" xfId="16545"/>
    <cellStyle name="40% - Accent5" xfId="19671" builtinId="47" customBuiltin="1"/>
    <cellStyle name="40% - Accent5 10" xfId="3653"/>
    <cellStyle name="40% - Accent5 10 2" xfId="3654"/>
    <cellStyle name="40% - Accent5 10 3" xfId="19457"/>
    <cellStyle name="40% - Accent5 11" xfId="15973"/>
    <cellStyle name="40% - Accent5 12" xfId="16215"/>
    <cellStyle name="40% - Accent5 2" xfId="19"/>
    <cellStyle name="40% - Accent5 2 2" xfId="3655"/>
    <cellStyle name="40% - Accent5 2 2 2" xfId="3656"/>
    <cellStyle name="40% - Accent5 2 2 2 2" xfId="18435"/>
    <cellStyle name="40% - Accent5 2 2 2 3" xfId="18749"/>
    <cellStyle name="40% - Accent5 2 2 2 4" xfId="17630"/>
    <cellStyle name="40% - Accent5 2 2 2 5" xfId="19814"/>
    <cellStyle name="40% - Accent5 2 2 3" xfId="3657"/>
    <cellStyle name="40% - Accent5 2 2 3 2" xfId="3658"/>
    <cellStyle name="40% - Accent5 2 2 3 2 2" xfId="3659"/>
    <cellStyle name="40% - Accent5 2 2 3 3" xfId="3660"/>
    <cellStyle name="40% - Accent5 2 2 3 4" xfId="17988"/>
    <cellStyle name="40% - Accent5 2 2 4" xfId="3661"/>
    <cellStyle name="40% - Accent5 2 2 4 2" xfId="3662"/>
    <cellStyle name="40% - Accent5 2 2 4 3" xfId="18687"/>
    <cellStyle name="40% - Accent5 2 2 5" xfId="3663"/>
    <cellStyle name="40% - Accent5 2 2 5 2" xfId="16590"/>
    <cellStyle name="40% - Accent5 2 2 6" xfId="3664"/>
    <cellStyle name="40% - Accent5 2 2 6 2" xfId="3665"/>
    <cellStyle name="40% - Accent5 2 2 7" xfId="16317"/>
    <cellStyle name="40% - Accent5 2 3" xfId="3666"/>
    <cellStyle name="40% - Accent5 2 3 2" xfId="17587"/>
    <cellStyle name="40% - Accent5 2 3 2 2" xfId="18392"/>
    <cellStyle name="40% - Accent5 2 3 2 3" xfId="19128"/>
    <cellStyle name="40% - Accent5 2 3 3" xfId="18054"/>
    <cellStyle name="40% - Accent5 2 3 4" xfId="18720"/>
    <cellStyle name="40% - Accent5 2 3 5" xfId="17084"/>
    <cellStyle name="40% - Accent5 2 3 6" xfId="19786"/>
    <cellStyle name="40% - Accent5 2 4" xfId="3667"/>
    <cellStyle name="40% - Accent5 2 4 2" xfId="16921"/>
    <cellStyle name="40% - Accent5 2 5" xfId="3668"/>
    <cellStyle name="40% - Accent5 2 5 2" xfId="17987"/>
    <cellStyle name="40% - Accent5 2 6" xfId="18658"/>
    <cellStyle name="40% - Accent5 2 7" xfId="16589"/>
    <cellStyle name="40% - Accent5 2 8" xfId="16272"/>
    <cellStyle name="40% - Accent5 3" xfId="3669"/>
    <cellStyle name="40% - Accent5 3 2" xfId="3670"/>
    <cellStyle name="40% - Accent5 3 2 2" xfId="3671"/>
    <cellStyle name="40% - Accent5 3 2 2 2" xfId="3672"/>
    <cellStyle name="40% - Accent5 3 2 2 2 2" xfId="3673"/>
    <cellStyle name="40% - Accent5 3 2 2 2 3" xfId="18426"/>
    <cellStyle name="40% - Accent5 3 2 2 3" xfId="3674"/>
    <cellStyle name="40% - Accent5 3 2 2 3 2" xfId="19156"/>
    <cellStyle name="40% - Accent5 3 2 2 4" xfId="17621"/>
    <cellStyle name="40% - Accent5 3 2 3" xfId="3675"/>
    <cellStyle name="40% - Accent5 3 2 3 2" xfId="3676"/>
    <cellStyle name="40% - Accent5 3 2 3 3" xfId="18081"/>
    <cellStyle name="40% - Accent5 3 2 4" xfId="3677"/>
    <cellStyle name="40% - Accent5 3 2 4 2" xfId="18733"/>
    <cellStyle name="40% - Accent5 3 2 5" xfId="3678"/>
    <cellStyle name="40% - Accent5 3 2 5 2" xfId="3679"/>
    <cellStyle name="40% - Accent5 3 2 6" xfId="3680"/>
    <cellStyle name="40% - Accent5 3 2 6 2" xfId="3681"/>
    <cellStyle name="40% - Accent5 3 2 7" xfId="17114"/>
    <cellStyle name="40% - Accent5 3 3" xfId="3682"/>
    <cellStyle name="40% - Accent5 3 3 2" xfId="3683"/>
    <cellStyle name="40% - Accent5 3 3 2 2" xfId="3684"/>
    <cellStyle name="40% - Accent5 3 3 3" xfId="3685"/>
    <cellStyle name="40% - Accent5 3 3 4" xfId="16950"/>
    <cellStyle name="40% - Accent5 3 3 5" xfId="19855"/>
    <cellStyle name="40% - Accent5 3 4" xfId="3686"/>
    <cellStyle name="40% - Accent5 3 4 2" xfId="3687"/>
    <cellStyle name="40% - Accent5 3 4 3" xfId="17989"/>
    <cellStyle name="40% - Accent5 3 5" xfId="3688"/>
    <cellStyle name="40% - Accent5 3 5 2" xfId="18671"/>
    <cellStyle name="40% - Accent5 3 6" xfId="3689"/>
    <cellStyle name="40% - Accent5 3 6 2" xfId="3690"/>
    <cellStyle name="40% - Accent5 3 6 3" xfId="16591"/>
    <cellStyle name="40% - Accent5 3 7" xfId="3691"/>
    <cellStyle name="40% - Accent5 3 7 2" xfId="3692"/>
    <cellStyle name="40% - Accent5 3 8" xfId="3693"/>
    <cellStyle name="40% - Accent5 3 9" xfId="16308"/>
    <cellStyle name="40% - Accent5 4" xfId="3694"/>
    <cellStyle name="40% - Accent5 4 2" xfId="3695"/>
    <cellStyle name="40% - Accent5 4 2 2" xfId="3696"/>
    <cellStyle name="40% - Accent5 4 2 2 2" xfId="3697"/>
    <cellStyle name="40% - Accent5 4 2 2 2 2" xfId="3698"/>
    <cellStyle name="40% - Accent5 4 2 2 2 3" xfId="18441"/>
    <cellStyle name="40% - Accent5 4 2 2 3" xfId="3699"/>
    <cellStyle name="40% - Accent5 4 2 2 3 2" xfId="19164"/>
    <cellStyle name="40% - Accent5 4 2 2 4" xfId="17636"/>
    <cellStyle name="40% - Accent5 4 2 3" xfId="3700"/>
    <cellStyle name="40% - Accent5 4 2 3 2" xfId="3701"/>
    <cellStyle name="40% - Accent5 4 2 3 3" xfId="18089"/>
    <cellStyle name="40% - Accent5 4 2 4" xfId="3702"/>
    <cellStyle name="40% - Accent5 4 2 4 2" xfId="18823"/>
    <cellStyle name="40% - Accent5 4 2 5" xfId="3703"/>
    <cellStyle name="40% - Accent5 4 2 5 2" xfId="3704"/>
    <cellStyle name="40% - Accent5 4 2 6" xfId="3705"/>
    <cellStyle name="40% - Accent5 4 2 6 2" xfId="3706"/>
    <cellStyle name="40% - Accent5 4 2 7" xfId="17123"/>
    <cellStyle name="40% - Accent5 4 3" xfId="3707"/>
    <cellStyle name="40% - Accent5 4 3 2" xfId="3708"/>
    <cellStyle name="40% - Accent5 4 3 3" xfId="3709"/>
    <cellStyle name="40% - Accent5 4 3 4" xfId="18701"/>
    <cellStyle name="40% - Accent5 4 4" xfId="3710"/>
    <cellStyle name="40% - Accent5 4 4 2" xfId="3711"/>
    <cellStyle name="40% - Accent5 4 4 3" xfId="16893"/>
    <cellStyle name="40% - Accent5 4 5" xfId="3712"/>
    <cellStyle name="40% - Accent5 4 6" xfId="3713"/>
    <cellStyle name="40% - Accent5 4 6 2" xfId="3714"/>
    <cellStyle name="40% - Accent5 4 7" xfId="3715"/>
    <cellStyle name="40% - Accent5 4 7 2" xfId="3716"/>
    <cellStyle name="40% - Accent5 4 8" xfId="3717"/>
    <cellStyle name="40% - Accent5 4 9" xfId="16326"/>
    <cellStyle name="40% - Accent5 5" xfId="3718"/>
    <cellStyle name="40% - Accent5 5 2" xfId="3719"/>
    <cellStyle name="40% - Accent5 5 2 2" xfId="3720"/>
    <cellStyle name="40% - Accent5 5 2 3" xfId="3721"/>
    <cellStyle name="40% - Accent5 5 2 4" xfId="3722"/>
    <cellStyle name="40% - Accent5 5 2 5" xfId="18270"/>
    <cellStyle name="40% - Accent5 5 3" xfId="3723"/>
    <cellStyle name="40% - Accent5 5 3 2" xfId="3724"/>
    <cellStyle name="40% - Accent5 5 3 2 2" xfId="3725"/>
    <cellStyle name="40% - Accent5 5 3 3" xfId="3726"/>
    <cellStyle name="40% - Accent5 5 3 4" xfId="19006"/>
    <cellStyle name="40% - Accent5 5 4" xfId="3727"/>
    <cellStyle name="40% - Accent5 5 4 2" xfId="3728"/>
    <cellStyle name="40% - Accent5 5 5" xfId="3729"/>
    <cellStyle name="40% - Accent5 5 6" xfId="17465"/>
    <cellStyle name="40% - Accent5 6" xfId="3730"/>
    <cellStyle name="40% - Accent5 6 2" xfId="3731"/>
    <cellStyle name="40% - Accent5 6 2 2" xfId="3732"/>
    <cellStyle name="40% - Accent5 6 2 2 2" xfId="3733"/>
    <cellStyle name="40% - Accent5 6 2 3" xfId="3734"/>
    <cellStyle name="40% - Accent5 6 2 4" xfId="18575"/>
    <cellStyle name="40% - Accent5 6 3" xfId="3735"/>
    <cellStyle name="40% - Accent5 6 3 2" xfId="3736"/>
    <cellStyle name="40% - Accent5 6 3 3" xfId="19297"/>
    <cellStyle name="40% - Accent5 6 4" xfId="3737"/>
    <cellStyle name="40% - Accent5 6 5" xfId="17770"/>
    <cellStyle name="40% - Accent5 7" xfId="3738"/>
    <cellStyle name="40% - Accent5 7 2" xfId="3739"/>
    <cellStyle name="40% - Accent5 7 2 2" xfId="3740"/>
    <cellStyle name="40% - Accent5 7 2 2 2" xfId="3741"/>
    <cellStyle name="40% - Accent5 7 2 3" xfId="3742"/>
    <cellStyle name="40% - Accent5 7 3" xfId="3743"/>
    <cellStyle name="40% - Accent5 7 3 2" xfId="3744"/>
    <cellStyle name="40% - Accent5 7 4" xfId="3745"/>
    <cellStyle name="40% - Accent5 7 5" xfId="17954"/>
    <cellStyle name="40% - Accent5 8" xfId="3746"/>
    <cellStyle name="40% - Accent5 8 2" xfId="3747"/>
    <cellStyle name="40% - Accent5 8 3" xfId="3748"/>
    <cellStyle name="40% - Accent5 8 4" xfId="18639"/>
    <cellStyle name="40% - Accent5 9" xfId="3749"/>
    <cellStyle name="40% - Accent5 9 2" xfId="3750"/>
    <cellStyle name="40% - Accent5 9 3" xfId="16549"/>
    <cellStyle name="40% - Accent6" xfId="19675" builtinId="51" customBuiltin="1"/>
    <cellStyle name="40% - Accent6 10" xfId="3751"/>
    <cellStyle name="40% - Accent6 10 2" xfId="3752"/>
    <cellStyle name="40% - Accent6 10 3" xfId="19459"/>
    <cellStyle name="40% - Accent6 11" xfId="15974"/>
    <cellStyle name="40% - Accent6 12" xfId="16219"/>
    <cellStyle name="40% - Accent6 2" xfId="20"/>
    <cellStyle name="40% - Accent6 2 2" xfId="3753"/>
    <cellStyle name="40% - Accent6 2 2 2" xfId="3754"/>
    <cellStyle name="40% - Accent6 2 2 2 2" xfId="18451"/>
    <cellStyle name="40% - Accent6 2 2 2 3" xfId="18751"/>
    <cellStyle name="40% - Accent6 2 2 2 4" xfId="17646"/>
    <cellStyle name="40% - Accent6 2 2 2 5" xfId="19808"/>
    <cellStyle name="40% - Accent6 2 2 3" xfId="3755"/>
    <cellStyle name="40% - Accent6 2 2 3 2" xfId="3756"/>
    <cellStyle name="40% - Accent6 2 2 3 2 2" xfId="3757"/>
    <cellStyle name="40% - Accent6 2 2 3 3" xfId="3758"/>
    <cellStyle name="40% - Accent6 2 2 3 4" xfId="17991"/>
    <cellStyle name="40% - Accent6 2 2 4" xfId="3759"/>
    <cellStyle name="40% - Accent6 2 2 4 2" xfId="3760"/>
    <cellStyle name="40% - Accent6 2 2 4 3" xfId="18689"/>
    <cellStyle name="40% - Accent6 2 2 5" xfId="3761"/>
    <cellStyle name="40% - Accent6 2 2 5 2" xfId="16593"/>
    <cellStyle name="40% - Accent6 2 2 6" xfId="3762"/>
    <cellStyle name="40% - Accent6 2 2 6 2" xfId="3763"/>
    <cellStyle name="40% - Accent6 2 2 7" xfId="16334"/>
    <cellStyle name="40% - Accent6 2 3" xfId="3764"/>
    <cellStyle name="40% - Accent6 2 3 2" xfId="3765"/>
    <cellStyle name="40% - Accent6 2 3 2 2" xfId="18394"/>
    <cellStyle name="40% - Accent6 2 3 2 3" xfId="19130"/>
    <cellStyle name="40% - Accent6 2 3 2 4" xfId="17589"/>
    <cellStyle name="40% - Accent6 2 3 3" xfId="18056"/>
    <cellStyle name="40% - Accent6 2 3 4" xfId="18722"/>
    <cellStyle name="40% - Accent6 2 3 5" xfId="17086"/>
    <cellStyle name="40% - Accent6 2 3 6" xfId="19787"/>
    <cellStyle name="40% - Accent6 2 4" xfId="3766"/>
    <cellStyle name="40% - Accent6 2 4 2" xfId="16922"/>
    <cellStyle name="40% - Accent6 2 5" xfId="3767"/>
    <cellStyle name="40% - Accent6 2 5 2" xfId="3768"/>
    <cellStyle name="40% - Accent6 2 5 3" xfId="17990"/>
    <cellStyle name="40% - Accent6 2 6" xfId="3769"/>
    <cellStyle name="40% - Accent6 2 6 2" xfId="18660"/>
    <cellStyle name="40% - Accent6 2 7" xfId="3770"/>
    <cellStyle name="40% - Accent6 2 7 2" xfId="16592"/>
    <cellStyle name="40% - Accent6 2 8" xfId="16274"/>
    <cellStyle name="40% - Accent6 3" xfId="3771"/>
    <cellStyle name="40% - Accent6 3 2" xfId="3772"/>
    <cellStyle name="40% - Accent6 3 2 2" xfId="3773"/>
    <cellStyle name="40% - Accent6 3 2 2 2" xfId="3774"/>
    <cellStyle name="40% - Accent6 3 2 2 2 2" xfId="3775"/>
    <cellStyle name="40% - Accent6 3 2 2 2 3" xfId="18450"/>
    <cellStyle name="40% - Accent6 3 2 2 3" xfId="3776"/>
    <cellStyle name="40% - Accent6 3 2 2 3 2" xfId="19173"/>
    <cellStyle name="40% - Accent6 3 2 2 4" xfId="17645"/>
    <cellStyle name="40% - Accent6 3 2 3" xfId="3777"/>
    <cellStyle name="40% - Accent6 3 2 3 2" xfId="3778"/>
    <cellStyle name="40% - Accent6 3 2 3 3" xfId="18091"/>
    <cellStyle name="40% - Accent6 3 2 4" xfId="3779"/>
    <cellStyle name="40% - Accent6 3 2 4 2" xfId="18735"/>
    <cellStyle name="40% - Accent6 3 2 5" xfId="3780"/>
    <cellStyle name="40% - Accent6 3 2 5 2" xfId="3781"/>
    <cellStyle name="40% - Accent6 3 2 6" xfId="3782"/>
    <cellStyle name="40% - Accent6 3 2 6 2" xfId="3783"/>
    <cellStyle name="40% - Accent6 3 2 7" xfId="17129"/>
    <cellStyle name="40% - Accent6 3 3" xfId="3784"/>
    <cellStyle name="40% - Accent6 3 3 2" xfId="3785"/>
    <cellStyle name="40% - Accent6 3 3 2 2" xfId="3786"/>
    <cellStyle name="40% - Accent6 3 3 3" xfId="3787"/>
    <cellStyle name="40% - Accent6 3 3 4" xfId="16951"/>
    <cellStyle name="40% - Accent6 3 3 5" xfId="19859"/>
    <cellStyle name="40% - Accent6 3 4" xfId="3788"/>
    <cellStyle name="40% - Accent6 3 4 2" xfId="3789"/>
    <cellStyle name="40% - Accent6 3 4 3" xfId="17992"/>
    <cellStyle name="40% - Accent6 3 5" xfId="3790"/>
    <cellStyle name="40% - Accent6 3 5 2" xfId="18673"/>
    <cellStyle name="40% - Accent6 3 6" xfId="3791"/>
    <cellStyle name="40% - Accent6 3 6 2" xfId="3792"/>
    <cellStyle name="40% - Accent6 3 6 3" xfId="16594"/>
    <cellStyle name="40% - Accent6 3 7" xfId="3793"/>
    <cellStyle name="40% - Accent6 3 7 2" xfId="3794"/>
    <cellStyle name="40% - Accent6 3 8" xfId="3795"/>
    <cellStyle name="40% - Accent6 3 9" xfId="16333"/>
    <cellStyle name="40% - Accent6 4" xfId="3796"/>
    <cellStyle name="40% - Accent6 4 2" xfId="3797"/>
    <cellStyle name="40% - Accent6 4 2 2" xfId="3798"/>
    <cellStyle name="40% - Accent6 4 2 2 2" xfId="3799"/>
    <cellStyle name="40% - Accent6 4 2 2 2 2" xfId="3800"/>
    <cellStyle name="40% - Accent6 4 2 2 2 3" xfId="18412"/>
    <cellStyle name="40% - Accent6 4 2 2 3" xfId="3801"/>
    <cellStyle name="40% - Accent6 4 2 2 3 2" xfId="19142"/>
    <cellStyle name="40% - Accent6 4 2 2 4" xfId="17607"/>
    <cellStyle name="40% - Accent6 4 2 3" xfId="3802"/>
    <cellStyle name="40% - Accent6 4 2 3 2" xfId="3803"/>
    <cellStyle name="40% - Accent6 4 2 3 3" xfId="18068"/>
    <cellStyle name="40% - Accent6 4 2 4" xfId="3804"/>
    <cellStyle name="40% - Accent6 4 2 4 2" xfId="18815"/>
    <cellStyle name="40% - Accent6 4 2 5" xfId="3805"/>
    <cellStyle name="40% - Accent6 4 2 5 2" xfId="3806"/>
    <cellStyle name="40% - Accent6 4 2 6" xfId="3807"/>
    <cellStyle name="40% - Accent6 4 2 6 2" xfId="3808"/>
    <cellStyle name="40% - Accent6 4 2 7" xfId="17098"/>
    <cellStyle name="40% - Accent6 4 3" xfId="3809"/>
    <cellStyle name="40% - Accent6 4 3 2" xfId="3810"/>
    <cellStyle name="40% - Accent6 4 3 3" xfId="3811"/>
    <cellStyle name="40% - Accent6 4 3 4" xfId="18703"/>
    <cellStyle name="40% - Accent6 4 4" xfId="3812"/>
    <cellStyle name="40% - Accent6 4 4 2" xfId="3813"/>
    <cellStyle name="40% - Accent6 4 4 3" xfId="16894"/>
    <cellStyle name="40% - Accent6 4 5" xfId="3814"/>
    <cellStyle name="40% - Accent6 4 6" xfId="3815"/>
    <cellStyle name="40% - Accent6 4 6 2" xfId="3816"/>
    <cellStyle name="40% - Accent6 4 7" xfId="3817"/>
    <cellStyle name="40% - Accent6 4 7 2" xfId="3818"/>
    <cellStyle name="40% - Accent6 4 8" xfId="3819"/>
    <cellStyle name="40% - Accent6 4 9" xfId="16292"/>
    <cellStyle name="40% - Accent6 5" xfId="3820"/>
    <cellStyle name="40% - Accent6 5 2" xfId="3821"/>
    <cellStyle name="40% - Accent6 5 2 2" xfId="3822"/>
    <cellStyle name="40% - Accent6 5 2 2 2" xfId="3823"/>
    <cellStyle name="40% - Accent6 5 2 2 2 2" xfId="3824"/>
    <cellStyle name="40% - Accent6 5 2 2 3" xfId="3825"/>
    <cellStyle name="40% - Accent6 5 2 3" xfId="3826"/>
    <cellStyle name="40% - Accent6 5 2 3 2" xfId="3827"/>
    <cellStyle name="40% - Accent6 5 2 4" xfId="3828"/>
    <cellStyle name="40% - Accent6 5 2 5" xfId="18273"/>
    <cellStyle name="40% - Accent6 5 3" xfId="3829"/>
    <cellStyle name="40% - Accent6 5 3 2" xfId="19009"/>
    <cellStyle name="40% - Accent6 5 4" xfId="3830"/>
    <cellStyle name="40% - Accent6 5 5" xfId="17468"/>
    <cellStyle name="40% - Accent6 6" xfId="3831"/>
    <cellStyle name="40% - Accent6 6 2" xfId="3832"/>
    <cellStyle name="40% - Accent6 6 2 2" xfId="3833"/>
    <cellStyle name="40% - Accent6 6 2 3" xfId="3834"/>
    <cellStyle name="40% - Accent6 6 2 4" xfId="18577"/>
    <cellStyle name="40% - Accent6 6 3" xfId="3835"/>
    <cellStyle name="40% - Accent6 6 3 2" xfId="3836"/>
    <cellStyle name="40% - Accent6 6 3 2 2" xfId="3837"/>
    <cellStyle name="40% - Accent6 6 3 3" xfId="3838"/>
    <cellStyle name="40% - Accent6 6 3 4" xfId="19299"/>
    <cellStyle name="40% - Accent6 6 4" xfId="3839"/>
    <cellStyle name="40% - Accent6 6 4 2" xfId="3840"/>
    <cellStyle name="40% - Accent6 6 5" xfId="3841"/>
    <cellStyle name="40% - Accent6 6 6" xfId="17772"/>
    <cellStyle name="40% - Accent6 7" xfId="3842"/>
    <cellStyle name="40% - Accent6 7 2" xfId="3843"/>
    <cellStyle name="40% - Accent6 7 2 2" xfId="3844"/>
    <cellStyle name="40% - Accent6 7 2 2 2" xfId="3845"/>
    <cellStyle name="40% - Accent6 7 2 3" xfId="3846"/>
    <cellStyle name="40% - Accent6 7 3" xfId="3847"/>
    <cellStyle name="40% - Accent6 7 3 2" xfId="3848"/>
    <cellStyle name="40% - Accent6 7 4" xfId="3849"/>
    <cellStyle name="40% - Accent6 7 5" xfId="17956"/>
    <cellStyle name="40% - Accent6 8" xfId="3850"/>
    <cellStyle name="40% - Accent6 8 2" xfId="3851"/>
    <cellStyle name="40% - Accent6 8 3" xfId="3852"/>
    <cellStyle name="40% - Accent6 8 4" xfId="18641"/>
    <cellStyle name="40% - Accent6 9" xfId="3853"/>
    <cellStyle name="40% - Accent6 9 2" xfId="3854"/>
    <cellStyle name="40% - Accent6 9 3" xfId="16553"/>
    <cellStyle name="⁴㉛湝琀" xfId="3856"/>
    <cellStyle name="⁴〮渰琀" xfId="3855"/>
    <cellStyle name="60% - Accent1" xfId="19656" builtinId="32" customBuiltin="1"/>
    <cellStyle name="60% - Accent1 10" xfId="15975"/>
    <cellStyle name="60% - Accent1 11" xfId="16200"/>
    <cellStyle name="60% - Accent1 2" xfId="21"/>
    <cellStyle name="60% - Accent1 2 2" xfId="3857"/>
    <cellStyle name="60% - Accent1 2 2 2" xfId="3858"/>
    <cellStyle name="60% - Accent1 2 2 3" xfId="3859"/>
    <cellStyle name="60% - Accent1 2 3" xfId="3860"/>
    <cellStyle name="60% - Accent1 2 3 2" xfId="3861"/>
    <cellStyle name="60% - Accent1 2 4" xfId="3862"/>
    <cellStyle name="60% - Accent1 2 5" xfId="3863"/>
    <cellStyle name="60% - Accent1 2 6" xfId="3864"/>
    <cellStyle name="60% - Accent1 2 7" xfId="19840"/>
    <cellStyle name="60% - Accent1 3" xfId="3865"/>
    <cellStyle name="60% - Accent1 3 2" xfId="3866"/>
    <cellStyle name="60% - Accent1 3 2 2" xfId="3867"/>
    <cellStyle name="60% - Accent1 3 3" xfId="3868"/>
    <cellStyle name="60% - Accent1 3 4" xfId="3869"/>
    <cellStyle name="60% - Accent1 4" xfId="3870"/>
    <cellStyle name="60% - Accent1 4 2" xfId="3871"/>
    <cellStyle name="60% - Accent1 4 2 2" xfId="3872"/>
    <cellStyle name="60% - Accent1 4 3" xfId="3873"/>
    <cellStyle name="60% - Accent1 5" xfId="3874"/>
    <cellStyle name="60% - Accent1 5 2" xfId="3875"/>
    <cellStyle name="60% - Accent1 5 3" xfId="16534"/>
    <cellStyle name="60% - Accent1 6" xfId="3876"/>
    <cellStyle name="60% - Accent1 7" xfId="3877"/>
    <cellStyle name="60% - Accent1 8" xfId="3878"/>
    <cellStyle name="60% - Accent1 9" xfId="3879"/>
    <cellStyle name="60% - Accent2" xfId="19660" builtinId="36" customBuiltin="1"/>
    <cellStyle name="60% - Accent2 10" xfId="15976"/>
    <cellStyle name="60% - Accent2 11" xfId="16204"/>
    <cellStyle name="60% - Accent2 2" xfId="22"/>
    <cellStyle name="60% - Accent2 2 2" xfId="3880"/>
    <cellStyle name="60% - Accent2 2 2 2" xfId="3881"/>
    <cellStyle name="60% - Accent2 2 2 3" xfId="3882"/>
    <cellStyle name="60% - Accent2 2 3" xfId="3883"/>
    <cellStyle name="60% - Accent2 2 4" xfId="3884"/>
    <cellStyle name="60% - Accent2 2 5" xfId="3885"/>
    <cellStyle name="60% - Accent2 2 6" xfId="3886"/>
    <cellStyle name="60% - Accent2 2 7" xfId="19844"/>
    <cellStyle name="60% - Accent2 3" xfId="3887"/>
    <cellStyle name="60% - Accent2 3 2" xfId="3888"/>
    <cellStyle name="60% - Accent2 3 2 2" xfId="3889"/>
    <cellStyle name="60% - Accent2 4" xfId="3890"/>
    <cellStyle name="60% - Accent2 4 2" xfId="3891"/>
    <cellStyle name="60% - Accent2 4 2 2" xfId="3892"/>
    <cellStyle name="60% - Accent2 5" xfId="3893"/>
    <cellStyle name="60% - Accent2 5 2" xfId="16538"/>
    <cellStyle name="60% - Accent2 6" xfId="3894"/>
    <cellStyle name="60% - Accent2 7" xfId="3895"/>
    <cellStyle name="60% - Accent2 8" xfId="3896"/>
    <cellStyle name="60% - Accent2 9" xfId="3897"/>
    <cellStyle name="60% - Accent3" xfId="19664" builtinId="40" customBuiltin="1"/>
    <cellStyle name="60% - Accent3 10" xfId="15977"/>
    <cellStyle name="60% - Accent3 11" xfId="16208"/>
    <cellStyle name="60% - Accent3 2" xfId="23"/>
    <cellStyle name="60% - Accent3 2 2" xfId="3898"/>
    <cellStyle name="60% - Accent3 2 2 2" xfId="3899"/>
    <cellStyle name="60% - Accent3 2 2 3" xfId="3900"/>
    <cellStyle name="60% - Accent3 2 3" xfId="3901"/>
    <cellStyle name="60% - Accent3 2 3 2" xfId="3902"/>
    <cellStyle name="60% - Accent3 2 4" xfId="3903"/>
    <cellStyle name="60% - Accent3 2 5" xfId="3904"/>
    <cellStyle name="60% - Accent3 2 6" xfId="3905"/>
    <cellStyle name="60% - Accent3 2 7" xfId="19848"/>
    <cellStyle name="60% - Accent3 3" xfId="3906"/>
    <cellStyle name="60% - Accent3 3 2" xfId="3907"/>
    <cellStyle name="60% - Accent3 3 2 2" xfId="3908"/>
    <cellStyle name="60% - Accent3 3 3" xfId="3909"/>
    <cellStyle name="60% - Accent3 3 4" xfId="3910"/>
    <cellStyle name="60% - Accent3 4" xfId="3911"/>
    <cellStyle name="60% - Accent3 4 2" xfId="3912"/>
    <cellStyle name="60% - Accent3 4 2 2" xfId="3913"/>
    <cellStyle name="60% - Accent3 4 3" xfId="3914"/>
    <cellStyle name="60% - Accent3 5" xfId="3915"/>
    <cellStyle name="60% - Accent3 5 2" xfId="3916"/>
    <cellStyle name="60% - Accent3 5 3" xfId="16542"/>
    <cellStyle name="60% - Accent3 6" xfId="3917"/>
    <cellStyle name="60% - Accent3 7" xfId="3918"/>
    <cellStyle name="60% - Accent3 8" xfId="3919"/>
    <cellStyle name="60% - Accent3 9" xfId="3920"/>
    <cellStyle name="60% - Accent4" xfId="19668" builtinId="44" customBuiltin="1"/>
    <cellStyle name="60% - Accent4 10" xfId="15978"/>
    <cellStyle name="60% - Accent4 11" xfId="16212"/>
    <cellStyle name="60% - Accent4 2" xfId="24"/>
    <cellStyle name="60% - Accent4 2 2" xfId="3921"/>
    <cellStyle name="60% - Accent4 2 2 2" xfId="3922"/>
    <cellStyle name="60% - Accent4 2 2 3" xfId="3923"/>
    <cellStyle name="60% - Accent4 2 3" xfId="3924"/>
    <cellStyle name="60% - Accent4 2 3 2" xfId="3925"/>
    <cellStyle name="60% - Accent4 2 4" xfId="3926"/>
    <cellStyle name="60% - Accent4 2 5" xfId="3927"/>
    <cellStyle name="60% - Accent4 2 6" xfId="3928"/>
    <cellStyle name="60% - Accent4 2 7" xfId="19852"/>
    <cellStyle name="60% - Accent4 3" xfId="3929"/>
    <cellStyle name="60% - Accent4 3 2" xfId="3930"/>
    <cellStyle name="60% - Accent4 3 2 2" xfId="3931"/>
    <cellStyle name="60% - Accent4 3 3" xfId="3932"/>
    <cellStyle name="60% - Accent4 3 4" xfId="3933"/>
    <cellStyle name="60% - Accent4 4" xfId="3934"/>
    <cellStyle name="60% - Accent4 4 2" xfId="3935"/>
    <cellStyle name="60% - Accent4 4 2 2" xfId="3936"/>
    <cellStyle name="60% - Accent4 4 3" xfId="3937"/>
    <cellStyle name="60% - Accent4 5" xfId="3938"/>
    <cellStyle name="60% - Accent4 5 2" xfId="3939"/>
    <cellStyle name="60% - Accent4 5 3" xfId="16546"/>
    <cellStyle name="60% - Accent4 6" xfId="3940"/>
    <cellStyle name="60% - Accent4 7" xfId="3941"/>
    <cellStyle name="60% - Accent4 8" xfId="3942"/>
    <cellStyle name="60% - Accent4 9" xfId="3943"/>
    <cellStyle name="60% - Accent5" xfId="19672" builtinId="48" customBuiltin="1"/>
    <cellStyle name="60% - Accent5 10" xfId="15979"/>
    <cellStyle name="60% - Accent5 11" xfId="16216"/>
    <cellStyle name="60% - Accent5 2" xfId="25"/>
    <cellStyle name="60% - Accent5 2 2" xfId="3944"/>
    <cellStyle name="60% - Accent5 2 2 2" xfId="3945"/>
    <cellStyle name="60% - Accent5 2 2 3" xfId="3946"/>
    <cellStyle name="60% - Accent5 2 3" xfId="3947"/>
    <cellStyle name="60% - Accent5 2 4" xfId="3948"/>
    <cellStyle name="60% - Accent5 2 5" xfId="3949"/>
    <cellStyle name="60% - Accent5 2 6" xfId="3950"/>
    <cellStyle name="60% - Accent5 2 7" xfId="19856"/>
    <cellStyle name="60% - Accent5 3" xfId="3951"/>
    <cellStyle name="60% - Accent5 3 2" xfId="3952"/>
    <cellStyle name="60% - Accent5 3 2 2" xfId="3953"/>
    <cellStyle name="60% - Accent5 4" xfId="3954"/>
    <cellStyle name="60% - Accent5 4 2" xfId="3955"/>
    <cellStyle name="60% - Accent5 4 2 2" xfId="3956"/>
    <cellStyle name="60% - Accent5 5" xfId="3957"/>
    <cellStyle name="60% - Accent5 5 2" xfId="16550"/>
    <cellStyle name="60% - Accent5 6" xfId="3958"/>
    <cellStyle name="60% - Accent5 7" xfId="3959"/>
    <cellStyle name="60% - Accent5 8" xfId="3960"/>
    <cellStyle name="60% - Accent5 9" xfId="3961"/>
    <cellStyle name="60% - Accent6" xfId="19676" builtinId="52" customBuiltin="1"/>
    <cellStyle name="60% - Accent6 10" xfId="15980"/>
    <cellStyle name="60% - Accent6 11" xfId="16220"/>
    <cellStyle name="60% - Accent6 2" xfId="26"/>
    <cellStyle name="60% - Accent6 2 2" xfId="3962"/>
    <cellStyle name="60% - Accent6 2 2 2" xfId="3963"/>
    <cellStyle name="60% - Accent6 2 2 3" xfId="3964"/>
    <cellStyle name="60% - Accent6 2 3" xfId="3965"/>
    <cellStyle name="60% - Accent6 2 3 2" xfId="3966"/>
    <cellStyle name="60% - Accent6 2 4" xfId="3967"/>
    <cellStyle name="60% - Accent6 2 5" xfId="3968"/>
    <cellStyle name="60% - Accent6 2 6" xfId="3969"/>
    <cellStyle name="60% - Accent6 2 7" xfId="19860"/>
    <cellStyle name="60% - Accent6 3" xfId="3970"/>
    <cellStyle name="60% - Accent6 3 2" xfId="3971"/>
    <cellStyle name="60% - Accent6 3 2 2" xfId="3972"/>
    <cellStyle name="60% - Accent6 3 3" xfId="3973"/>
    <cellStyle name="60% - Accent6 3 4" xfId="3974"/>
    <cellStyle name="60% - Accent6 4" xfId="3975"/>
    <cellStyle name="60% - Accent6 4 2" xfId="3976"/>
    <cellStyle name="60% - Accent6 4 2 2" xfId="3977"/>
    <cellStyle name="60% - Accent6 4 3" xfId="3978"/>
    <cellStyle name="60% - Accent6 5" xfId="3979"/>
    <cellStyle name="60% - Accent6 5 2" xfId="3980"/>
    <cellStyle name="60% - Accent6 5 3" xfId="16554"/>
    <cellStyle name="60% - Accent6 6" xfId="3981"/>
    <cellStyle name="60% - Accent6 7" xfId="3982"/>
    <cellStyle name="60% - Accent6 8" xfId="3983"/>
    <cellStyle name="60% - Accent6 9" xfId="3984"/>
    <cellStyle name="⁷潒慭彮䍃" xfId="3985"/>
    <cellStyle name="A_green" xfId="27"/>
    <cellStyle name="A_green_NCSC1003" xfId="28"/>
    <cellStyle name="Accent1" xfId="19653" builtinId="29" customBuiltin="1"/>
    <cellStyle name="Accent1 - 20%" xfId="3986"/>
    <cellStyle name="Accent1 - 40%" xfId="3987"/>
    <cellStyle name="Accent1 - 60%" xfId="3988"/>
    <cellStyle name="Accent1 10" xfId="15981"/>
    <cellStyle name="Accent1 11" xfId="16014"/>
    <cellStyle name="Accent1 12" xfId="16013"/>
    <cellStyle name="Accent1 13" xfId="16020"/>
    <cellStyle name="Accent1 14" xfId="16197"/>
    <cellStyle name="Accent1 15" xfId="16169"/>
    <cellStyle name="Accent1 2" xfId="29"/>
    <cellStyle name="Accent1 2 2" xfId="3989"/>
    <cellStyle name="Accent1 2 2 2" xfId="3990"/>
    <cellStyle name="Accent1 2 2 3" xfId="3991"/>
    <cellStyle name="Accent1 2 3" xfId="3992"/>
    <cellStyle name="Accent1 2 3 2" xfId="3993"/>
    <cellStyle name="Accent1 2 4" xfId="3994"/>
    <cellStyle name="Accent1 2 5" xfId="3995"/>
    <cellStyle name="Accent1 2 6" xfId="3996"/>
    <cellStyle name="Accent1 2 7" xfId="19837"/>
    <cellStyle name="Accent1 3" xfId="3997"/>
    <cellStyle name="Accent1 3 2" xfId="3998"/>
    <cellStyle name="Accent1 3 2 2" xfId="3999"/>
    <cellStyle name="Accent1 3 3" xfId="4000"/>
    <cellStyle name="Accent1 3 3 2" xfId="4001"/>
    <cellStyle name="Accent1 3 4" xfId="4002"/>
    <cellStyle name="Accent1 4" xfId="4003"/>
    <cellStyle name="Accent1 4 2" xfId="4004"/>
    <cellStyle name="Accent1 4 2 2" xfId="4005"/>
    <cellStyle name="Accent1 4 3" xfId="4006"/>
    <cellStyle name="Accent1 5" xfId="4007"/>
    <cellStyle name="Accent1 5 2" xfId="4008"/>
    <cellStyle name="Accent1 5 3" xfId="16531"/>
    <cellStyle name="Accent1 6" xfId="4009"/>
    <cellStyle name="Accent1 7" xfId="4010"/>
    <cellStyle name="Accent1 8" xfId="4011"/>
    <cellStyle name="Accent1 9" xfId="4012"/>
    <cellStyle name="Accent2" xfId="19657" builtinId="33" customBuiltin="1"/>
    <cellStyle name="Accent2 - 20%" xfId="4013"/>
    <cellStyle name="Accent2 - 40%" xfId="4014"/>
    <cellStyle name="Accent2 - 60%" xfId="4015"/>
    <cellStyle name="Accent2 10" xfId="15982"/>
    <cellStyle name="Accent2 11" xfId="16015"/>
    <cellStyle name="Accent2 12" xfId="16012"/>
    <cellStyle name="Accent2 13" xfId="16021"/>
    <cellStyle name="Accent2 14" xfId="16201"/>
    <cellStyle name="Accent2 15" xfId="16242"/>
    <cellStyle name="Accent2 2" xfId="30"/>
    <cellStyle name="Accent2 2 2" xfId="4016"/>
    <cellStyle name="Accent2 2 2 2" xfId="4017"/>
    <cellStyle name="Accent2 2 2 3" xfId="4018"/>
    <cellStyle name="Accent2 2 3" xfId="4019"/>
    <cellStyle name="Accent2 2 3 2" xfId="4020"/>
    <cellStyle name="Accent2 2 4" xfId="4021"/>
    <cellStyle name="Accent2 2 5" xfId="4022"/>
    <cellStyle name="Accent2 2 6" xfId="4023"/>
    <cellStyle name="Accent2 2 7" xfId="19841"/>
    <cellStyle name="Accent2 3" xfId="4024"/>
    <cellStyle name="Accent2 3 2" xfId="4025"/>
    <cellStyle name="Accent2 3 2 2" xfId="4026"/>
    <cellStyle name="Accent2 3 3" xfId="4027"/>
    <cellStyle name="Accent2 4" xfId="4028"/>
    <cellStyle name="Accent2 4 2" xfId="4029"/>
    <cellStyle name="Accent2 4 2 2" xfId="4030"/>
    <cellStyle name="Accent2 5" xfId="4031"/>
    <cellStyle name="Accent2 5 2" xfId="16535"/>
    <cellStyle name="Accent2 6" xfId="4032"/>
    <cellStyle name="Accent2 7" xfId="4033"/>
    <cellStyle name="Accent2 8" xfId="4034"/>
    <cellStyle name="Accent2 9" xfId="4035"/>
    <cellStyle name="Accent3" xfId="19661" builtinId="37" customBuiltin="1"/>
    <cellStyle name="Accent3 - 20%" xfId="4036"/>
    <cellStyle name="Accent3 - 40%" xfId="4037"/>
    <cellStyle name="Accent3 - 60%" xfId="4038"/>
    <cellStyle name="Accent3 10" xfId="15983"/>
    <cellStyle name="Accent3 11" xfId="16016"/>
    <cellStyle name="Accent3 12" xfId="16011"/>
    <cellStyle name="Accent3 13" xfId="16022"/>
    <cellStyle name="Accent3 14" xfId="16205"/>
    <cellStyle name="Accent3 15" xfId="16241"/>
    <cellStyle name="Accent3 2" xfId="31"/>
    <cellStyle name="Accent3 2 2" xfId="4039"/>
    <cellStyle name="Accent3 2 2 2" xfId="4040"/>
    <cellStyle name="Accent3 2 2 3" xfId="4041"/>
    <cellStyle name="Accent3 2 3" xfId="4042"/>
    <cellStyle name="Accent3 2 3 2" xfId="4043"/>
    <cellStyle name="Accent3 2 4" xfId="4044"/>
    <cellStyle name="Accent3 2 5" xfId="4045"/>
    <cellStyle name="Accent3 2 6" xfId="4046"/>
    <cellStyle name="Accent3 2 7" xfId="19845"/>
    <cellStyle name="Accent3 3" xfId="4047"/>
    <cellStyle name="Accent3 3 2" xfId="4048"/>
    <cellStyle name="Accent3 3 2 2" xfId="4049"/>
    <cellStyle name="Accent3 3 3" xfId="4050"/>
    <cellStyle name="Accent3 4" xfId="4051"/>
    <cellStyle name="Accent3 4 2" xfId="4052"/>
    <cellStyle name="Accent3 4 2 2" xfId="4053"/>
    <cellStyle name="Accent3 5" xfId="4054"/>
    <cellStyle name="Accent3 5 2" xfId="16539"/>
    <cellStyle name="Accent3 6" xfId="4055"/>
    <cellStyle name="Accent3 7" xfId="4056"/>
    <cellStyle name="Accent3 8" xfId="4057"/>
    <cellStyle name="Accent3 9" xfId="4058"/>
    <cellStyle name="Accent4" xfId="19665" builtinId="41" customBuiltin="1"/>
    <cellStyle name="Accent4 - 20%" xfId="4059"/>
    <cellStyle name="Accent4 - 40%" xfId="4060"/>
    <cellStyle name="Accent4 - 60%" xfId="4061"/>
    <cellStyle name="Accent4 10" xfId="15984"/>
    <cellStyle name="Accent4 11" xfId="16017"/>
    <cellStyle name="Accent4 12" xfId="16010"/>
    <cellStyle name="Accent4 13" xfId="16023"/>
    <cellStyle name="Accent4 14" xfId="16209"/>
    <cellStyle name="Accent4 15" xfId="17055"/>
    <cellStyle name="Accent4 2" xfId="32"/>
    <cellStyle name="Accent4 2 2" xfId="4062"/>
    <cellStyle name="Accent4 2 2 2" xfId="4063"/>
    <cellStyle name="Accent4 2 2 3" xfId="4064"/>
    <cellStyle name="Accent4 2 3" xfId="4065"/>
    <cellStyle name="Accent4 2 3 2" xfId="4066"/>
    <cellStyle name="Accent4 2 4" xfId="4067"/>
    <cellStyle name="Accent4 2 5" xfId="4068"/>
    <cellStyle name="Accent4 2 6" xfId="4069"/>
    <cellStyle name="Accent4 2 7" xfId="19849"/>
    <cellStyle name="Accent4 3" xfId="4070"/>
    <cellStyle name="Accent4 3 2" xfId="4071"/>
    <cellStyle name="Accent4 3 2 2" xfId="4072"/>
    <cellStyle name="Accent4 3 3" xfId="4073"/>
    <cellStyle name="Accent4 3 3 2" xfId="4074"/>
    <cellStyle name="Accent4 3 4" xfId="4075"/>
    <cellStyle name="Accent4 4" xfId="4076"/>
    <cellStyle name="Accent4 4 2" xfId="4077"/>
    <cellStyle name="Accent4 4 2 2" xfId="4078"/>
    <cellStyle name="Accent4 4 3" xfId="4079"/>
    <cellStyle name="Accent4 5" xfId="4080"/>
    <cellStyle name="Accent4 5 2" xfId="4081"/>
    <cellStyle name="Accent4 5 3" xfId="16543"/>
    <cellStyle name="Accent4 6" xfId="4082"/>
    <cellStyle name="Accent4 7" xfId="4083"/>
    <cellStyle name="Accent4 8" xfId="4084"/>
    <cellStyle name="Accent4 9" xfId="4085"/>
    <cellStyle name="Accent5" xfId="19669" builtinId="45" customBuiltin="1"/>
    <cellStyle name="Accent5 - 20%" xfId="4086"/>
    <cellStyle name="Accent5 - 40%" xfId="4087"/>
    <cellStyle name="Accent5 - 60%" xfId="4088"/>
    <cellStyle name="Accent5 10" xfId="15985"/>
    <cellStyle name="Accent5 11" xfId="16018"/>
    <cellStyle name="Accent5 12" xfId="16009"/>
    <cellStyle name="Accent5 13" xfId="16024"/>
    <cellStyle name="Accent5 14" xfId="16213"/>
    <cellStyle name="Accent5 15" xfId="16227"/>
    <cellStyle name="Accent5 2" xfId="33"/>
    <cellStyle name="Accent5 2 2" xfId="4089"/>
    <cellStyle name="Accent5 2 2 2" xfId="4090"/>
    <cellStyle name="Accent5 2 2 3" xfId="4091"/>
    <cellStyle name="Accent5 2 3" xfId="4092"/>
    <cellStyle name="Accent5 2 4" xfId="4093"/>
    <cellStyle name="Accent5 2 5" xfId="4094"/>
    <cellStyle name="Accent5 2 6" xfId="4095"/>
    <cellStyle name="Accent5 2 7" xfId="19853"/>
    <cellStyle name="Accent5 3" xfId="4096"/>
    <cellStyle name="Accent5 3 2" xfId="4097"/>
    <cellStyle name="Accent5 3 2 2" xfId="4098"/>
    <cellStyle name="Accent5 4" xfId="4099"/>
    <cellStyle name="Accent5 4 2" xfId="4100"/>
    <cellStyle name="Accent5 4 2 2" xfId="4101"/>
    <cellStyle name="Accent5 5" xfId="4102"/>
    <cellStyle name="Accent5 5 2" xfId="16547"/>
    <cellStyle name="Accent5 6" xfId="4103"/>
    <cellStyle name="Accent5 7" xfId="4104"/>
    <cellStyle name="Accent5 8" xfId="4105"/>
    <cellStyle name="Accent5 9" xfId="4106"/>
    <cellStyle name="Accent6" xfId="19673" builtinId="49" customBuiltin="1"/>
    <cellStyle name="Accent6 - 20%" xfId="4107"/>
    <cellStyle name="Accent6 - 40%" xfId="4108"/>
    <cellStyle name="Accent6 - 60%" xfId="4109"/>
    <cellStyle name="Accent6 10" xfId="15986"/>
    <cellStyle name="Accent6 11" xfId="16019"/>
    <cellStyle name="Accent6 12" xfId="16008"/>
    <cellStyle name="Accent6 13" xfId="16025"/>
    <cellStyle name="Accent6 14" xfId="16217"/>
    <cellStyle name="Accent6 15" xfId="16829"/>
    <cellStyle name="Accent6 2" xfId="34"/>
    <cellStyle name="Accent6 2 2" xfId="4110"/>
    <cellStyle name="Accent6 2 2 2" xfId="4111"/>
    <cellStyle name="Accent6 2 2 3" xfId="4112"/>
    <cellStyle name="Accent6 2 3" xfId="4113"/>
    <cellStyle name="Accent6 2 4" xfId="4114"/>
    <cellStyle name="Accent6 2 5" xfId="4115"/>
    <cellStyle name="Accent6 2 6" xfId="4116"/>
    <cellStyle name="Accent6 2 7" xfId="19857"/>
    <cellStyle name="Accent6 3" xfId="4117"/>
    <cellStyle name="Accent6 3 2" xfId="4118"/>
    <cellStyle name="Accent6 3 2 2" xfId="4119"/>
    <cellStyle name="Accent6 4" xfId="4120"/>
    <cellStyle name="Accent6 4 2" xfId="4121"/>
    <cellStyle name="Accent6 4 2 2" xfId="4122"/>
    <cellStyle name="Accent6 5" xfId="4123"/>
    <cellStyle name="Accent6 5 2" xfId="16551"/>
    <cellStyle name="Accent6 6" xfId="4124"/>
    <cellStyle name="Accent6 7" xfId="4125"/>
    <cellStyle name="Accent6 8" xfId="4126"/>
    <cellStyle name="Accent6 9" xfId="4127"/>
    <cellStyle name="acerLastROga" xfId="4128"/>
    <cellStyle name="acerROst" xfId="4129"/>
    <cellStyle name="aceryesterdayig" xfId="4130"/>
    <cellStyle name="aceryesterdayLastr," xfId="4131"/>
    <cellStyle name="acetomorrowROLa" xfId="4132"/>
    <cellStyle name="Actual Date" xfId="35"/>
    <cellStyle name="Actual Date 10" xfId="4133"/>
    <cellStyle name="Actual Date 11" xfId="4134"/>
    <cellStyle name="Actual Date 12" xfId="4135"/>
    <cellStyle name="Actual Date 2" xfId="4136"/>
    <cellStyle name="Actual Date 2 2" xfId="4137"/>
    <cellStyle name="Actual Date 3" xfId="4138"/>
    <cellStyle name="Actual Date 4" xfId="4139"/>
    <cellStyle name="Actual Date 5" xfId="4140"/>
    <cellStyle name="Actual Date 6" xfId="4141"/>
    <cellStyle name="Actual Date 6 2" xfId="4142"/>
    <cellStyle name="Actual Date 6 3" xfId="4143"/>
    <cellStyle name="Actual Date 7" xfId="4144"/>
    <cellStyle name="Actual Date 8" xfId="4145"/>
    <cellStyle name="Actual Date 9" xfId="4146"/>
    <cellStyle name="Adjustable" xfId="4147"/>
    <cellStyle name="Adjustable 2" xfId="4148"/>
    <cellStyle name="Adjustable 3" xfId="4149"/>
    <cellStyle name="Adjustable 4" xfId="4150"/>
    <cellStyle name="Bad" xfId="19642" builtinId="27" customBuiltin="1"/>
    <cellStyle name="Bad 10" xfId="15987"/>
    <cellStyle name="Bad 11" xfId="16187"/>
    <cellStyle name="Bad 12" xfId="19566"/>
    <cellStyle name="Bad 2" xfId="36"/>
    <cellStyle name="Bad 2 2" xfId="4151"/>
    <cellStyle name="Bad 2 2 2" xfId="4152"/>
    <cellStyle name="Bad 2 2 3" xfId="4153"/>
    <cellStyle name="Bad 2 3" xfId="4154"/>
    <cellStyle name="Bad 2 3 2" xfId="4155"/>
    <cellStyle name="Bad 2 4" xfId="4156"/>
    <cellStyle name="Bad 2 5" xfId="4157"/>
    <cellStyle name="Bad 2 6" xfId="4158"/>
    <cellStyle name="Bad 2 7" xfId="19827"/>
    <cellStyle name="Bad 3" xfId="4159"/>
    <cellStyle name="Bad 3 2" xfId="4160"/>
    <cellStyle name="Bad 3 2 2" xfId="4161"/>
    <cellStyle name="Bad 4" xfId="4162"/>
    <cellStyle name="Bad 4 2" xfId="4163"/>
    <cellStyle name="Bad 4 2 2" xfId="4164"/>
    <cellStyle name="Bad 5" xfId="4165"/>
    <cellStyle name="Bad 5 2" xfId="16521"/>
    <cellStyle name="Bad 6" xfId="4166"/>
    <cellStyle name="Bad 7" xfId="4167"/>
    <cellStyle name="Bad 8" xfId="4168"/>
    <cellStyle name="Bad 9" xfId="4169"/>
    <cellStyle name="basic" xfId="2298"/>
    <cellStyle name="Best" xfId="4170"/>
    <cellStyle name="Best 2" xfId="4171"/>
    <cellStyle name="Black" xfId="37"/>
    <cellStyle name="bli - Style6" xfId="38"/>
    <cellStyle name="Blue" xfId="39"/>
    <cellStyle name="Blue 2" xfId="4172"/>
    <cellStyle name="Blue 2 10" xfId="15908"/>
    <cellStyle name="Blue 2 2" xfId="15909"/>
    <cellStyle name="Blue 2 3" xfId="15910"/>
    <cellStyle name="Blue 2 4" xfId="15911"/>
    <cellStyle name="Blue 2 5" xfId="15912"/>
    <cellStyle name="Blue 2 6" xfId="15913"/>
    <cellStyle name="Blue 2 7" xfId="15914"/>
    <cellStyle name="Blue 2 8" xfId="15915"/>
    <cellStyle name="Blue 2 9" xfId="15916"/>
    <cellStyle name="Calc" xfId="4173"/>
    <cellStyle name="Calc 2" xfId="4174"/>
    <cellStyle name="Calc Currency (0)" xfId="2299"/>
    <cellStyle name="Calculation" xfId="19646" builtinId="22" customBuiltin="1"/>
    <cellStyle name="Calculation 10" xfId="15988"/>
    <cellStyle name="Calculation 11" xfId="16191"/>
    <cellStyle name="Calculation 2" xfId="40"/>
    <cellStyle name="Calculation 2 2" xfId="4175"/>
    <cellStyle name="Calculation 2 2 2" xfId="4176"/>
    <cellStyle name="Calculation 2 2 3" xfId="4177"/>
    <cellStyle name="Calculation 2 3" xfId="4178"/>
    <cellStyle name="Calculation 2 3 2" xfId="4179"/>
    <cellStyle name="Calculation 2 4" xfId="4180"/>
    <cellStyle name="Calculation 2 5" xfId="4181"/>
    <cellStyle name="Calculation 2 6" xfId="4182"/>
    <cellStyle name="Calculation 2 7" xfId="19831"/>
    <cellStyle name="Calculation 3" xfId="4183"/>
    <cellStyle name="Calculation 3 2" xfId="4184"/>
    <cellStyle name="Calculation 3 2 2" xfId="4185"/>
    <cellStyle name="Calculation 3 3" xfId="4186"/>
    <cellStyle name="Calculation 3 4" xfId="4187"/>
    <cellStyle name="Calculation 4" xfId="4188"/>
    <cellStyle name="Calculation 4 2" xfId="4189"/>
    <cellStyle name="Calculation 4 2 2" xfId="4190"/>
    <cellStyle name="Calculation 4 3" xfId="4191"/>
    <cellStyle name="Calculation 5" xfId="4192"/>
    <cellStyle name="Calculation 5 2" xfId="4193"/>
    <cellStyle name="Calculation 5 3" xfId="16525"/>
    <cellStyle name="Calculation 6" xfId="4194"/>
    <cellStyle name="Calculation 7" xfId="4195"/>
    <cellStyle name="Calculation 8" xfId="4196"/>
    <cellStyle name="Calculation 9" xfId="4197"/>
    <cellStyle name="captionItem" xfId="4198"/>
    <cellStyle name="captionItem (cntr)" xfId="4199"/>
    <cellStyle name="captionItem (cntr) 2" xfId="4200"/>
    <cellStyle name="captionItem (cntr) 2 2" xfId="4201"/>
    <cellStyle name="captionItem (cntr) 3" xfId="4202"/>
    <cellStyle name="captionItem (cntr) 3 2" xfId="4203"/>
    <cellStyle name="captionItem (cntr) 3 2 2" xfId="4204"/>
    <cellStyle name="captionItem (cntr) 3 3" xfId="4205"/>
    <cellStyle name="captionItem (cntr) 4" xfId="4206"/>
    <cellStyle name="captionItem (cntr) 4 2" xfId="4207"/>
    <cellStyle name="captionItem (cntr) 4 2 2" xfId="4208"/>
    <cellStyle name="captionItem (cntr) 4 3" xfId="4209"/>
    <cellStyle name="captionItem (cntr) 5" xfId="4210"/>
    <cellStyle name="captionItem (cntr) 5 2" xfId="4211"/>
    <cellStyle name="captionItem (cntr) 5 2 2" xfId="4212"/>
    <cellStyle name="captionItem (cntr) 5 3" xfId="4213"/>
    <cellStyle name="captionItem (cntr) 6" xfId="4214"/>
    <cellStyle name="captionItem (Lrg)" xfId="4215"/>
    <cellStyle name="captionItem (no pattern)" xfId="4216"/>
    <cellStyle name="captionItem (no pattern) 2" xfId="4217"/>
    <cellStyle name="captionItem (no pattern) 2 2" xfId="4218"/>
    <cellStyle name="captionItem (no pattern) 3" xfId="4219"/>
    <cellStyle name="captionItem (no pattern) 3 2" xfId="4220"/>
    <cellStyle name="captionItem (no pattern) 3 2 2" xfId="4221"/>
    <cellStyle name="captionItem (no pattern) 3 3" xfId="4222"/>
    <cellStyle name="captionItem (no pattern) 4" xfId="4223"/>
    <cellStyle name="captionItem (no pattern) 4 2" xfId="4224"/>
    <cellStyle name="captionItem (no pattern) 4 2 2" xfId="4225"/>
    <cellStyle name="captionItem (no pattern) 4 3" xfId="4226"/>
    <cellStyle name="captionItem (no pattern) 5" xfId="4227"/>
    <cellStyle name="captionItem (no pattern) 5 2" xfId="4228"/>
    <cellStyle name="captionItem (no pattern) 5 2 2" xfId="4229"/>
    <cellStyle name="captionItem (no pattern) 5 3" xfId="4230"/>
    <cellStyle name="captionItem (no pattern) 6" xfId="4231"/>
    <cellStyle name="captionItem 2" xfId="4232"/>
    <cellStyle name="captionItem 2 2" xfId="4233"/>
    <cellStyle name="captionItem 3" xfId="4234"/>
    <cellStyle name="captionItem 3 2" xfId="4235"/>
    <cellStyle name="captionItem 3 2 2" xfId="4236"/>
    <cellStyle name="captionItem 3 3" xfId="4237"/>
    <cellStyle name="captionItem 4" xfId="4238"/>
    <cellStyle name="captionItem 4 2" xfId="4239"/>
    <cellStyle name="captionItem 4 2 2" xfId="4240"/>
    <cellStyle name="captionItem 4 3" xfId="4241"/>
    <cellStyle name="captionItem 5" xfId="4242"/>
    <cellStyle name="captionItem 5 2" xfId="4243"/>
    <cellStyle name="captionItem 5 2 2" xfId="4244"/>
    <cellStyle name="captionItem 5 3" xfId="4245"/>
    <cellStyle name="captionItem 6" xfId="4246"/>
    <cellStyle name="captionItem 6 2" xfId="4247"/>
    <cellStyle name="captionItem 6 2 2" xfId="4248"/>
    <cellStyle name="captionItem 6 3" xfId="4249"/>
    <cellStyle name="captionItem 7" xfId="4250"/>
    <cellStyle name="captionItem 7 2" xfId="4251"/>
    <cellStyle name="captionItem 7 2 2" xfId="4252"/>
    <cellStyle name="captionItem 7 3" xfId="4253"/>
    <cellStyle name="captionItem 8" xfId="4254"/>
    <cellStyle name="captionItem 8 2" xfId="4255"/>
    <cellStyle name="captionItem 9" xfId="4256"/>
    <cellStyle name="captionItem1LghtGrn" xfId="4257"/>
    <cellStyle name="captionItem1LghtGrn 2" xfId="4258"/>
    <cellStyle name="captionItem1LghtGrn 2 2" xfId="4259"/>
    <cellStyle name="captionItem1LghtGrn 3" xfId="4260"/>
    <cellStyle name="captionItem1LghtGrn 3 2" xfId="4261"/>
    <cellStyle name="captionItem1LghtGrn 3 2 2" xfId="4262"/>
    <cellStyle name="captionItem1LghtGrn 3 3" xfId="4263"/>
    <cellStyle name="captionItem1LghtGrn 4" xfId="4264"/>
    <cellStyle name="captionItem1LghtGrn 4 2" xfId="4265"/>
    <cellStyle name="captionItem1LghtGrn 4 2 2" xfId="4266"/>
    <cellStyle name="captionItem1LghtGrn 4 3" xfId="4267"/>
    <cellStyle name="captionItem1LghtGrn 5" xfId="4268"/>
    <cellStyle name="captionItem1LghtGrn 5 2" xfId="4269"/>
    <cellStyle name="captionItem1LghtGrn 5 2 2" xfId="4270"/>
    <cellStyle name="captionItem1LghtGrn 5 3" xfId="4271"/>
    <cellStyle name="captionItem1LghtGrn 6" xfId="4272"/>
    <cellStyle name="captionSection" xfId="4273"/>
    <cellStyle name="captionSection 2" xfId="4274"/>
    <cellStyle name="captionSection 2 2" xfId="15917"/>
    <cellStyle name="captionSection 2 3" xfId="15918"/>
    <cellStyle name="captionSection 2 4" xfId="15919"/>
    <cellStyle name="captionSection 2 5" xfId="15920"/>
    <cellStyle name="captionSection 3" xfId="15921"/>
    <cellStyle name="captionSection 4" xfId="15922"/>
    <cellStyle name="captionSection 5" xfId="15923"/>
    <cellStyle name="captionSection 6" xfId="15924"/>
    <cellStyle name="Centre alignmeN]" xfId="4275"/>
    <cellStyle name="Centre alignmeN] 2" xfId="4276"/>
    <cellStyle name="Centre alignment" xfId="4277"/>
    <cellStyle name="Cents" xfId="41"/>
    <cellStyle name="Check Cell" xfId="19648" builtinId="23" customBuiltin="1"/>
    <cellStyle name="Check Cell 10" xfId="15989"/>
    <cellStyle name="Check Cell 11" xfId="16193"/>
    <cellStyle name="Check Cell 2" xfId="42"/>
    <cellStyle name="Check Cell 2 2" xfId="4278"/>
    <cellStyle name="Check Cell 2 2 2" xfId="4279"/>
    <cellStyle name="Check Cell 2 2 3" xfId="4280"/>
    <cellStyle name="Check Cell 2 3" xfId="4281"/>
    <cellStyle name="Check Cell 2 4" xfId="4282"/>
    <cellStyle name="Check Cell 2 5" xfId="4283"/>
    <cellStyle name="Check Cell 2 6" xfId="4284"/>
    <cellStyle name="Check Cell 2 7" xfId="19833"/>
    <cellStyle name="Check Cell 3" xfId="4285"/>
    <cellStyle name="Check Cell 3 2" xfId="4286"/>
    <cellStyle name="Check Cell 3 2 2" xfId="4287"/>
    <cellStyle name="Check Cell 4" xfId="4288"/>
    <cellStyle name="Check Cell 4 2" xfId="4289"/>
    <cellStyle name="Check Cell 4 2 2" xfId="4290"/>
    <cellStyle name="Check Cell 5" xfId="4291"/>
    <cellStyle name="Check Cell 5 2" xfId="16527"/>
    <cellStyle name="Check Cell 6" xfId="4292"/>
    <cellStyle name="Check Cell 7" xfId="4293"/>
    <cellStyle name="Check Cell 8" xfId="4294"/>
    <cellStyle name="Check Cell 9" xfId="4295"/>
    <cellStyle name="Comma" xfId="43" builtinId="3"/>
    <cellStyle name="Comma  - Style1" xfId="2300"/>
    <cellStyle name="Comma  - Style1 2" xfId="4296"/>
    <cellStyle name="Comma  - Style1 3" xfId="4297"/>
    <cellStyle name="Comma  - Style1 3 2" xfId="4298"/>
    <cellStyle name="Comma  - Style1 4" xfId="4299"/>
    <cellStyle name="Comma  - Style1 5" xfId="4300"/>
    <cellStyle name="Comma  - Style2" xfId="2301"/>
    <cellStyle name="Comma  - Style2 2" xfId="4301"/>
    <cellStyle name="Comma  - Style2 3" xfId="4302"/>
    <cellStyle name="Comma  - Style2 3 2" xfId="4303"/>
    <cellStyle name="Comma  - Style2 4" xfId="4304"/>
    <cellStyle name="Comma  - Style2 5" xfId="4305"/>
    <cellStyle name="Comma  - Style3" xfId="2302"/>
    <cellStyle name="Comma  - Style3 2" xfId="4306"/>
    <cellStyle name="Comma  - Style3 3" xfId="4307"/>
    <cellStyle name="Comma  - Style3 3 2" xfId="4308"/>
    <cellStyle name="Comma  - Style3 4" xfId="4309"/>
    <cellStyle name="Comma  - Style3 5" xfId="4310"/>
    <cellStyle name="Comma  - Style4" xfId="2303"/>
    <cellStyle name="Comma  - Style4 2" xfId="4311"/>
    <cellStyle name="Comma  - Style4 3" xfId="4312"/>
    <cellStyle name="Comma  - Style4 3 2" xfId="4313"/>
    <cellStyle name="Comma  - Style4 4" xfId="4314"/>
    <cellStyle name="Comma  - Style4 5" xfId="4315"/>
    <cellStyle name="Comma  - Style5" xfId="2304"/>
    <cellStyle name="Comma  - Style5 2" xfId="4316"/>
    <cellStyle name="Comma  - Style5 3" xfId="4317"/>
    <cellStyle name="Comma  - Style5 3 2" xfId="4318"/>
    <cellStyle name="Comma  - Style5 4" xfId="4319"/>
    <cellStyle name="Comma  - Style5 5" xfId="4320"/>
    <cellStyle name="Comma  - Style6" xfId="2305"/>
    <cellStyle name="Comma  - Style6 2" xfId="4321"/>
    <cellStyle name="Comma  - Style6 3" xfId="4322"/>
    <cellStyle name="Comma  - Style6 3 2" xfId="4323"/>
    <cellStyle name="Comma  - Style6 4" xfId="4324"/>
    <cellStyle name="Comma  - Style6 5" xfId="4325"/>
    <cellStyle name="Comma  - Style7" xfId="2306"/>
    <cellStyle name="Comma  - Style7 2" xfId="4326"/>
    <cellStyle name="Comma  - Style7 3" xfId="4327"/>
    <cellStyle name="Comma  - Style7 3 2" xfId="4328"/>
    <cellStyle name="Comma  - Style7 4" xfId="4329"/>
    <cellStyle name="Comma  - Style7 5" xfId="4330"/>
    <cellStyle name="Comma  - Style8" xfId="2307"/>
    <cellStyle name="Comma  - Style8 2" xfId="4331"/>
    <cellStyle name="Comma  - Style8 3" xfId="4332"/>
    <cellStyle name="Comma  - Style8 3 2" xfId="4333"/>
    <cellStyle name="Comma  - Style8 4" xfId="4334"/>
    <cellStyle name="Comma  - Style8 5" xfId="4335"/>
    <cellStyle name="Comma ._CCRe8" xfId="4336"/>
    <cellStyle name="Comma .00" xfId="4337"/>
    <cellStyle name="Comma .00 2" xfId="4338"/>
    <cellStyle name="Comma .00 2 2" xfId="4339"/>
    <cellStyle name="Comma .00 3" xfId="4340"/>
    <cellStyle name="Comma .00 3 2" xfId="4341"/>
    <cellStyle name="Comma .00 3 2 2" xfId="4342"/>
    <cellStyle name="Comma .00 3 3" xfId="4343"/>
    <cellStyle name="Comma .00 4" xfId="4344"/>
    <cellStyle name="Comma .00 4 2" xfId="4345"/>
    <cellStyle name="Comma .00 4 2 2" xfId="4346"/>
    <cellStyle name="Comma .00 4 3" xfId="4347"/>
    <cellStyle name="Comma .00 5" xfId="4348"/>
    <cellStyle name="Comma .00 5 2" xfId="4349"/>
    <cellStyle name="Comma .00 5 2 2" xfId="4350"/>
    <cellStyle name="Comma .00 5 3" xfId="4351"/>
    <cellStyle name="Comma .St" xfId="4352"/>
    <cellStyle name="Comma .St 2" xfId="4353"/>
    <cellStyle name="Comma [0] 10" xfId="4354"/>
    <cellStyle name="Comma [0] 10 2" xfId="4355"/>
    <cellStyle name="Comma [0] 11" xfId="4356"/>
    <cellStyle name="Comma [0] 11 2" xfId="4357"/>
    <cellStyle name="Comma [0] 12" xfId="4358"/>
    <cellStyle name="Comma [0] 12 2" xfId="4359"/>
    <cellStyle name="Comma [0] 13" xfId="4360"/>
    <cellStyle name="Comma [0] 13 2" xfId="4361"/>
    <cellStyle name="Comma [0] 14" xfId="4362"/>
    <cellStyle name="Comma [0] 14 2" xfId="4363"/>
    <cellStyle name="Comma [0] 15" xfId="4364"/>
    <cellStyle name="Comma [0] 15 2" xfId="4365"/>
    <cellStyle name="Comma [0] 16" xfId="4366"/>
    <cellStyle name="Comma [0] 16 2" xfId="4367"/>
    <cellStyle name="Comma [0] 17" xfId="4368"/>
    <cellStyle name="Comma [0] 17 2" xfId="4369"/>
    <cellStyle name="Comma [0] 18" xfId="4370"/>
    <cellStyle name="Comma [0] 18 2" xfId="4371"/>
    <cellStyle name="Comma [0] 19" xfId="4372"/>
    <cellStyle name="Comma [0] 19 2" xfId="4373"/>
    <cellStyle name="Comma [0] 2" xfId="44"/>
    <cellStyle name="Comma [0] 2 2" xfId="4374"/>
    <cellStyle name="Comma [0] 2 3" xfId="4375"/>
    <cellStyle name="Comma [0] 20" xfId="4376"/>
    <cellStyle name="Comma [0] 20 2" xfId="4377"/>
    <cellStyle name="Comma [0] 21" xfId="4378"/>
    <cellStyle name="Comma [0] 21 2" xfId="4379"/>
    <cellStyle name="Comma [0] 22" xfId="4380"/>
    <cellStyle name="Comma [0] 22 2" xfId="4381"/>
    <cellStyle name="Comma [0] 23" xfId="4382"/>
    <cellStyle name="Comma [0] 23 2" xfId="4383"/>
    <cellStyle name="Comma [0] 24" xfId="4384"/>
    <cellStyle name="Comma [0] 24 2" xfId="4385"/>
    <cellStyle name="Comma [0] 24 2 2" xfId="4386"/>
    <cellStyle name="Comma [0] 24 3" xfId="4387"/>
    <cellStyle name="Comma [0] 25" xfId="4388"/>
    <cellStyle name="Comma [0] 25 2" xfId="4389"/>
    <cellStyle name="Comma [0] 25 2 2" xfId="4390"/>
    <cellStyle name="Comma [0] 25 3" xfId="4391"/>
    <cellStyle name="Comma [0] 26" xfId="4392"/>
    <cellStyle name="Comma [0] 3" xfId="45"/>
    <cellStyle name="Comma [0] 3 10" xfId="46"/>
    <cellStyle name="Comma [0] 3 11" xfId="47"/>
    <cellStyle name="Comma [0] 3 12" xfId="48"/>
    <cellStyle name="Comma [0] 3 13" xfId="49"/>
    <cellStyle name="Comma [0] 3 14" xfId="50"/>
    <cellStyle name="Comma [0] 3 15" xfId="51"/>
    <cellStyle name="Comma [0] 3 16" xfId="52"/>
    <cellStyle name="Comma [0] 3 17" xfId="4393"/>
    <cellStyle name="Comma [0] 3 18" xfId="4394"/>
    <cellStyle name="Comma [0] 3 2" xfId="53"/>
    <cellStyle name="Comma [0] 3 2 10" xfId="54"/>
    <cellStyle name="Comma [0] 3 2 11" xfId="55"/>
    <cellStyle name="Comma [0] 3 2 12" xfId="56"/>
    <cellStyle name="Comma [0] 3 2 13" xfId="57"/>
    <cellStyle name="Comma [0] 3 2 14" xfId="58"/>
    <cellStyle name="Comma [0] 3 2 15" xfId="59"/>
    <cellStyle name="Comma [0] 3 2 2" xfId="60"/>
    <cellStyle name="Comma [0] 3 2 3" xfId="61"/>
    <cellStyle name="Comma [0] 3 2 4" xfId="62"/>
    <cellStyle name="Comma [0] 3 2 5" xfId="63"/>
    <cellStyle name="Comma [0] 3 2 6" xfId="64"/>
    <cellStyle name="Comma [0] 3 2 7" xfId="65"/>
    <cellStyle name="Comma [0] 3 2 8" xfId="66"/>
    <cellStyle name="Comma [0] 3 2 9" xfId="67"/>
    <cellStyle name="Comma [0] 3 3" xfId="68"/>
    <cellStyle name="Comma [0] 3 4" xfId="69"/>
    <cellStyle name="Comma [0] 3 5" xfId="70"/>
    <cellStyle name="Comma [0] 3 6" xfId="71"/>
    <cellStyle name="Comma [0] 3 7" xfId="72"/>
    <cellStyle name="Comma [0] 3 8" xfId="73"/>
    <cellStyle name="Comma [0] 3 9" xfId="74"/>
    <cellStyle name="Comma [0] 4" xfId="4395"/>
    <cellStyle name="Comma [0] 4 2" xfId="4396"/>
    <cellStyle name="Comma [0] 5" xfId="4397"/>
    <cellStyle name="Comma [0] 5 2" xfId="4398"/>
    <cellStyle name="Comma [0] 6" xfId="4399"/>
    <cellStyle name="Comma [0] 6 2" xfId="4400"/>
    <cellStyle name="Comma [0] 7" xfId="4401"/>
    <cellStyle name="Comma [0] 7 2" xfId="4402"/>
    <cellStyle name="Comma [0] 8" xfId="4403"/>
    <cellStyle name="Comma [0] 8 2" xfId="4404"/>
    <cellStyle name="Comma [0] 9" xfId="4405"/>
    <cellStyle name="Comma [0] 9 2" xfId="4406"/>
    <cellStyle name="Comma [00]" xfId="75"/>
    <cellStyle name="Comma 10" xfId="76"/>
    <cellStyle name="Comma 10 2" xfId="77"/>
    <cellStyle name="Comma 10 2 10" xfId="78"/>
    <cellStyle name="Comma 10 2 11" xfId="79"/>
    <cellStyle name="Comma 10 2 12" xfId="80"/>
    <cellStyle name="Comma 10 2 13" xfId="81"/>
    <cellStyle name="Comma 10 2 14" xfId="82"/>
    <cellStyle name="Comma 10 2 15" xfId="83"/>
    <cellStyle name="Comma 10 2 16" xfId="84"/>
    <cellStyle name="Comma 10 2 17" xfId="4407"/>
    <cellStyle name="Comma 10 2 18" xfId="4408"/>
    <cellStyle name="Comma 10 2 19" xfId="16977"/>
    <cellStyle name="Comma 10 2 2" xfId="85"/>
    <cellStyle name="Comma 10 2 2 10" xfId="86"/>
    <cellStyle name="Comma 10 2 2 11" xfId="87"/>
    <cellStyle name="Comma 10 2 2 12" xfId="88"/>
    <cellStyle name="Comma 10 2 2 13" xfId="89"/>
    <cellStyle name="Comma 10 2 2 14" xfId="90"/>
    <cellStyle name="Comma 10 2 2 15" xfId="91"/>
    <cellStyle name="Comma 10 2 2 16" xfId="4409"/>
    <cellStyle name="Comma 10 2 2 17" xfId="4410"/>
    <cellStyle name="Comma 10 2 2 18" xfId="17526"/>
    <cellStyle name="Comma 10 2 2 2" xfId="92"/>
    <cellStyle name="Comma 10 2 2 2 2" xfId="4411"/>
    <cellStyle name="Comma 10 2 2 2 2 2" xfId="4412"/>
    <cellStyle name="Comma 10 2 2 2 3" xfId="4413"/>
    <cellStyle name="Comma 10 2 2 2 4" xfId="4414"/>
    <cellStyle name="Comma 10 2 2 2 5" xfId="18331"/>
    <cellStyle name="Comma 10 2 2 3" xfId="93"/>
    <cellStyle name="Comma 10 2 2 3 2" xfId="4415"/>
    <cellStyle name="Comma 10 2 2 3 3" xfId="4416"/>
    <cellStyle name="Comma 10 2 2 3 4" xfId="19067"/>
    <cellStyle name="Comma 10 2 2 4" xfId="94"/>
    <cellStyle name="Comma 10 2 2 5" xfId="95"/>
    <cellStyle name="Comma 10 2 2 6" xfId="96"/>
    <cellStyle name="Comma 10 2 2 7" xfId="97"/>
    <cellStyle name="Comma 10 2 2 8" xfId="98"/>
    <cellStyle name="Comma 10 2 2 9" xfId="99"/>
    <cellStyle name="Comma 10 2 3" xfId="100"/>
    <cellStyle name="Comma 10 2 3 2" xfId="4417"/>
    <cellStyle name="Comma 10 2 3 2 2" xfId="4418"/>
    <cellStyle name="Comma 10 2 3 3" xfId="4419"/>
    <cellStyle name="Comma 10 2 3 4" xfId="4420"/>
    <cellStyle name="Comma 10 2 3 5" xfId="18028"/>
    <cellStyle name="Comma 10 2 4" xfId="101"/>
    <cellStyle name="Comma 10 2 4 2" xfId="4421"/>
    <cellStyle name="Comma 10 2 4 2 2" xfId="4422"/>
    <cellStyle name="Comma 10 2 4 3" xfId="4423"/>
    <cellStyle name="Comma 10 2 4 4" xfId="4424"/>
    <cellStyle name="Comma 10 2 4 5" xfId="18787"/>
    <cellStyle name="Comma 10 2 5" xfId="102"/>
    <cellStyle name="Comma 10 2 5 2" xfId="4425"/>
    <cellStyle name="Comma 10 2 5 3" xfId="4426"/>
    <cellStyle name="Comma 10 2 6" xfId="103"/>
    <cellStyle name="Comma 10 2 7" xfId="104"/>
    <cellStyle name="Comma 10 2 8" xfId="105"/>
    <cellStyle name="Comma 10 2 9" xfId="106"/>
    <cellStyle name="Comma 10 3" xfId="4427"/>
    <cellStyle name="Comma 10 3 2" xfId="4428"/>
    <cellStyle name="Comma 10 3 2 2" xfId="4429"/>
    <cellStyle name="Comma 10 3 3" xfId="4430"/>
    <cellStyle name="Comma 10 3 3 2" xfId="4431"/>
    <cellStyle name="Comma 10 3 4" xfId="4432"/>
    <cellStyle name="Comma 10 4" xfId="4433"/>
    <cellStyle name="Comma 10 4 2" xfId="4434"/>
    <cellStyle name="Comma 10 4 2 2" xfId="4435"/>
    <cellStyle name="Comma 10 4 3" xfId="4436"/>
    <cellStyle name="Comma 10 5" xfId="4437"/>
    <cellStyle name="Comma 10 5 2" xfId="4438"/>
    <cellStyle name="Comma 10 5 2 2" xfId="4439"/>
    <cellStyle name="Comma 10 5 3" xfId="4440"/>
    <cellStyle name="Comma 10 6" xfId="4441"/>
    <cellStyle name="Comma 10 6 2" xfId="4442"/>
    <cellStyle name="Comma 10 7" xfId="4443"/>
    <cellStyle name="Comma 10 8" xfId="4444"/>
    <cellStyle name="Comma 100" xfId="107"/>
    <cellStyle name="Comma 100 2" xfId="4445"/>
    <cellStyle name="Comma 100 2 2" xfId="17259"/>
    <cellStyle name="Comma 100 3" xfId="4446"/>
    <cellStyle name="Comma 100 4" xfId="16465"/>
    <cellStyle name="Comma 101" xfId="108"/>
    <cellStyle name="Comma 101 2" xfId="4447"/>
    <cellStyle name="Comma 101 2 2" xfId="17261"/>
    <cellStyle name="Comma 101 3" xfId="4448"/>
    <cellStyle name="Comma 101 4" xfId="16467"/>
    <cellStyle name="Comma 102" xfId="109"/>
    <cellStyle name="Comma 102 2" xfId="4449"/>
    <cellStyle name="Comma 102 2 2" xfId="17263"/>
    <cellStyle name="Comma 102 3" xfId="4450"/>
    <cellStyle name="Comma 102 4" xfId="16469"/>
    <cellStyle name="Comma 103" xfId="110"/>
    <cellStyle name="Comma 103 2" xfId="4451"/>
    <cellStyle name="Comma 103 2 2" xfId="17265"/>
    <cellStyle name="Comma 103 3" xfId="4452"/>
    <cellStyle name="Comma 103 4" xfId="16471"/>
    <cellStyle name="Comma 104" xfId="111"/>
    <cellStyle name="Comma 104 2" xfId="4453"/>
    <cellStyle name="Comma 104 2 2" xfId="17267"/>
    <cellStyle name="Comma 104 3" xfId="16473"/>
    <cellStyle name="Comma 105" xfId="112"/>
    <cellStyle name="Comma 105 2" xfId="4454"/>
    <cellStyle name="Comma 105 2 2" xfId="17269"/>
    <cellStyle name="Comma 105 3" xfId="16475"/>
    <cellStyle name="Comma 106" xfId="4455"/>
    <cellStyle name="Comma 106 2" xfId="4456"/>
    <cellStyle name="Comma 106 2 2" xfId="17271"/>
    <cellStyle name="Comma 106 3" xfId="16477"/>
    <cellStyle name="Comma 107" xfId="4457"/>
    <cellStyle name="Comma 107 2" xfId="4458"/>
    <cellStyle name="Comma 107 2 2" xfId="17273"/>
    <cellStyle name="Comma 107 3" xfId="16479"/>
    <cellStyle name="Comma 108" xfId="4459"/>
    <cellStyle name="Comma 108 2" xfId="17275"/>
    <cellStyle name="Comma 108 3" xfId="16481"/>
    <cellStyle name="Comma 109" xfId="4460"/>
    <cellStyle name="Comma 109 2" xfId="4461"/>
    <cellStyle name="Comma 109 3" xfId="17043"/>
    <cellStyle name="Comma 11" xfId="113"/>
    <cellStyle name="Comma 11 2" xfId="114"/>
    <cellStyle name="Comma 11 2 10" xfId="115"/>
    <cellStyle name="Comma 11 2 11" xfId="116"/>
    <cellStyle name="Comma 11 2 12" xfId="117"/>
    <cellStyle name="Comma 11 2 13" xfId="118"/>
    <cellStyle name="Comma 11 2 14" xfId="119"/>
    <cellStyle name="Comma 11 2 15" xfId="120"/>
    <cellStyle name="Comma 11 2 16" xfId="121"/>
    <cellStyle name="Comma 11 2 17" xfId="4462"/>
    <cellStyle name="Comma 11 2 18" xfId="4463"/>
    <cellStyle name="Comma 11 2 2" xfId="122"/>
    <cellStyle name="Comma 11 2 2 10" xfId="123"/>
    <cellStyle name="Comma 11 2 2 11" xfId="124"/>
    <cellStyle name="Comma 11 2 2 12" xfId="125"/>
    <cellStyle name="Comma 11 2 2 13" xfId="126"/>
    <cellStyle name="Comma 11 2 2 14" xfId="127"/>
    <cellStyle name="Comma 11 2 2 15" xfId="128"/>
    <cellStyle name="Comma 11 2 2 16" xfId="4464"/>
    <cellStyle name="Comma 11 2 2 17" xfId="4465"/>
    <cellStyle name="Comma 11 2 2 2" xfId="129"/>
    <cellStyle name="Comma 11 2 2 2 2" xfId="4466"/>
    <cellStyle name="Comma 11 2 2 2 3" xfId="4467"/>
    <cellStyle name="Comma 11 2 2 3" xfId="130"/>
    <cellStyle name="Comma 11 2 2 4" xfId="131"/>
    <cellStyle name="Comma 11 2 2 5" xfId="132"/>
    <cellStyle name="Comma 11 2 2 6" xfId="133"/>
    <cellStyle name="Comma 11 2 2 7" xfId="134"/>
    <cellStyle name="Comma 11 2 2 8" xfId="135"/>
    <cellStyle name="Comma 11 2 2 9" xfId="136"/>
    <cellStyle name="Comma 11 2 3" xfId="137"/>
    <cellStyle name="Comma 11 2 3 2" xfId="4468"/>
    <cellStyle name="Comma 11 2 3 3" xfId="4469"/>
    <cellStyle name="Comma 11 2 4" xfId="138"/>
    <cellStyle name="Comma 11 2 4 2" xfId="4470"/>
    <cellStyle name="Comma 11 2 4 3" xfId="4471"/>
    <cellStyle name="Comma 11 2 5" xfId="139"/>
    <cellStyle name="Comma 11 2 6" xfId="140"/>
    <cellStyle name="Comma 11 2 7" xfId="141"/>
    <cellStyle name="Comma 11 2 8" xfId="142"/>
    <cellStyle name="Comma 11 2 9" xfId="143"/>
    <cellStyle name="Comma 11 3" xfId="4472"/>
    <cellStyle name="Comma 11 3 2" xfId="4473"/>
    <cellStyle name="Comma 11 3 2 2" xfId="4474"/>
    <cellStyle name="Comma 11 3 3" xfId="4475"/>
    <cellStyle name="Comma 11 3 3 2" xfId="4476"/>
    <cellStyle name="Comma 11 3 4" xfId="4477"/>
    <cellStyle name="Comma 11 4" xfId="4478"/>
    <cellStyle name="Comma 11 4 2" xfId="4479"/>
    <cellStyle name="Comma 11 4 2 2" xfId="4480"/>
    <cellStyle name="Comma 11 4 3" xfId="4481"/>
    <cellStyle name="Comma 11 5" xfId="4482"/>
    <cellStyle name="Comma 11 5 2" xfId="4483"/>
    <cellStyle name="Comma 11 6" xfId="4484"/>
    <cellStyle name="Comma 11 6 2" xfId="4485"/>
    <cellStyle name="Comma 11 7" xfId="4486"/>
    <cellStyle name="Comma 11 8" xfId="4487"/>
    <cellStyle name="Comma 110" xfId="4488"/>
    <cellStyle name="Comma 110 2" xfId="4489"/>
    <cellStyle name="Comma 110 2 2" xfId="18029"/>
    <cellStyle name="Comma 110 3" xfId="18788"/>
    <cellStyle name="Comma 110 4" xfId="16984"/>
    <cellStyle name="Comma 111" xfId="4490"/>
    <cellStyle name="Comma 111 2" xfId="4491"/>
    <cellStyle name="Comma 111 2 2" xfId="18096"/>
    <cellStyle name="Comma 111 3" xfId="18832"/>
    <cellStyle name="Comma 111 4" xfId="17291"/>
    <cellStyle name="Comma 112" xfId="4492"/>
    <cellStyle name="Comma 112 2" xfId="18010"/>
    <cellStyle name="Comma 112 3" xfId="18768"/>
    <cellStyle name="Comma 112 4" xfId="16865"/>
    <cellStyle name="Comma 113" xfId="16006"/>
    <cellStyle name="Comma 113 2" xfId="18017"/>
    <cellStyle name="Comma 113 3" xfId="18775"/>
    <cellStyle name="Comma 113 4" xfId="16872"/>
    <cellStyle name="Comma 114" xfId="16032"/>
    <cellStyle name="Comma 114 2" xfId="18020"/>
    <cellStyle name="Comma 114 3" xfId="18778"/>
    <cellStyle name="Comma 114 4" xfId="16876"/>
    <cellStyle name="Comma 115" xfId="16034"/>
    <cellStyle name="Comma 115 2" xfId="18012"/>
    <cellStyle name="Comma 115 3" xfId="18770"/>
    <cellStyle name="Comma 115 4" xfId="16867"/>
    <cellStyle name="Comma 116" xfId="16036"/>
    <cellStyle name="Comma 116 2" xfId="18014"/>
    <cellStyle name="Comma 116 3" xfId="18772"/>
    <cellStyle name="Comma 116 4" xfId="16869"/>
    <cellStyle name="Comma 117" xfId="16038"/>
    <cellStyle name="Comma 117 2" xfId="18097"/>
    <cellStyle name="Comma 117 3" xfId="18833"/>
    <cellStyle name="Comma 117 4" xfId="17292"/>
    <cellStyle name="Comma 118" xfId="16040"/>
    <cellStyle name="Comma 118 2" xfId="18103"/>
    <cellStyle name="Comma 118 3" xfId="18839"/>
    <cellStyle name="Comma 118 4" xfId="17298"/>
    <cellStyle name="Comma 119" xfId="16042"/>
    <cellStyle name="Comma 119 2" xfId="18099"/>
    <cellStyle name="Comma 119 3" xfId="18835"/>
    <cellStyle name="Comma 119 4" xfId="17294"/>
    <cellStyle name="Comma 12" xfId="144"/>
    <cellStyle name="Comma 12 10" xfId="145"/>
    <cellStyle name="Comma 12 11" xfId="146"/>
    <cellStyle name="Comma 12 12" xfId="147"/>
    <cellStyle name="Comma 12 13" xfId="148"/>
    <cellStyle name="Comma 12 14" xfId="149"/>
    <cellStyle name="Comma 12 15" xfId="150"/>
    <cellStyle name="Comma 12 16" xfId="151"/>
    <cellStyle name="Comma 12 17" xfId="4493"/>
    <cellStyle name="Comma 12 18" xfId="4494"/>
    <cellStyle name="Comma 12 2" xfId="152"/>
    <cellStyle name="Comma 12 2 10" xfId="153"/>
    <cellStyle name="Comma 12 2 11" xfId="154"/>
    <cellStyle name="Comma 12 2 12" xfId="155"/>
    <cellStyle name="Comma 12 2 13" xfId="156"/>
    <cellStyle name="Comma 12 2 14" xfId="157"/>
    <cellStyle name="Comma 12 2 15" xfId="158"/>
    <cellStyle name="Comma 12 2 16" xfId="4495"/>
    <cellStyle name="Comma 12 2 17" xfId="4496"/>
    <cellStyle name="Comma 12 2 2" xfId="159"/>
    <cellStyle name="Comma 12 2 3" xfId="160"/>
    <cellStyle name="Comma 12 2 4" xfId="161"/>
    <cellStyle name="Comma 12 2 5" xfId="162"/>
    <cellStyle name="Comma 12 2 6" xfId="163"/>
    <cellStyle name="Comma 12 2 7" xfId="164"/>
    <cellStyle name="Comma 12 2 8" xfId="165"/>
    <cellStyle name="Comma 12 2 9" xfId="166"/>
    <cellStyle name="Comma 12 3" xfId="167"/>
    <cellStyle name="Comma 12 3 2" xfId="4497"/>
    <cellStyle name="Comma 12 3 2 2" xfId="4498"/>
    <cellStyle name="Comma 12 3 3" xfId="4499"/>
    <cellStyle name="Comma 12 3 4" xfId="4500"/>
    <cellStyle name="Comma 12 4" xfId="168"/>
    <cellStyle name="Comma 12 4 2" xfId="4501"/>
    <cellStyle name="Comma 12 4 3" xfId="4502"/>
    <cellStyle name="Comma 12 5" xfId="169"/>
    <cellStyle name="Comma 12 6" xfId="170"/>
    <cellStyle name="Comma 12 7" xfId="171"/>
    <cellStyle name="Comma 12 8" xfId="172"/>
    <cellStyle name="Comma 12 9" xfId="173"/>
    <cellStyle name="Comma 120" xfId="16044"/>
    <cellStyle name="Comma 120 2" xfId="18018"/>
    <cellStyle name="Comma 120 3" xfId="18776"/>
    <cellStyle name="Comma 120 4" xfId="16873"/>
    <cellStyle name="Comma 121" xfId="16046"/>
    <cellStyle name="Comma 121 2" xfId="18016"/>
    <cellStyle name="Comma 121 3" xfId="18774"/>
    <cellStyle name="Comma 121 4" xfId="16871"/>
    <cellStyle name="Comma 122" xfId="16048"/>
    <cellStyle name="Comma 122 2" xfId="18006"/>
    <cellStyle name="Comma 122 3" xfId="18764"/>
    <cellStyle name="Comma 122 4" xfId="16861"/>
    <cellStyle name="Comma 123" xfId="16050"/>
    <cellStyle name="Comma 123 2" xfId="18005"/>
    <cellStyle name="Comma 123 3" xfId="18763"/>
    <cellStyle name="Comma 123 4" xfId="16860"/>
    <cellStyle name="Comma 124" xfId="16052"/>
    <cellStyle name="Comma 124 2" xfId="18335"/>
    <cellStyle name="Comma 124 3" xfId="19071"/>
    <cellStyle name="Comma 124 4" xfId="17530"/>
    <cellStyle name="Comma 125" xfId="16054"/>
    <cellStyle name="Comma 125 2" xfId="18490"/>
    <cellStyle name="Comma 125 3" xfId="19212"/>
    <cellStyle name="Comma 125 4" xfId="17685"/>
    <cellStyle name="Comma 126" xfId="16083"/>
    <cellStyle name="Comma 126 2" xfId="18150"/>
    <cellStyle name="Comma 126 3" xfId="18886"/>
    <cellStyle name="Comma 126 4" xfId="17345"/>
    <cellStyle name="Comma 127" xfId="16089"/>
    <cellStyle name="Comma 127 2" xfId="18461"/>
    <cellStyle name="Comma 127 3" xfId="19183"/>
    <cellStyle name="Comma 127 4" xfId="17656"/>
    <cellStyle name="Comma 128" xfId="16091"/>
    <cellStyle name="Comma 128 2" xfId="18368"/>
    <cellStyle name="Comma 128 3" xfId="19104"/>
    <cellStyle name="Comma 128 4" xfId="17563"/>
    <cellStyle name="Comma 129" xfId="16093"/>
    <cellStyle name="Comma 129 2" xfId="18178"/>
    <cellStyle name="Comma 129 3" xfId="18914"/>
    <cellStyle name="Comma 129 4" xfId="17373"/>
    <cellStyle name="Comma 13" xfId="174"/>
    <cellStyle name="Comma 13 10" xfId="175"/>
    <cellStyle name="Comma 13 10 2" xfId="4503"/>
    <cellStyle name="Comma 13 10 2 2" xfId="4504"/>
    <cellStyle name="Comma 13 10 3" xfId="4505"/>
    <cellStyle name="Comma 13 10 4" xfId="4506"/>
    <cellStyle name="Comma 13 11" xfId="176"/>
    <cellStyle name="Comma 13 11 2" xfId="4507"/>
    <cellStyle name="Comma 13 11 2 2" xfId="4508"/>
    <cellStyle name="Comma 13 11 3" xfId="4509"/>
    <cellStyle name="Comma 13 11 4" xfId="4510"/>
    <cellStyle name="Comma 13 12" xfId="177"/>
    <cellStyle name="Comma 13 12 2" xfId="4511"/>
    <cellStyle name="Comma 13 12 2 2" xfId="4512"/>
    <cellStyle name="Comma 13 12 3" xfId="4513"/>
    <cellStyle name="Comma 13 12 4" xfId="4514"/>
    <cellStyle name="Comma 13 13" xfId="178"/>
    <cellStyle name="Comma 13 13 2" xfId="4515"/>
    <cellStyle name="Comma 13 13 2 2" xfId="4516"/>
    <cellStyle name="Comma 13 13 3" xfId="4517"/>
    <cellStyle name="Comma 13 13 4" xfId="4518"/>
    <cellStyle name="Comma 13 14" xfId="179"/>
    <cellStyle name="Comma 13 14 2" xfId="4519"/>
    <cellStyle name="Comma 13 14 2 2" xfId="4520"/>
    <cellStyle name="Comma 13 14 3" xfId="4521"/>
    <cellStyle name="Comma 13 14 4" xfId="4522"/>
    <cellStyle name="Comma 13 15" xfId="180"/>
    <cellStyle name="Comma 13 15 2" xfId="4523"/>
    <cellStyle name="Comma 13 15 2 2" xfId="4524"/>
    <cellStyle name="Comma 13 15 3" xfId="4525"/>
    <cellStyle name="Comma 13 15 4" xfId="4526"/>
    <cellStyle name="Comma 13 16" xfId="181"/>
    <cellStyle name="Comma 13 16 2" xfId="4527"/>
    <cellStyle name="Comma 13 16 2 2" xfId="4528"/>
    <cellStyle name="Comma 13 16 3" xfId="4529"/>
    <cellStyle name="Comma 13 16 4" xfId="4530"/>
    <cellStyle name="Comma 13 17" xfId="2372"/>
    <cellStyle name="Comma 13 17 2" xfId="4531"/>
    <cellStyle name="Comma 13 17 2 2" xfId="4532"/>
    <cellStyle name="Comma 13 17 3" xfId="4533"/>
    <cellStyle name="Comma 13 18" xfId="4534"/>
    <cellStyle name="Comma 13 18 2" xfId="4535"/>
    <cellStyle name="Comma 13 18 2 2" xfId="4536"/>
    <cellStyle name="Comma 13 18 3" xfId="4537"/>
    <cellStyle name="Comma 13 19" xfId="4538"/>
    <cellStyle name="Comma 13 19 2" xfId="4539"/>
    <cellStyle name="Comma 13 19 2 2" xfId="4540"/>
    <cellStyle name="Comma 13 19 3" xfId="4541"/>
    <cellStyle name="Comma 13 2" xfId="182"/>
    <cellStyle name="Comma 13 2 10" xfId="183"/>
    <cellStyle name="Comma 13 2 11" xfId="184"/>
    <cellStyle name="Comma 13 2 12" xfId="185"/>
    <cellStyle name="Comma 13 2 13" xfId="186"/>
    <cellStyle name="Comma 13 2 14" xfId="187"/>
    <cellStyle name="Comma 13 2 15" xfId="188"/>
    <cellStyle name="Comma 13 2 16" xfId="4542"/>
    <cellStyle name="Comma 13 2 17" xfId="4543"/>
    <cellStyle name="Comma 13 2 2" xfId="189"/>
    <cellStyle name="Comma 13 2 2 2" xfId="4544"/>
    <cellStyle name="Comma 13 2 2 2 2" xfId="4545"/>
    <cellStyle name="Comma 13 2 2 3" xfId="4546"/>
    <cellStyle name="Comma 13 2 2 4" xfId="4547"/>
    <cellStyle name="Comma 13 2 3" xfId="190"/>
    <cellStyle name="Comma 13 2 3 2" xfId="4548"/>
    <cellStyle name="Comma 13 2 3 2 2" xfId="4549"/>
    <cellStyle name="Comma 13 2 3 3" xfId="4550"/>
    <cellStyle name="Comma 13 2 3 4" xfId="4551"/>
    <cellStyle name="Comma 13 2 4" xfId="191"/>
    <cellStyle name="Comma 13 2 4 2" xfId="4552"/>
    <cellStyle name="Comma 13 2 4 3" xfId="4553"/>
    <cellStyle name="Comma 13 2 5" xfId="192"/>
    <cellStyle name="Comma 13 2 6" xfId="193"/>
    <cellStyle name="Comma 13 2 7" xfId="194"/>
    <cellStyle name="Comma 13 2 8" xfId="195"/>
    <cellStyle name="Comma 13 2 9" xfId="196"/>
    <cellStyle name="Comma 13 20" xfId="4554"/>
    <cellStyle name="Comma 13 20 2" xfId="4555"/>
    <cellStyle name="Comma 13 20 2 2" xfId="4556"/>
    <cellStyle name="Comma 13 20 3" xfId="4557"/>
    <cellStyle name="Comma 13 21" xfId="4558"/>
    <cellStyle name="Comma 13 21 2" xfId="4559"/>
    <cellStyle name="Comma 13 21 2 2" xfId="4560"/>
    <cellStyle name="Comma 13 21 3" xfId="4561"/>
    <cellStyle name="Comma 13 22" xfId="4562"/>
    <cellStyle name="Comma 13 22 2" xfId="4563"/>
    <cellStyle name="Comma 13 22 2 2" xfId="4564"/>
    <cellStyle name="Comma 13 22 3" xfId="4565"/>
    <cellStyle name="Comma 13 23" xfId="4566"/>
    <cellStyle name="Comma 13 23 2" xfId="4567"/>
    <cellStyle name="Comma 13 23 2 2" xfId="4568"/>
    <cellStyle name="Comma 13 23 3" xfId="4569"/>
    <cellStyle name="Comma 13 24" xfId="4570"/>
    <cellStyle name="Comma 13 24 2" xfId="4571"/>
    <cellStyle name="Comma 13 24 2 2" xfId="4572"/>
    <cellStyle name="Comma 13 24 3" xfId="4573"/>
    <cellStyle name="Comma 13 25" xfId="4574"/>
    <cellStyle name="Comma 13 25 2" xfId="4575"/>
    <cellStyle name="Comma 13 25 2 2" xfId="4576"/>
    <cellStyle name="Comma 13 25 3" xfId="4577"/>
    <cellStyle name="Comma 13 26" xfId="4578"/>
    <cellStyle name="Comma 13 26 2" xfId="4579"/>
    <cellStyle name="Comma 13 26 2 2" xfId="4580"/>
    <cellStyle name="Comma 13 26 3" xfId="4581"/>
    <cellStyle name="Comma 13 27" xfId="4582"/>
    <cellStyle name="Comma 13 27 2" xfId="4583"/>
    <cellStyle name="Comma 13 27 2 2" xfId="4584"/>
    <cellStyle name="Comma 13 27 3" xfId="4585"/>
    <cellStyle name="Comma 13 28" xfId="4586"/>
    <cellStyle name="Comma 13 28 2" xfId="4587"/>
    <cellStyle name="Comma 13 28 2 2" xfId="4588"/>
    <cellStyle name="Comma 13 28 3" xfId="4589"/>
    <cellStyle name="Comma 13 29" xfId="4590"/>
    <cellStyle name="Comma 13 29 2" xfId="4591"/>
    <cellStyle name="Comma 13 3" xfId="197"/>
    <cellStyle name="Comma 13 3 2" xfId="4592"/>
    <cellStyle name="Comma 13 3 2 2" xfId="4593"/>
    <cellStyle name="Comma 13 3 3" xfId="4594"/>
    <cellStyle name="Comma 13 3 3 2" xfId="4595"/>
    <cellStyle name="Comma 13 3 3 2 2" xfId="4596"/>
    <cellStyle name="Comma 13 3 3 3" xfId="4597"/>
    <cellStyle name="Comma 13 3 4" xfId="4598"/>
    <cellStyle name="Comma 13 3 4 2" xfId="4599"/>
    <cellStyle name="Comma 13 3 5" xfId="4600"/>
    <cellStyle name="Comma 13 3 6" xfId="4601"/>
    <cellStyle name="Comma 13 30" xfId="4602"/>
    <cellStyle name="Comma 13 30 2" xfId="4603"/>
    <cellStyle name="Comma 13 30 2 2" xfId="4604"/>
    <cellStyle name="Comma 13 30 3" xfId="4605"/>
    <cellStyle name="Comma 13 31" xfId="4606"/>
    <cellStyle name="Comma 13 31 2" xfId="4607"/>
    <cellStyle name="Comma 13 32" xfId="4608"/>
    <cellStyle name="Comma 13 32 2" xfId="4609"/>
    <cellStyle name="Comma 13 33" xfId="4610"/>
    <cellStyle name="Comma 13 4" xfId="198"/>
    <cellStyle name="Comma 13 4 2" xfId="4611"/>
    <cellStyle name="Comma 13 4 2 2" xfId="4612"/>
    <cellStyle name="Comma 13 4 3" xfId="4613"/>
    <cellStyle name="Comma 13 4 3 2" xfId="4614"/>
    <cellStyle name="Comma 13 4 3 2 2" xfId="4615"/>
    <cellStyle name="Comma 13 4 3 3" xfId="4616"/>
    <cellStyle name="Comma 13 4 4" xfId="4617"/>
    <cellStyle name="Comma 13 4 4 2" xfId="4618"/>
    <cellStyle name="Comma 13 4 5" xfId="4619"/>
    <cellStyle name="Comma 13 4 6" xfId="4620"/>
    <cellStyle name="Comma 13 5" xfId="199"/>
    <cellStyle name="Comma 13 5 2" xfId="4621"/>
    <cellStyle name="Comma 13 5 2 2" xfId="4622"/>
    <cellStyle name="Comma 13 5 3" xfId="4623"/>
    <cellStyle name="Comma 13 5 3 2" xfId="4624"/>
    <cellStyle name="Comma 13 5 3 2 2" xfId="4625"/>
    <cellStyle name="Comma 13 5 3 3" xfId="4626"/>
    <cellStyle name="Comma 13 5 4" xfId="4627"/>
    <cellStyle name="Comma 13 5 5" xfId="4628"/>
    <cellStyle name="Comma 13 6" xfId="200"/>
    <cellStyle name="Comma 13 6 2" xfId="4629"/>
    <cellStyle name="Comma 13 6 2 2" xfId="4630"/>
    <cellStyle name="Comma 13 6 3" xfId="4631"/>
    <cellStyle name="Comma 13 6 4" xfId="4632"/>
    <cellStyle name="Comma 13 7" xfId="201"/>
    <cellStyle name="Comma 13 7 2" xfId="4633"/>
    <cellStyle name="Comma 13 7 2 2" xfId="4634"/>
    <cellStyle name="Comma 13 7 3" xfId="4635"/>
    <cellStyle name="Comma 13 7 4" xfId="4636"/>
    <cellStyle name="Comma 13 8" xfId="202"/>
    <cellStyle name="Comma 13 8 2" xfId="4637"/>
    <cellStyle name="Comma 13 8 2 2" xfId="4638"/>
    <cellStyle name="Comma 13 8 3" xfId="4639"/>
    <cellStyle name="Comma 13 8 4" xfId="4640"/>
    <cellStyle name="Comma 13 9" xfId="203"/>
    <cellStyle name="Comma 13 9 2" xfId="4641"/>
    <cellStyle name="Comma 13 9 2 2" xfId="4642"/>
    <cellStyle name="Comma 13 9 3" xfId="4643"/>
    <cellStyle name="Comma 13 9 4" xfId="4644"/>
    <cellStyle name="Comma 130" xfId="16095"/>
    <cellStyle name="Comma 130 2" xfId="18349"/>
    <cellStyle name="Comma 130 3" xfId="19085"/>
    <cellStyle name="Comma 130 4" xfId="17544"/>
    <cellStyle name="Comma 131" xfId="16097"/>
    <cellStyle name="Comma 131 2" xfId="18350"/>
    <cellStyle name="Comma 131 3" xfId="19086"/>
    <cellStyle name="Comma 131 4" xfId="17545"/>
    <cellStyle name="Comma 132" xfId="16099"/>
    <cellStyle name="Comma 132 2" xfId="18513"/>
    <cellStyle name="Comma 132 3" xfId="19235"/>
    <cellStyle name="Comma 132 4" xfId="17708"/>
    <cellStyle name="Comma 133" xfId="17315"/>
    <cellStyle name="Comma 133 2" xfId="18120"/>
    <cellStyle name="Comma 133 3" xfId="18856"/>
    <cellStyle name="Comma 134" xfId="17356"/>
    <cellStyle name="Comma 134 2" xfId="18161"/>
    <cellStyle name="Comma 134 3" xfId="18897"/>
    <cellStyle name="Comma 135" xfId="17375"/>
    <cellStyle name="Comma 135 2" xfId="18180"/>
    <cellStyle name="Comma 135 3" xfId="18916"/>
    <cellStyle name="Comma 136" xfId="17428"/>
    <cellStyle name="Comma 136 2" xfId="18233"/>
    <cellStyle name="Comma 136 3" xfId="18969"/>
    <cellStyle name="Comma 137" xfId="17700"/>
    <cellStyle name="Comma 137 2" xfId="18505"/>
    <cellStyle name="Comma 137 3" xfId="19227"/>
    <cellStyle name="Comma 138" xfId="17540"/>
    <cellStyle name="Comma 138 2" xfId="18345"/>
    <cellStyle name="Comma 138 3" xfId="19081"/>
    <cellStyle name="Comma 139" xfId="17409"/>
    <cellStyle name="Comma 139 2" xfId="18214"/>
    <cellStyle name="Comma 139 3" xfId="18950"/>
    <cellStyle name="Comma 14" xfId="204"/>
    <cellStyle name="Comma 14 10" xfId="205"/>
    <cellStyle name="Comma 14 10 2" xfId="4645"/>
    <cellStyle name="Comma 14 10 2 2" xfId="4646"/>
    <cellStyle name="Comma 14 10 3" xfId="4647"/>
    <cellStyle name="Comma 14 11" xfId="206"/>
    <cellStyle name="Comma 14 11 2" xfId="4648"/>
    <cellStyle name="Comma 14 11 2 2" xfId="4649"/>
    <cellStyle name="Comma 14 11 3" xfId="4650"/>
    <cellStyle name="Comma 14 12" xfId="207"/>
    <cellStyle name="Comma 14 12 2" xfId="4651"/>
    <cellStyle name="Comma 14 12 2 2" xfId="4652"/>
    <cellStyle name="Comma 14 12 3" xfId="4653"/>
    <cellStyle name="Comma 14 13" xfId="208"/>
    <cellStyle name="Comma 14 13 2" xfId="4654"/>
    <cellStyle name="Comma 14 13 2 2" xfId="4655"/>
    <cellStyle name="Comma 14 13 3" xfId="4656"/>
    <cellStyle name="Comma 14 14" xfId="209"/>
    <cellStyle name="Comma 14 14 2" xfId="4657"/>
    <cellStyle name="Comma 14 14 2 2" xfId="4658"/>
    <cellStyle name="Comma 14 14 3" xfId="4659"/>
    <cellStyle name="Comma 14 15" xfId="210"/>
    <cellStyle name="Comma 14 15 2" xfId="4660"/>
    <cellStyle name="Comma 14 15 2 2" xfId="4661"/>
    <cellStyle name="Comma 14 15 3" xfId="4662"/>
    <cellStyle name="Comma 14 16" xfId="4663"/>
    <cellStyle name="Comma 14 16 2" xfId="4664"/>
    <cellStyle name="Comma 14 16 2 2" xfId="4665"/>
    <cellStyle name="Comma 14 16 3" xfId="4666"/>
    <cellStyle name="Comma 14 17" xfId="4667"/>
    <cellStyle name="Comma 14 17 2" xfId="4668"/>
    <cellStyle name="Comma 14 17 2 2" xfId="4669"/>
    <cellStyle name="Comma 14 17 3" xfId="4670"/>
    <cellStyle name="Comma 14 18" xfId="4671"/>
    <cellStyle name="Comma 14 18 2" xfId="4672"/>
    <cellStyle name="Comma 14 18 2 2" xfId="4673"/>
    <cellStyle name="Comma 14 18 3" xfId="4674"/>
    <cellStyle name="Comma 14 19" xfId="4675"/>
    <cellStyle name="Comma 14 19 2" xfId="4676"/>
    <cellStyle name="Comma 14 19 2 2" xfId="4677"/>
    <cellStyle name="Comma 14 19 3" xfId="4678"/>
    <cellStyle name="Comma 14 2" xfId="211"/>
    <cellStyle name="Comma 14 2 2" xfId="4679"/>
    <cellStyle name="Comma 14 2 2 2" xfId="4680"/>
    <cellStyle name="Comma 14 2 3" xfId="4681"/>
    <cellStyle name="Comma 14 2 3 2" xfId="4682"/>
    <cellStyle name="Comma 14 2 3 2 2" xfId="4683"/>
    <cellStyle name="Comma 14 2 3 3" xfId="4684"/>
    <cellStyle name="Comma 14 2 4" xfId="4685"/>
    <cellStyle name="Comma 14 2 4 2" xfId="4686"/>
    <cellStyle name="Comma 14 2 5" xfId="4687"/>
    <cellStyle name="Comma 14 2 6" xfId="4688"/>
    <cellStyle name="Comma 14 20" xfId="4689"/>
    <cellStyle name="Comma 14 20 2" xfId="4690"/>
    <cellStyle name="Comma 14 20 2 2" xfId="4691"/>
    <cellStyle name="Comma 14 20 3" xfId="4692"/>
    <cellStyle name="Comma 14 21" xfId="4693"/>
    <cellStyle name="Comma 14 21 2" xfId="4694"/>
    <cellStyle name="Comma 14 21 2 2" xfId="4695"/>
    <cellStyle name="Comma 14 21 3" xfId="4696"/>
    <cellStyle name="Comma 14 22" xfId="4697"/>
    <cellStyle name="Comma 14 22 2" xfId="4698"/>
    <cellStyle name="Comma 14 22 2 2" xfId="4699"/>
    <cellStyle name="Comma 14 22 3" xfId="4700"/>
    <cellStyle name="Comma 14 23" xfId="4701"/>
    <cellStyle name="Comma 14 23 2" xfId="4702"/>
    <cellStyle name="Comma 14 23 2 2" xfId="4703"/>
    <cellStyle name="Comma 14 23 3" xfId="4704"/>
    <cellStyle name="Comma 14 24" xfId="4705"/>
    <cellStyle name="Comma 14 24 2" xfId="4706"/>
    <cellStyle name="Comma 14 24 2 2" xfId="4707"/>
    <cellStyle name="Comma 14 24 3" xfId="4708"/>
    <cellStyle name="Comma 14 25" xfId="4709"/>
    <cellStyle name="Comma 14 25 2" xfId="4710"/>
    <cellStyle name="Comma 14 25 2 2" xfId="4711"/>
    <cellStyle name="Comma 14 25 3" xfId="4712"/>
    <cellStyle name="Comma 14 26" xfId="4713"/>
    <cellStyle name="Comma 14 26 2" xfId="4714"/>
    <cellStyle name="Comma 14 26 2 2" xfId="4715"/>
    <cellStyle name="Comma 14 26 3" xfId="4716"/>
    <cellStyle name="Comma 14 27" xfId="4717"/>
    <cellStyle name="Comma 14 27 2" xfId="4718"/>
    <cellStyle name="Comma 14 27 2 2" xfId="4719"/>
    <cellStyle name="Comma 14 27 3" xfId="4720"/>
    <cellStyle name="Comma 14 28" xfId="4721"/>
    <cellStyle name="Comma 14 28 2" xfId="4722"/>
    <cellStyle name="Comma 14 28 2 2" xfId="4723"/>
    <cellStyle name="Comma 14 28 3" xfId="4724"/>
    <cellStyle name="Comma 14 29" xfId="4725"/>
    <cellStyle name="Comma 14 29 2" xfId="4726"/>
    <cellStyle name="Comma 14 3" xfId="212"/>
    <cellStyle name="Comma 14 3 2" xfId="4727"/>
    <cellStyle name="Comma 14 3 2 2" xfId="4728"/>
    <cellStyle name="Comma 14 3 3" xfId="4729"/>
    <cellStyle name="Comma 14 3 3 2" xfId="4730"/>
    <cellStyle name="Comma 14 3 3 2 2" xfId="4731"/>
    <cellStyle name="Comma 14 3 3 3" xfId="4732"/>
    <cellStyle name="Comma 14 3 4" xfId="4733"/>
    <cellStyle name="Comma 14 30" xfId="4734"/>
    <cellStyle name="Comma 14 30 2" xfId="4735"/>
    <cellStyle name="Comma 14 30 2 2" xfId="4736"/>
    <cellStyle name="Comma 14 30 3" xfId="4737"/>
    <cellStyle name="Comma 14 31" xfId="4738"/>
    <cellStyle name="Comma 14 31 2" xfId="4739"/>
    <cellStyle name="Comma 14 32" xfId="4740"/>
    <cellStyle name="Comma 14 33" xfId="4741"/>
    <cellStyle name="Comma 14 4" xfId="213"/>
    <cellStyle name="Comma 14 4 2" xfId="4742"/>
    <cellStyle name="Comma 14 4 2 2" xfId="4743"/>
    <cellStyle name="Comma 14 4 3" xfId="4744"/>
    <cellStyle name="Comma 14 4 3 2" xfId="4745"/>
    <cellStyle name="Comma 14 4 3 2 2" xfId="4746"/>
    <cellStyle name="Comma 14 4 3 3" xfId="4747"/>
    <cellStyle name="Comma 14 4 4" xfId="4748"/>
    <cellStyle name="Comma 14 5" xfId="214"/>
    <cellStyle name="Comma 14 5 2" xfId="4749"/>
    <cellStyle name="Comma 14 5 2 2" xfId="4750"/>
    <cellStyle name="Comma 14 5 3" xfId="4751"/>
    <cellStyle name="Comma 14 5 3 2" xfId="4752"/>
    <cellStyle name="Comma 14 5 3 2 2" xfId="4753"/>
    <cellStyle name="Comma 14 5 3 3" xfId="4754"/>
    <cellStyle name="Comma 14 5 4" xfId="4755"/>
    <cellStyle name="Comma 14 6" xfId="215"/>
    <cellStyle name="Comma 14 6 2" xfId="4756"/>
    <cellStyle name="Comma 14 6 2 2" xfId="4757"/>
    <cellStyle name="Comma 14 6 3" xfId="4758"/>
    <cellStyle name="Comma 14 7" xfId="216"/>
    <cellStyle name="Comma 14 7 2" xfId="4759"/>
    <cellStyle name="Comma 14 7 2 2" xfId="4760"/>
    <cellStyle name="Comma 14 7 3" xfId="4761"/>
    <cellStyle name="Comma 14 8" xfId="217"/>
    <cellStyle name="Comma 14 8 2" xfId="4762"/>
    <cellStyle name="Comma 14 8 2 2" xfId="4763"/>
    <cellStyle name="Comma 14 8 3" xfId="4764"/>
    <cellStyle name="Comma 14 9" xfId="218"/>
    <cellStyle name="Comma 14 9 2" xfId="4765"/>
    <cellStyle name="Comma 14 9 2 2" xfId="4766"/>
    <cellStyle name="Comma 14 9 3" xfId="4767"/>
    <cellStyle name="Comma 140" xfId="17433"/>
    <cellStyle name="Comma 140 2" xfId="18238"/>
    <cellStyle name="Comma 140 3" xfId="18974"/>
    <cellStyle name="Comma 141" xfId="17360"/>
    <cellStyle name="Comma 141 2" xfId="18165"/>
    <cellStyle name="Comma 141 3" xfId="18901"/>
    <cellStyle name="Comma 142" xfId="17639"/>
    <cellStyle name="Comma 142 2" xfId="18444"/>
    <cellStyle name="Comma 142 3" xfId="19167"/>
    <cellStyle name="Comma 143" xfId="17547"/>
    <cellStyle name="Comma 143 2" xfId="18352"/>
    <cellStyle name="Comma 143 3" xfId="19088"/>
    <cellStyle name="Comma 144" xfId="17712"/>
    <cellStyle name="Comma 144 2" xfId="18517"/>
    <cellStyle name="Comma 144 3" xfId="19239"/>
    <cellStyle name="Comma 145" xfId="17449"/>
    <cellStyle name="Comma 145 2" xfId="18254"/>
    <cellStyle name="Comma 145 3" xfId="18990"/>
    <cellStyle name="Comma 146" xfId="17398"/>
    <cellStyle name="Comma 146 2" xfId="18203"/>
    <cellStyle name="Comma 146 3" xfId="18939"/>
    <cellStyle name="Comma 147" xfId="17463"/>
    <cellStyle name="Comma 147 2" xfId="18268"/>
    <cellStyle name="Comma 147 3" xfId="19004"/>
    <cellStyle name="Comma 148" xfId="17329"/>
    <cellStyle name="Comma 148 2" xfId="18134"/>
    <cellStyle name="Comma 148 3" xfId="18870"/>
    <cellStyle name="Comma 149" xfId="17443"/>
    <cellStyle name="Comma 149 2" xfId="18248"/>
    <cellStyle name="Comma 149 3" xfId="18984"/>
    <cellStyle name="Comma 15" xfId="219"/>
    <cellStyle name="Comma 15 10" xfId="220"/>
    <cellStyle name="Comma 15 10 2" xfId="4768"/>
    <cellStyle name="Comma 15 10 2 2" xfId="4769"/>
    <cellStyle name="Comma 15 10 3" xfId="4770"/>
    <cellStyle name="Comma 15 11" xfId="221"/>
    <cellStyle name="Comma 15 11 2" xfId="4771"/>
    <cellStyle name="Comma 15 11 2 2" xfId="4772"/>
    <cellStyle name="Comma 15 11 3" xfId="4773"/>
    <cellStyle name="Comma 15 12" xfId="222"/>
    <cellStyle name="Comma 15 12 2" xfId="4774"/>
    <cellStyle name="Comma 15 12 2 2" xfId="4775"/>
    <cellStyle name="Comma 15 12 3" xfId="4776"/>
    <cellStyle name="Comma 15 13" xfId="223"/>
    <cellStyle name="Comma 15 13 2" xfId="4777"/>
    <cellStyle name="Comma 15 13 2 2" xfId="4778"/>
    <cellStyle name="Comma 15 13 3" xfId="4779"/>
    <cellStyle name="Comma 15 14" xfId="224"/>
    <cellStyle name="Comma 15 14 2" xfId="4780"/>
    <cellStyle name="Comma 15 14 2 2" xfId="4781"/>
    <cellStyle name="Comma 15 14 3" xfId="4782"/>
    <cellStyle name="Comma 15 15" xfId="225"/>
    <cellStyle name="Comma 15 15 2" xfId="4783"/>
    <cellStyle name="Comma 15 15 2 2" xfId="4784"/>
    <cellStyle name="Comma 15 15 3" xfId="4785"/>
    <cellStyle name="Comma 15 16" xfId="4786"/>
    <cellStyle name="Comma 15 16 2" xfId="4787"/>
    <cellStyle name="Comma 15 16 2 2" xfId="4788"/>
    <cellStyle name="Comma 15 16 3" xfId="4789"/>
    <cellStyle name="Comma 15 17" xfId="4790"/>
    <cellStyle name="Comma 15 17 2" xfId="4791"/>
    <cellStyle name="Comma 15 17 2 2" xfId="4792"/>
    <cellStyle name="Comma 15 17 3" xfId="4793"/>
    <cellStyle name="Comma 15 18" xfId="4794"/>
    <cellStyle name="Comma 15 18 2" xfId="4795"/>
    <cellStyle name="Comma 15 18 2 2" xfId="4796"/>
    <cellStyle name="Comma 15 18 3" xfId="4797"/>
    <cellStyle name="Comma 15 19" xfId="4798"/>
    <cellStyle name="Comma 15 19 2" xfId="4799"/>
    <cellStyle name="Comma 15 19 2 2" xfId="4800"/>
    <cellStyle name="Comma 15 19 3" xfId="4801"/>
    <cellStyle name="Comma 15 2" xfId="226"/>
    <cellStyle name="Comma 15 2 2" xfId="4802"/>
    <cellStyle name="Comma 15 2 2 2" xfId="4803"/>
    <cellStyle name="Comma 15 2 2 2 2" xfId="4804"/>
    <cellStyle name="Comma 15 2 2 3" xfId="4805"/>
    <cellStyle name="Comma 15 2 3" xfId="4806"/>
    <cellStyle name="Comma 15 2 3 2" xfId="4807"/>
    <cellStyle name="Comma 15 2 3 2 2" xfId="4808"/>
    <cellStyle name="Comma 15 2 3 3" xfId="4809"/>
    <cellStyle name="Comma 15 2 4" xfId="4810"/>
    <cellStyle name="Comma 15 2 4 2" xfId="4811"/>
    <cellStyle name="Comma 15 2 5" xfId="4812"/>
    <cellStyle name="Comma 15 20" xfId="4813"/>
    <cellStyle name="Comma 15 20 2" xfId="4814"/>
    <cellStyle name="Comma 15 20 2 2" xfId="4815"/>
    <cellStyle name="Comma 15 20 3" xfId="4816"/>
    <cellStyle name="Comma 15 21" xfId="4817"/>
    <cellStyle name="Comma 15 21 2" xfId="4818"/>
    <cellStyle name="Comma 15 21 2 2" xfId="4819"/>
    <cellStyle name="Comma 15 21 3" xfId="4820"/>
    <cellStyle name="Comma 15 22" xfId="4821"/>
    <cellStyle name="Comma 15 22 2" xfId="4822"/>
    <cellStyle name="Comma 15 22 2 2" xfId="4823"/>
    <cellStyle name="Comma 15 22 3" xfId="4824"/>
    <cellStyle name="Comma 15 23" xfId="4825"/>
    <cellStyle name="Comma 15 23 2" xfId="4826"/>
    <cellStyle name="Comma 15 23 2 2" xfId="4827"/>
    <cellStyle name="Comma 15 23 3" xfId="4828"/>
    <cellStyle name="Comma 15 24" xfId="4829"/>
    <cellStyle name="Comma 15 24 2" xfId="4830"/>
    <cellStyle name="Comma 15 24 2 2" xfId="4831"/>
    <cellStyle name="Comma 15 24 3" xfId="4832"/>
    <cellStyle name="Comma 15 25" xfId="4833"/>
    <cellStyle name="Comma 15 25 2" xfId="4834"/>
    <cellStyle name="Comma 15 25 2 2" xfId="4835"/>
    <cellStyle name="Comma 15 25 3" xfId="4836"/>
    <cellStyle name="Comma 15 26" xfId="4837"/>
    <cellStyle name="Comma 15 26 2" xfId="4838"/>
    <cellStyle name="Comma 15 26 2 2" xfId="4839"/>
    <cellStyle name="Comma 15 26 3" xfId="4840"/>
    <cellStyle name="Comma 15 27" xfId="4841"/>
    <cellStyle name="Comma 15 27 2" xfId="4842"/>
    <cellStyle name="Comma 15 27 2 2" xfId="4843"/>
    <cellStyle name="Comma 15 27 3" xfId="4844"/>
    <cellStyle name="Comma 15 28" xfId="4845"/>
    <cellStyle name="Comma 15 28 2" xfId="4846"/>
    <cellStyle name="Comma 15 28 2 2" xfId="4847"/>
    <cellStyle name="Comma 15 28 3" xfId="4848"/>
    <cellStyle name="Comma 15 29" xfId="4849"/>
    <cellStyle name="Comma 15 29 2" xfId="4850"/>
    <cellStyle name="Comma 15 3" xfId="227"/>
    <cellStyle name="Comma 15 3 2" xfId="4851"/>
    <cellStyle name="Comma 15 3 2 2" xfId="4852"/>
    <cellStyle name="Comma 15 3 3" xfId="4853"/>
    <cellStyle name="Comma 15 3 3 2" xfId="4854"/>
    <cellStyle name="Comma 15 3 3 2 2" xfId="4855"/>
    <cellStyle name="Comma 15 3 3 3" xfId="4856"/>
    <cellStyle name="Comma 15 3 4" xfId="4857"/>
    <cellStyle name="Comma 15 3 4 2" xfId="4858"/>
    <cellStyle name="Comma 15 3 5" xfId="4859"/>
    <cellStyle name="Comma 15 30" xfId="4860"/>
    <cellStyle name="Comma 15 30 2" xfId="4861"/>
    <cellStyle name="Comma 15 31" xfId="4862"/>
    <cellStyle name="Comma 15 31 2" xfId="4863"/>
    <cellStyle name="Comma 15 31 2 2" xfId="4864"/>
    <cellStyle name="Comma 15 31 3" xfId="4865"/>
    <cellStyle name="Comma 15 32" xfId="4866"/>
    <cellStyle name="Comma 15 32 2" xfId="4867"/>
    <cellStyle name="Comma 15 33" xfId="4868"/>
    <cellStyle name="Comma 15 4" xfId="228"/>
    <cellStyle name="Comma 15 4 2" xfId="4869"/>
    <cellStyle name="Comma 15 4 2 2" xfId="4870"/>
    <cellStyle name="Comma 15 4 3" xfId="4871"/>
    <cellStyle name="Comma 15 4 3 2" xfId="4872"/>
    <cellStyle name="Comma 15 4 3 2 2" xfId="4873"/>
    <cellStyle name="Comma 15 4 3 3" xfId="4874"/>
    <cellStyle name="Comma 15 4 4" xfId="4875"/>
    <cellStyle name="Comma 15 4 4 2" xfId="4876"/>
    <cellStyle name="Comma 15 4 5" xfId="4877"/>
    <cellStyle name="Comma 15 4 6" xfId="4878"/>
    <cellStyle name="Comma 15 5" xfId="229"/>
    <cellStyle name="Comma 15 5 2" xfId="4879"/>
    <cellStyle name="Comma 15 5 2 2" xfId="4880"/>
    <cellStyle name="Comma 15 5 3" xfId="4881"/>
    <cellStyle name="Comma 15 5 3 2" xfId="4882"/>
    <cellStyle name="Comma 15 5 3 2 2" xfId="4883"/>
    <cellStyle name="Comma 15 5 3 3" xfId="4884"/>
    <cellStyle name="Comma 15 5 4" xfId="4885"/>
    <cellStyle name="Comma 15 6" xfId="230"/>
    <cellStyle name="Comma 15 6 2" xfId="4886"/>
    <cellStyle name="Comma 15 6 2 2" xfId="4887"/>
    <cellStyle name="Comma 15 6 3" xfId="4888"/>
    <cellStyle name="Comma 15 7" xfId="231"/>
    <cellStyle name="Comma 15 7 2" xfId="4889"/>
    <cellStyle name="Comma 15 7 2 2" xfId="4890"/>
    <cellStyle name="Comma 15 7 3" xfId="4891"/>
    <cellStyle name="Comma 15 8" xfId="232"/>
    <cellStyle name="Comma 15 8 2" xfId="4892"/>
    <cellStyle name="Comma 15 8 2 2" xfId="4893"/>
    <cellStyle name="Comma 15 8 3" xfId="4894"/>
    <cellStyle name="Comma 15 9" xfId="233"/>
    <cellStyle name="Comma 15 9 2" xfId="4895"/>
    <cellStyle name="Comma 15 9 2 2" xfId="4896"/>
    <cellStyle name="Comma 15 9 3" xfId="4897"/>
    <cellStyle name="Comma 150" xfId="17389"/>
    <cellStyle name="Comma 150 2" xfId="18194"/>
    <cellStyle name="Comma 150 3" xfId="18930"/>
    <cellStyle name="Comma 151" xfId="17518"/>
    <cellStyle name="Comma 151 2" xfId="18323"/>
    <cellStyle name="Comma 151 3" xfId="19059"/>
    <cellStyle name="Comma 152" xfId="17718"/>
    <cellStyle name="Comma 152 2" xfId="18523"/>
    <cellStyle name="Comma 152 3" xfId="19245"/>
    <cellStyle name="Comma 153" xfId="17314"/>
    <cellStyle name="Comma 153 2" xfId="18119"/>
    <cellStyle name="Comma 153 3" xfId="18855"/>
    <cellStyle name="Comma 154" xfId="17520"/>
    <cellStyle name="Comma 154 2" xfId="18325"/>
    <cellStyle name="Comma 154 3" xfId="19061"/>
    <cellStyle name="Comma 155" xfId="17692"/>
    <cellStyle name="Comma 155 2" xfId="18497"/>
    <cellStyle name="Comma 155 3" xfId="19219"/>
    <cellStyle name="Comma 156" xfId="17336"/>
    <cellStyle name="Comma 156 2" xfId="18141"/>
    <cellStyle name="Comma 156 3" xfId="18877"/>
    <cellStyle name="Comma 157" xfId="17689"/>
    <cellStyle name="Comma 157 2" xfId="18494"/>
    <cellStyle name="Comma 157 3" xfId="19216"/>
    <cellStyle name="Comma 158" xfId="17435"/>
    <cellStyle name="Comma 158 2" xfId="18240"/>
    <cellStyle name="Comma 158 3" xfId="18976"/>
    <cellStyle name="Comma 159" xfId="17363"/>
    <cellStyle name="Comma 159 2" xfId="18168"/>
    <cellStyle name="Comma 159 3" xfId="18904"/>
    <cellStyle name="Comma 16" xfId="234"/>
    <cellStyle name="Comma 16 10" xfId="235"/>
    <cellStyle name="Comma 16 10 2" xfId="4898"/>
    <cellStyle name="Comma 16 10 2 2" xfId="4899"/>
    <cellStyle name="Comma 16 10 3" xfId="4900"/>
    <cellStyle name="Comma 16 11" xfId="236"/>
    <cellStyle name="Comma 16 11 2" xfId="4901"/>
    <cellStyle name="Comma 16 11 2 2" xfId="4902"/>
    <cellStyle name="Comma 16 11 3" xfId="4903"/>
    <cellStyle name="Comma 16 12" xfId="237"/>
    <cellStyle name="Comma 16 12 2" xfId="4904"/>
    <cellStyle name="Comma 16 12 2 2" xfId="4905"/>
    <cellStyle name="Comma 16 12 3" xfId="4906"/>
    <cellStyle name="Comma 16 13" xfId="238"/>
    <cellStyle name="Comma 16 13 2" xfId="4907"/>
    <cellStyle name="Comma 16 13 2 2" xfId="4908"/>
    <cellStyle name="Comma 16 13 3" xfId="4909"/>
    <cellStyle name="Comma 16 14" xfId="239"/>
    <cellStyle name="Comma 16 14 2" xfId="4910"/>
    <cellStyle name="Comma 16 14 2 2" xfId="4911"/>
    <cellStyle name="Comma 16 14 3" xfId="4912"/>
    <cellStyle name="Comma 16 15" xfId="240"/>
    <cellStyle name="Comma 16 15 2" xfId="4913"/>
    <cellStyle name="Comma 16 15 2 2" xfId="4914"/>
    <cellStyle name="Comma 16 15 3" xfId="4915"/>
    <cellStyle name="Comma 16 16" xfId="4916"/>
    <cellStyle name="Comma 16 16 2" xfId="4917"/>
    <cellStyle name="Comma 16 16 2 2" xfId="4918"/>
    <cellStyle name="Comma 16 16 3" xfId="4919"/>
    <cellStyle name="Comma 16 17" xfId="4920"/>
    <cellStyle name="Comma 16 17 2" xfId="4921"/>
    <cellStyle name="Comma 16 17 2 2" xfId="4922"/>
    <cellStyle name="Comma 16 17 3" xfId="4923"/>
    <cellStyle name="Comma 16 18" xfId="4924"/>
    <cellStyle name="Comma 16 18 2" xfId="4925"/>
    <cellStyle name="Comma 16 18 2 2" xfId="4926"/>
    <cellStyle name="Comma 16 18 3" xfId="4927"/>
    <cellStyle name="Comma 16 19" xfId="4928"/>
    <cellStyle name="Comma 16 19 2" xfId="4929"/>
    <cellStyle name="Comma 16 19 2 2" xfId="4930"/>
    <cellStyle name="Comma 16 19 3" xfId="4931"/>
    <cellStyle name="Comma 16 2" xfId="241"/>
    <cellStyle name="Comma 16 2 2" xfId="4932"/>
    <cellStyle name="Comma 16 2 2 2" xfId="4933"/>
    <cellStyle name="Comma 16 2 3" xfId="4934"/>
    <cellStyle name="Comma 16 2 3 2" xfId="4935"/>
    <cellStyle name="Comma 16 2 3 2 2" xfId="4936"/>
    <cellStyle name="Comma 16 2 3 3" xfId="4937"/>
    <cellStyle name="Comma 16 2 4" xfId="4938"/>
    <cellStyle name="Comma 16 2 4 2" xfId="4939"/>
    <cellStyle name="Comma 16 2 5" xfId="4940"/>
    <cellStyle name="Comma 16 2 6" xfId="4941"/>
    <cellStyle name="Comma 16 20" xfId="4942"/>
    <cellStyle name="Comma 16 20 2" xfId="4943"/>
    <cellStyle name="Comma 16 20 2 2" xfId="4944"/>
    <cellStyle name="Comma 16 20 3" xfId="4945"/>
    <cellStyle name="Comma 16 21" xfId="4946"/>
    <cellStyle name="Comma 16 21 2" xfId="4947"/>
    <cellStyle name="Comma 16 21 2 2" xfId="4948"/>
    <cellStyle name="Comma 16 21 3" xfId="4949"/>
    <cellStyle name="Comma 16 22" xfId="4950"/>
    <cellStyle name="Comma 16 22 2" xfId="4951"/>
    <cellStyle name="Comma 16 22 2 2" xfId="4952"/>
    <cellStyle name="Comma 16 22 3" xfId="4953"/>
    <cellStyle name="Comma 16 23" xfId="4954"/>
    <cellStyle name="Comma 16 23 2" xfId="4955"/>
    <cellStyle name="Comma 16 23 2 2" xfId="4956"/>
    <cellStyle name="Comma 16 23 3" xfId="4957"/>
    <cellStyle name="Comma 16 24" xfId="4958"/>
    <cellStyle name="Comma 16 24 2" xfId="4959"/>
    <cellStyle name="Comma 16 24 2 2" xfId="4960"/>
    <cellStyle name="Comma 16 24 3" xfId="4961"/>
    <cellStyle name="Comma 16 25" xfId="4962"/>
    <cellStyle name="Comma 16 25 2" xfId="4963"/>
    <cellStyle name="Comma 16 25 2 2" xfId="4964"/>
    <cellStyle name="Comma 16 25 3" xfId="4965"/>
    <cellStyle name="Comma 16 26" xfId="4966"/>
    <cellStyle name="Comma 16 26 2" xfId="4967"/>
    <cellStyle name="Comma 16 26 2 2" xfId="4968"/>
    <cellStyle name="Comma 16 26 3" xfId="4969"/>
    <cellStyle name="Comma 16 27" xfId="4970"/>
    <cellStyle name="Comma 16 27 2" xfId="4971"/>
    <cellStyle name="Comma 16 27 2 2" xfId="4972"/>
    <cellStyle name="Comma 16 27 3" xfId="4973"/>
    <cellStyle name="Comma 16 28" xfId="4974"/>
    <cellStyle name="Comma 16 28 2" xfId="4975"/>
    <cellStyle name="Comma 16 28 2 2" xfId="4976"/>
    <cellStyle name="Comma 16 28 3" xfId="4977"/>
    <cellStyle name="Comma 16 29" xfId="4978"/>
    <cellStyle name="Comma 16 29 2" xfId="4979"/>
    <cellStyle name="Comma 16 3" xfId="242"/>
    <cellStyle name="Comma 16 3 2" xfId="4980"/>
    <cellStyle name="Comma 16 3 2 2" xfId="4981"/>
    <cellStyle name="Comma 16 3 3" xfId="4982"/>
    <cellStyle name="Comma 16 3 3 2" xfId="4983"/>
    <cellStyle name="Comma 16 3 3 2 2" xfId="4984"/>
    <cellStyle name="Comma 16 3 3 3" xfId="4985"/>
    <cellStyle name="Comma 16 3 4" xfId="4986"/>
    <cellStyle name="Comma 16 30" xfId="4987"/>
    <cellStyle name="Comma 16 30 2" xfId="4988"/>
    <cellStyle name="Comma 16 30 2 2" xfId="4989"/>
    <cellStyle name="Comma 16 30 3" xfId="4990"/>
    <cellStyle name="Comma 16 31" xfId="4991"/>
    <cellStyle name="Comma 16 31 2" xfId="4992"/>
    <cellStyle name="Comma 16 32" xfId="4993"/>
    <cellStyle name="Comma 16 33" xfId="4994"/>
    <cellStyle name="Comma 16 4" xfId="243"/>
    <cellStyle name="Comma 16 4 2" xfId="4995"/>
    <cellStyle name="Comma 16 4 2 2" xfId="4996"/>
    <cellStyle name="Comma 16 4 3" xfId="4997"/>
    <cellStyle name="Comma 16 4 3 2" xfId="4998"/>
    <cellStyle name="Comma 16 4 3 2 2" xfId="4999"/>
    <cellStyle name="Comma 16 4 3 3" xfId="5000"/>
    <cellStyle name="Comma 16 4 4" xfId="5001"/>
    <cellStyle name="Comma 16 5" xfId="244"/>
    <cellStyle name="Comma 16 5 2" xfId="5002"/>
    <cellStyle name="Comma 16 5 2 2" xfId="5003"/>
    <cellStyle name="Comma 16 5 3" xfId="5004"/>
    <cellStyle name="Comma 16 5 3 2" xfId="5005"/>
    <cellStyle name="Comma 16 5 3 2 2" xfId="5006"/>
    <cellStyle name="Comma 16 5 3 3" xfId="5007"/>
    <cellStyle name="Comma 16 5 4" xfId="5008"/>
    <cellStyle name="Comma 16 6" xfId="245"/>
    <cellStyle name="Comma 16 6 2" xfId="5009"/>
    <cellStyle name="Comma 16 6 2 2" xfId="5010"/>
    <cellStyle name="Comma 16 6 3" xfId="5011"/>
    <cellStyle name="Comma 16 7" xfId="246"/>
    <cellStyle name="Comma 16 7 2" xfId="5012"/>
    <cellStyle name="Comma 16 7 2 2" xfId="5013"/>
    <cellStyle name="Comma 16 7 3" xfId="5014"/>
    <cellStyle name="Comma 16 8" xfId="247"/>
    <cellStyle name="Comma 16 8 2" xfId="5015"/>
    <cellStyle name="Comma 16 8 2 2" xfId="5016"/>
    <cellStyle name="Comma 16 8 3" xfId="5017"/>
    <cellStyle name="Comma 16 9" xfId="248"/>
    <cellStyle name="Comma 16 9 2" xfId="5018"/>
    <cellStyle name="Comma 16 9 2 2" xfId="5019"/>
    <cellStyle name="Comma 16 9 3" xfId="5020"/>
    <cellStyle name="Comma 160" xfId="17679"/>
    <cellStyle name="Comma 160 2" xfId="18484"/>
    <cellStyle name="Comma 160 3" xfId="19206"/>
    <cellStyle name="Comma 161" xfId="17352"/>
    <cellStyle name="Comma 161 2" xfId="18157"/>
    <cellStyle name="Comma 161 3" xfId="18893"/>
    <cellStyle name="Comma 162" xfId="17420"/>
    <cellStyle name="Comma 162 2" xfId="18225"/>
    <cellStyle name="Comma 162 3" xfId="18961"/>
    <cellStyle name="Comma 163" xfId="17513"/>
    <cellStyle name="Comma 163 2" xfId="18318"/>
    <cellStyle name="Comma 163 3" xfId="19054"/>
    <cellStyle name="Comma 164" xfId="17483"/>
    <cellStyle name="Comma 164 2" xfId="18288"/>
    <cellStyle name="Comma 164 3" xfId="19024"/>
    <cellStyle name="Comma 165" xfId="17388"/>
    <cellStyle name="Comma 165 2" xfId="18193"/>
    <cellStyle name="Comma 165 3" xfId="18929"/>
    <cellStyle name="Comma 166" xfId="17408"/>
    <cellStyle name="Comma 166 2" xfId="18213"/>
    <cellStyle name="Comma 166 3" xfId="18949"/>
    <cellStyle name="Comma 167" xfId="17662"/>
    <cellStyle name="Comma 167 2" xfId="18467"/>
    <cellStyle name="Comma 167 3" xfId="19189"/>
    <cellStyle name="Comma 168" xfId="17337"/>
    <cellStyle name="Comma 168 2" xfId="18142"/>
    <cellStyle name="Comma 168 3" xfId="18878"/>
    <cellStyle name="Comma 169" xfId="17442"/>
    <cellStyle name="Comma 169 2" xfId="18247"/>
    <cellStyle name="Comma 169 3" xfId="18983"/>
    <cellStyle name="Comma 17" xfId="249"/>
    <cellStyle name="Comma 17 10" xfId="250"/>
    <cellStyle name="Comma 17 10 2" xfId="5021"/>
    <cellStyle name="Comma 17 10 2 2" xfId="5022"/>
    <cellStyle name="Comma 17 10 3" xfId="5023"/>
    <cellStyle name="Comma 17 11" xfId="251"/>
    <cellStyle name="Comma 17 11 2" xfId="5024"/>
    <cellStyle name="Comma 17 11 2 2" xfId="5025"/>
    <cellStyle name="Comma 17 11 3" xfId="5026"/>
    <cellStyle name="Comma 17 12" xfId="252"/>
    <cellStyle name="Comma 17 12 2" xfId="5027"/>
    <cellStyle name="Comma 17 12 2 2" xfId="5028"/>
    <cellStyle name="Comma 17 12 3" xfId="5029"/>
    <cellStyle name="Comma 17 13" xfId="253"/>
    <cellStyle name="Comma 17 13 2" xfId="5030"/>
    <cellStyle name="Comma 17 13 2 2" xfId="5031"/>
    <cellStyle name="Comma 17 13 3" xfId="5032"/>
    <cellStyle name="Comma 17 14" xfId="254"/>
    <cellStyle name="Comma 17 14 2" xfId="5033"/>
    <cellStyle name="Comma 17 14 2 2" xfId="5034"/>
    <cellStyle name="Comma 17 14 3" xfId="5035"/>
    <cellStyle name="Comma 17 15" xfId="255"/>
    <cellStyle name="Comma 17 15 2" xfId="5036"/>
    <cellStyle name="Comma 17 15 2 2" xfId="5037"/>
    <cellStyle name="Comma 17 15 3" xfId="5038"/>
    <cellStyle name="Comma 17 16" xfId="5039"/>
    <cellStyle name="Comma 17 16 2" xfId="5040"/>
    <cellStyle name="Comma 17 16 2 2" xfId="5041"/>
    <cellStyle name="Comma 17 16 3" xfId="5042"/>
    <cellStyle name="Comma 17 17" xfId="5043"/>
    <cellStyle name="Comma 17 17 2" xfId="5044"/>
    <cellStyle name="Comma 17 17 2 2" xfId="5045"/>
    <cellStyle name="Comma 17 17 3" xfId="5046"/>
    <cellStyle name="Comma 17 18" xfId="5047"/>
    <cellStyle name="Comma 17 18 2" xfId="5048"/>
    <cellStyle name="Comma 17 18 2 2" xfId="5049"/>
    <cellStyle name="Comma 17 18 3" xfId="5050"/>
    <cellStyle name="Comma 17 19" xfId="5051"/>
    <cellStyle name="Comma 17 19 2" xfId="5052"/>
    <cellStyle name="Comma 17 19 2 2" xfId="5053"/>
    <cellStyle name="Comma 17 19 3" xfId="5054"/>
    <cellStyle name="Comma 17 2" xfId="256"/>
    <cellStyle name="Comma 17 2 2" xfId="5055"/>
    <cellStyle name="Comma 17 2 2 2" xfId="5056"/>
    <cellStyle name="Comma 17 2 3" xfId="5057"/>
    <cellStyle name="Comma 17 2 3 2" xfId="5058"/>
    <cellStyle name="Comma 17 2 3 2 2" xfId="5059"/>
    <cellStyle name="Comma 17 2 3 3" xfId="5060"/>
    <cellStyle name="Comma 17 2 4" xfId="5061"/>
    <cellStyle name="Comma 17 2 4 2" xfId="5062"/>
    <cellStyle name="Comma 17 2 5" xfId="5063"/>
    <cellStyle name="Comma 17 2 6" xfId="5064"/>
    <cellStyle name="Comma 17 20" xfId="5065"/>
    <cellStyle name="Comma 17 20 2" xfId="5066"/>
    <cellStyle name="Comma 17 20 2 2" xfId="5067"/>
    <cellStyle name="Comma 17 20 3" xfId="5068"/>
    <cellStyle name="Comma 17 21" xfId="5069"/>
    <cellStyle name="Comma 17 21 2" xfId="5070"/>
    <cellStyle name="Comma 17 21 2 2" xfId="5071"/>
    <cellStyle name="Comma 17 21 3" xfId="5072"/>
    <cellStyle name="Comma 17 22" xfId="5073"/>
    <cellStyle name="Comma 17 22 2" xfId="5074"/>
    <cellStyle name="Comma 17 22 2 2" xfId="5075"/>
    <cellStyle name="Comma 17 22 3" xfId="5076"/>
    <cellStyle name="Comma 17 23" xfId="5077"/>
    <cellStyle name="Comma 17 23 2" xfId="5078"/>
    <cellStyle name="Comma 17 23 2 2" xfId="5079"/>
    <cellStyle name="Comma 17 23 3" xfId="5080"/>
    <cellStyle name="Comma 17 24" xfId="5081"/>
    <cellStyle name="Comma 17 24 2" xfId="5082"/>
    <cellStyle name="Comma 17 24 2 2" xfId="5083"/>
    <cellStyle name="Comma 17 24 3" xfId="5084"/>
    <cellStyle name="Comma 17 25" xfId="5085"/>
    <cellStyle name="Comma 17 25 2" xfId="5086"/>
    <cellStyle name="Comma 17 25 2 2" xfId="5087"/>
    <cellStyle name="Comma 17 25 3" xfId="5088"/>
    <cellStyle name="Comma 17 26" xfId="5089"/>
    <cellStyle name="Comma 17 26 2" xfId="5090"/>
    <cellStyle name="Comma 17 26 2 2" xfId="5091"/>
    <cellStyle name="Comma 17 26 3" xfId="5092"/>
    <cellStyle name="Comma 17 27" xfId="5093"/>
    <cellStyle name="Comma 17 27 2" xfId="5094"/>
    <cellStyle name="Comma 17 27 2 2" xfId="5095"/>
    <cellStyle name="Comma 17 27 3" xfId="5096"/>
    <cellStyle name="Comma 17 28" xfId="5097"/>
    <cellStyle name="Comma 17 28 2" xfId="5098"/>
    <cellStyle name="Comma 17 28 2 2" xfId="5099"/>
    <cellStyle name="Comma 17 28 3" xfId="5100"/>
    <cellStyle name="Comma 17 29" xfId="5101"/>
    <cellStyle name="Comma 17 29 2" xfId="5102"/>
    <cellStyle name="Comma 17 3" xfId="257"/>
    <cellStyle name="Comma 17 3 2" xfId="5103"/>
    <cellStyle name="Comma 17 3 2 2" xfId="5104"/>
    <cellStyle name="Comma 17 3 3" xfId="5105"/>
    <cellStyle name="Comma 17 3 3 2" xfId="5106"/>
    <cellStyle name="Comma 17 3 3 2 2" xfId="5107"/>
    <cellStyle name="Comma 17 3 3 3" xfId="5108"/>
    <cellStyle name="Comma 17 3 4" xfId="5109"/>
    <cellStyle name="Comma 17 30" xfId="5110"/>
    <cellStyle name="Comma 17 30 2" xfId="5111"/>
    <cellStyle name="Comma 17 30 2 2" xfId="5112"/>
    <cellStyle name="Comma 17 30 3" xfId="5113"/>
    <cellStyle name="Comma 17 31" xfId="5114"/>
    <cellStyle name="Comma 17 31 2" xfId="5115"/>
    <cellStyle name="Comma 17 32" xfId="5116"/>
    <cellStyle name="Comma 17 32 2" xfId="5117"/>
    <cellStyle name="Comma 17 33" xfId="5118"/>
    <cellStyle name="Comma 17 4" xfId="258"/>
    <cellStyle name="Comma 17 4 2" xfId="5119"/>
    <cellStyle name="Comma 17 4 2 2" xfId="5120"/>
    <cellStyle name="Comma 17 4 3" xfId="5121"/>
    <cellStyle name="Comma 17 4 3 2" xfId="5122"/>
    <cellStyle name="Comma 17 4 3 2 2" xfId="5123"/>
    <cellStyle name="Comma 17 4 3 3" xfId="5124"/>
    <cellStyle name="Comma 17 4 4" xfId="5125"/>
    <cellStyle name="Comma 17 5" xfId="259"/>
    <cellStyle name="Comma 17 5 2" xfId="5126"/>
    <cellStyle name="Comma 17 5 2 2" xfId="5127"/>
    <cellStyle name="Comma 17 5 3" xfId="5128"/>
    <cellStyle name="Comma 17 5 3 2" xfId="5129"/>
    <cellStyle name="Comma 17 5 3 2 2" xfId="5130"/>
    <cellStyle name="Comma 17 5 3 3" xfId="5131"/>
    <cellStyle name="Comma 17 5 4" xfId="5132"/>
    <cellStyle name="Comma 17 6" xfId="260"/>
    <cellStyle name="Comma 17 6 2" xfId="5133"/>
    <cellStyle name="Comma 17 6 2 2" xfId="5134"/>
    <cellStyle name="Comma 17 6 3" xfId="5135"/>
    <cellStyle name="Comma 17 7" xfId="261"/>
    <cellStyle name="Comma 17 7 2" xfId="5136"/>
    <cellStyle name="Comma 17 7 2 2" xfId="5137"/>
    <cellStyle name="Comma 17 7 3" xfId="5138"/>
    <cellStyle name="Comma 17 8" xfId="262"/>
    <cellStyle name="Comma 17 8 2" xfId="5139"/>
    <cellStyle name="Comma 17 8 2 2" xfId="5140"/>
    <cellStyle name="Comma 17 8 3" xfId="5141"/>
    <cellStyle name="Comma 17 9" xfId="263"/>
    <cellStyle name="Comma 17 9 2" xfId="5142"/>
    <cellStyle name="Comma 17 9 2 2" xfId="5143"/>
    <cellStyle name="Comma 17 9 3" xfId="5144"/>
    <cellStyle name="Comma 170" xfId="17431"/>
    <cellStyle name="Comma 170 2" xfId="18236"/>
    <cellStyle name="Comma 170 3" xfId="18972"/>
    <cellStyle name="Comma 171" xfId="17386"/>
    <cellStyle name="Comma 171 2" xfId="18191"/>
    <cellStyle name="Comma 171 3" xfId="18927"/>
    <cellStyle name="Comma 172" xfId="17696"/>
    <cellStyle name="Comma 172 2" xfId="18501"/>
    <cellStyle name="Comma 172 3" xfId="19223"/>
    <cellStyle name="Comma 173" xfId="17397"/>
    <cellStyle name="Comma 173 2" xfId="18202"/>
    <cellStyle name="Comma 173 3" xfId="18938"/>
    <cellStyle name="Comma 174" xfId="17501"/>
    <cellStyle name="Comma 174 2" xfId="18306"/>
    <cellStyle name="Comma 174 3" xfId="19042"/>
    <cellStyle name="Comma 175" xfId="17675"/>
    <cellStyle name="Comma 175 2" xfId="18480"/>
    <cellStyle name="Comma 175 3" xfId="19202"/>
    <cellStyle name="Comma 176" xfId="17719"/>
    <cellStyle name="Comma 176 2" xfId="18524"/>
    <cellStyle name="Comma 176 3" xfId="19246"/>
    <cellStyle name="Comma 177" xfId="17699"/>
    <cellStyle name="Comma 177 2" xfId="18504"/>
    <cellStyle name="Comma 177 3" xfId="19226"/>
    <cellStyle name="Comma 178" xfId="17502"/>
    <cellStyle name="Comma 178 2" xfId="18307"/>
    <cellStyle name="Comma 178 3" xfId="19043"/>
    <cellStyle name="Comma 179" xfId="17309"/>
    <cellStyle name="Comma 179 2" xfId="18114"/>
    <cellStyle name="Comma 179 3" xfId="18850"/>
    <cellStyle name="Comma 18" xfId="264"/>
    <cellStyle name="Comma 18 10" xfId="265"/>
    <cellStyle name="Comma 18 10 2" xfId="5145"/>
    <cellStyle name="Comma 18 10 2 2" xfId="5146"/>
    <cellStyle name="Comma 18 10 3" xfId="5147"/>
    <cellStyle name="Comma 18 11" xfId="266"/>
    <cellStyle name="Comma 18 11 2" xfId="5148"/>
    <cellStyle name="Comma 18 11 2 2" xfId="5149"/>
    <cellStyle name="Comma 18 11 3" xfId="5150"/>
    <cellStyle name="Comma 18 12" xfId="267"/>
    <cellStyle name="Comma 18 12 2" xfId="5151"/>
    <cellStyle name="Comma 18 12 2 2" xfId="5152"/>
    <cellStyle name="Comma 18 12 3" xfId="5153"/>
    <cellStyle name="Comma 18 13" xfId="268"/>
    <cellStyle name="Comma 18 13 2" xfId="5154"/>
    <cellStyle name="Comma 18 13 2 2" xfId="5155"/>
    <cellStyle name="Comma 18 13 3" xfId="5156"/>
    <cellStyle name="Comma 18 14" xfId="269"/>
    <cellStyle name="Comma 18 14 2" xfId="5157"/>
    <cellStyle name="Comma 18 14 2 2" xfId="5158"/>
    <cellStyle name="Comma 18 14 3" xfId="5159"/>
    <cellStyle name="Comma 18 15" xfId="270"/>
    <cellStyle name="Comma 18 15 2" xfId="5160"/>
    <cellStyle name="Comma 18 15 2 2" xfId="5161"/>
    <cellStyle name="Comma 18 15 3" xfId="5162"/>
    <cellStyle name="Comma 18 16" xfId="5163"/>
    <cellStyle name="Comma 18 16 2" xfId="5164"/>
    <cellStyle name="Comma 18 16 2 2" xfId="5165"/>
    <cellStyle name="Comma 18 16 3" xfId="5166"/>
    <cellStyle name="Comma 18 17" xfId="5167"/>
    <cellStyle name="Comma 18 17 2" xfId="5168"/>
    <cellStyle name="Comma 18 17 2 2" xfId="5169"/>
    <cellStyle name="Comma 18 17 3" xfId="5170"/>
    <cellStyle name="Comma 18 18" xfId="5171"/>
    <cellStyle name="Comma 18 18 2" xfId="5172"/>
    <cellStyle name="Comma 18 18 2 2" xfId="5173"/>
    <cellStyle name="Comma 18 18 3" xfId="5174"/>
    <cellStyle name="Comma 18 19" xfId="5175"/>
    <cellStyle name="Comma 18 19 2" xfId="5176"/>
    <cellStyle name="Comma 18 19 2 2" xfId="5177"/>
    <cellStyle name="Comma 18 19 3" xfId="5178"/>
    <cellStyle name="Comma 18 2" xfId="271"/>
    <cellStyle name="Comma 18 2 2" xfId="5179"/>
    <cellStyle name="Comma 18 2 2 2" xfId="5180"/>
    <cellStyle name="Comma 18 2 3" xfId="5181"/>
    <cellStyle name="Comma 18 2 3 2" xfId="5182"/>
    <cellStyle name="Comma 18 2 3 2 2" xfId="5183"/>
    <cellStyle name="Comma 18 2 3 3" xfId="5184"/>
    <cellStyle name="Comma 18 2 4" xfId="5185"/>
    <cellStyle name="Comma 18 2 4 2" xfId="5186"/>
    <cellStyle name="Comma 18 2 5" xfId="5187"/>
    <cellStyle name="Comma 18 2 6" xfId="5188"/>
    <cellStyle name="Comma 18 20" xfId="5189"/>
    <cellStyle name="Comma 18 20 2" xfId="5190"/>
    <cellStyle name="Comma 18 20 2 2" xfId="5191"/>
    <cellStyle name="Comma 18 20 3" xfId="5192"/>
    <cellStyle name="Comma 18 21" xfId="5193"/>
    <cellStyle name="Comma 18 21 2" xfId="5194"/>
    <cellStyle name="Comma 18 21 2 2" xfId="5195"/>
    <cellStyle name="Comma 18 21 3" xfId="5196"/>
    <cellStyle name="Comma 18 22" xfId="5197"/>
    <cellStyle name="Comma 18 22 2" xfId="5198"/>
    <cellStyle name="Comma 18 22 2 2" xfId="5199"/>
    <cellStyle name="Comma 18 22 3" xfId="5200"/>
    <cellStyle name="Comma 18 23" xfId="5201"/>
    <cellStyle name="Comma 18 23 2" xfId="5202"/>
    <cellStyle name="Comma 18 23 2 2" xfId="5203"/>
    <cellStyle name="Comma 18 23 3" xfId="5204"/>
    <cellStyle name="Comma 18 24" xfId="5205"/>
    <cellStyle name="Comma 18 24 2" xfId="5206"/>
    <cellStyle name="Comma 18 24 2 2" xfId="5207"/>
    <cellStyle name="Comma 18 24 3" xfId="5208"/>
    <cellStyle name="Comma 18 25" xfId="5209"/>
    <cellStyle name="Comma 18 25 2" xfId="5210"/>
    <cellStyle name="Comma 18 25 2 2" xfId="5211"/>
    <cellStyle name="Comma 18 25 3" xfId="5212"/>
    <cellStyle name="Comma 18 26" xfId="5213"/>
    <cellStyle name="Comma 18 26 2" xfId="5214"/>
    <cellStyle name="Comma 18 26 2 2" xfId="5215"/>
    <cellStyle name="Comma 18 26 3" xfId="5216"/>
    <cellStyle name="Comma 18 27" xfId="5217"/>
    <cellStyle name="Comma 18 27 2" xfId="5218"/>
    <cellStyle name="Comma 18 27 2 2" xfId="5219"/>
    <cellStyle name="Comma 18 27 3" xfId="5220"/>
    <cellStyle name="Comma 18 28" xfId="5221"/>
    <cellStyle name="Comma 18 28 2" xfId="5222"/>
    <cellStyle name="Comma 18 28 2 2" xfId="5223"/>
    <cellStyle name="Comma 18 28 3" xfId="5224"/>
    <cellStyle name="Comma 18 29" xfId="5225"/>
    <cellStyle name="Comma 18 29 2" xfId="5226"/>
    <cellStyle name="Comma 18 3" xfId="272"/>
    <cellStyle name="Comma 18 3 2" xfId="5227"/>
    <cellStyle name="Comma 18 3 2 2" xfId="5228"/>
    <cellStyle name="Comma 18 3 3" xfId="5229"/>
    <cellStyle name="Comma 18 3 3 2" xfId="5230"/>
    <cellStyle name="Comma 18 3 3 2 2" xfId="5231"/>
    <cellStyle name="Comma 18 3 3 3" xfId="5232"/>
    <cellStyle name="Comma 18 3 4" xfId="5233"/>
    <cellStyle name="Comma 18 30" xfId="5234"/>
    <cellStyle name="Comma 18 30 2" xfId="5235"/>
    <cellStyle name="Comma 18 30 2 2" xfId="5236"/>
    <cellStyle name="Comma 18 30 3" xfId="5237"/>
    <cellStyle name="Comma 18 31" xfId="5238"/>
    <cellStyle name="Comma 18 31 2" xfId="5239"/>
    <cellStyle name="Comma 18 32" xfId="5240"/>
    <cellStyle name="Comma 18 33" xfId="5241"/>
    <cellStyle name="Comma 18 4" xfId="273"/>
    <cellStyle name="Comma 18 4 2" xfId="5242"/>
    <cellStyle name="Comma 18 4 2 2" xfId="5243"/>
    <cellStyle name="Comma 18 4 3" xfId="5244"/>
    <cellStyle name="Comma 18 4 3 2" xfId="5245"/>
    <cellStyle name="Comma 18 4 3 2 2" xfId="5246"/>
    <cellStyle name="Comma 18 4 3 3" xfId="5247"/>
    <cellStyle name="Comma 18 4 4" xfId="5248"/>
    <cellStyle name="Comma 18 5" xfId="274"/>
    <cellStyle name="Comma 18 5 2" xfId="5249"/>
    <cellStyle name="Comma 18 5 2 2" xfId="5250"/>
    <cellStyle name="Comma 18 5 3" xfId="5251"/>
    <cellStyle name="Comma 18 5 3 2" xfId="5252"/>
    <cellStyle name="Comma 18 5 3 2 2" xfId="5253"/>
    <cellStyle name="Comma 18 5 3 3" xfId="5254"/>
    <cellStyle name="Comma 18 5 4" xfId="5255"/>
    <cellStyle name="Comma 18 6" xfId="275"/>
    <cellStyle name="Comma 18 6 2" xfId="5256"/>
    <cellStyle name="Comma 18 6 2 2" xfId="5257"/>
    <cellStyle name="Comma 18 6 3" xfId="5258"/>
    <cellStyle name="Comma 18 7" xfId="276"/>
    <cellStyle name="Comma 18 7 2" xfId="5259"/>
    <cellStyle name="Comma 18 7 2 2" xfId="5260"/>
    <cellStyle name="Comma 18 7 3" xfId="5261"/>
    <cellStyle name="Comma 18 8" xfId="277"/>
    <cellStyle name="Comma 18 8 2" xfId="5262"/>
    <cellStyle name="Comma 18 8 2 2" xfId="5263"/>
    <cellStyle name="Comma 18 8 3" xfId="5264"/>
    <cellStyle name="Comma 18 9" xfId="278"/>
    <cellStyle name="Comma 18 9 2" xfId="5265"/>
    <cellStyle name="Comma 18 9 2 2" xfId="5266"/>
    <cellStyle name="Comma 18 9 3" xfId="5267"/>
    <cellStyle name="Comma 180" xfId="17448"/>
    <cellStyle name="Comma 180 2" xfId="18253"/>
    <cellStyle name="Comma 180 3" xfId="18989"/>
    <cellStyle name="Comma 181" xfId="17481"/>
    <cellStyle name="Comma 181 2" xfId="18286"/>
    <cellStyle name="Comma 181 3" xfId="19022"/>
    <cellStyle name="Comma 182" xfId="17674"/>
    <cellStyle name="Comma 182 2" xfId="18479"/>
    <cellStyle name="Comma 182 3" xfId="19201"/>
    <cellStyle name="Comma 183" xfId="17723"/>
    <cellStyle name="Comma 183 2" xfId="18528"/>
    <cellStyle name="Comma 183 3" xfId="19250"/>
    <cellStyle name="Comma 184" xfId="17319"/>
    <cellStyle name="Comma 184 2" xfId="18124"/>
    <cellStyle name="Comma 184 3" xfId="18860"/>
    <cellStyle name="Comma 185" xfId="17338"/>
    <cellStyle name="Comma 185 2" xfId="18143"/>
    <cellStyle name="Comma 185 3" xfId="18879"/>
    <cellStyle name="Comma 186" xfId="17482"/>
    <cellStyle name="Comma 186 2" xfId="18287"/>
    <cellStyle name="Comma 186 3" xfId="19023"/>
    <cellStyle name="Comma 187" xfId="17404"/>
    <cellStyle name="Comma 187 2" xfId="18209"/>
    <cellStyle name="Comma 187 3" xfId="18945"/>
    <cellStyle name="Comma 188" xfId="17374"/>
    <cellStyle name="Comma 188 2" xfId="18179"/>
    <cellStyle name="Comma 188 3" xfId="18915"/>
    <cellStyle name="Comma 189" xfId="17491"/>
    <cellStyle name="Comma 189 2" xfId="18296"/>
    <cellStyle name="Comma 189 3" xfId="19032"/>
    <cellStyle name="Comma 19" xfId="279"/>
    <cellStyle name="Comma 19 10" xfId="280"/>
    <cellStyle name="Comma 19 10 2" xfId="5268"/>
    <cellStyle name="Comma 19 10 2 2" xfId="5269"/>
    <cellStyle name="Comma 19 10 3" xfId="5270"/>
    <cellStyle name="Comma 19 11" xfId="281"/>
    <cellStyle name="Comma 19 11 2" xfId="5271"/>
    <cellStyle name="Comma 19 11 2 2" xfId="5272"/>
    <cellStyle name="Comma 19 11 3" xfId="5273"/>
    <cellStyle name="Comma 19 12" xfId="282"/>
    <cellStyle name="Comma 19 12 2" xfId="5274"/>
    <cellStyle name="Comma 19 12 2 2" xfId="5275"/>
    <cellStyle name="Comma 19 12 3" xfId="5276"/>
    <cellStyle name="Comma 19 13" xfId="283"/>
    <cellStyle name="Comma 19 13 2" xfId="5277"/>
    <cellStyle name="Comma 19 13 2 2" xfId="5278"/>
    <cellStyle name="Comma 19 13 3" xfId="5279"/>
    <cellStyle name="Comma 19 14" xfId="284"/>
    <cellStyle name="Comma 19 14 2" xfId="5280"/>
    <cellStyle name="Comma 19 14 2 2" xfId="5281"/>
    <cellStyle name="Comma 19 14 3" xfId="5282"/>
    <cellStyle name="Comma 19 15" xfId="285"/>
    <cellStyle name="Comma 19 15 2" xfId="5283"/>
    <cellStyle name="Comma 19 15 2 2" xfId="5284"/>
    <cellStyle name="Comma 19 15 3" xfId="5285"/>
    <cellStyle name="Comma 19 16" xfId="5286"/>
    <cellStyle name="Comma 19 16 2" xfId="5287"/>
    <cellStyle name="Comma 19 16 2 2" xfId="5288"/>
    <cellStyle name="Comma 19 16 3" xfId="5289"/>
    <cellStyle name="Comma 19 17" xfId="5290"/>
    <cellStyle name="Comma 19 17 2" xfId="5291"/>
    <cellStyle name="Comma 19 17 2 2" xfId="5292"/>
    <cellStyle name="Comma 19 17 3" xfId="5293"/>
    <cellStyle name="Comma 19 18" xfId="5294"/>
    <cellStyle name="Comma 19 18 2" xfId="5295"/>
    <cellStyle name="Comma 19 18 2 2" xfId="5296"/>
    <cellStyle name="Comma 19 18 3" xfId="5297"/>
    <cellStyle name="Comma 19 19" xfId="5298"/>
    <cellStyle name="Comma 19 19 2" xfId="5299"/>
    <cellStyle name="Comma 19 19 2 2" xfId="5300"/>
    <cellStyle name="Comma 19 19 3" xfId="5301"/>
    <cellStyle name="Comma 19 2" xfId="286"/>
    <cellStyle name="Comma 19 2 2" xfId="5302"/>
    <cellStyle name="Comma 19 2 2 2" xfId="5303"/>
    <cellStyle name="Comma 19 2 3" xfId="5304"/>
    <cellStyle name="Comma 19 2 3 2" xfId="5305"/>
    <cellStyle name="Comma 19 2 3 2 2" xfId="5306"/>
    <cellStyle name="Comma 19 2 3 3" xfId="5307"/>
    <cellStyle name="Comma 19 2 4" xfId="5308"/>
    <cellStyle name="Comma 19 2 4 2" xfId="5309"/>
    <cellStyle name="Comma 19 2 5" xfId="5310"/>
    <cellStyle name="Comma 19 2 6" xfId="5311"/>
    <cellStyle name="Comma 19 20" xfId="5312"/>
    <cellStyle name="Comma 19 20 2" xfId="5313"/>
    <cellStyle name="Comma 19 20 2 2" xfId="5314"/>
    <cellStyle name="Comma 19 20 3" xfId="5315"/>
    <cellStyle name="Comma 19 21" xfId="5316"/>
    <cellStyle name="Comma 19 21 2" xfId="5317"/>
    <cellStyle name="Comma 19 21 2 2" xfId="5318"/>
    <cellStyle name="Comma 19 21 3" xfId="5319"/>
    <cellStyle name="Comma 19 22" xfId="5320"/>
    <cellStyle name="Comma 19 22 2" xfId="5321"/>
    <cellStyle name="Comma 19 22 2 2" xfId="5322"/>
    <cellStyle name="Comma 19 22 3" xfId="5323"/>
    <cellStyle name="Comma 19 23" xfId="5324"/>
    <cellStyle name="Comma 19 23 2" xfId="5325"/>
    <cellStyle name="Comma 19 23 2 2" xfId="5326"/>
    <cellStyle name="Comma 19 23 3" xfId="5327"/>
    <cellStyle name="Comma 19 24" xfId="5328"/>
    <cellStyle name="Comma 19 24 2" xfId="5329"/>
    <cellStyle name="Comma 19 24 2 2" xfId="5330"/>
    <cellStyle name="Comma 19 24 3" xfId="5331"/>
    <cellStyle name="Comma 19 25" xfId="5332"/>
    <cellStyle name="Comma 19 25 2" xfId="5333"/>
    <cellStyle name="Comma 19 25 2 2" xfId="5334"/>
    <cellStyle name="Comma 19 25 3" xfId="5335"/>
    <cellStyle name="Comma 19 26" xfId="5336"/>
    <cellStyle name="Comma 19 26 2" xfId="5337"/>
    <cellStyle name="Comma 19 26 2 2" xfId="5338"/>
    <cellStyle name="Comma 19 26 3" xfId="5339"/>
    <cellStyle name="Comma 19 27" xfId="5340"/>
    <cellStyle name="Comma 19 27 2" xfId="5341"/>
    <cellStyle name="Comma 19 27 2 2" xfId="5342"/>
    <cellStyle name="Comma 19 27 3" xfId="5343"/>
    <cellStyle name="Comma 19 28" xfId="5344"/>
    <cellStyle name="Comma 19 28 2" xfId="5345"/>
    <cellStyle name="Comma 19 28 2 2" xfId="5346"/>
    <cellStyle name="Comma 19 28 3" xfId="5347"/>
    <cellStyle name="Comma 19 29" xfId="5348"/>
    <cellStyle name="Comma 19 29 2" xfId="5349"/>
    <cellStyle name="Comma 19 3" xfId="287"/>
    <cellStyle name="Comma 19 3 2" xfId="5350"/>
    <cellStyle name="Comma 19 3 2 2" xfId="5351"/>
    <cellStyle name="Comma 19 3 3" xfId="5352"/>
    <cellStyle name="Comma 19 3 3 2" xfId="5353"/>
    <cellStyle name="Comma 19 3 3 2 2" xfId="5354"/>
    <cellStyle name="Comma 19 3 3 3" xfId="5355"/>
    <cellStyle name="Comma 19 3 4" xfId="5356"/>
    <cellStyle name="Comma 19 30" xfId="5357"/>
    <cellStyle name="Comma 19 30 2" xfId="5358"/>
    <cellStyle name="Comma 19 30 2 2" xfId="5359"/>
    <cellStyle name="Comma 19 30 3" xfId="5360"/>
    <cellStyle name="Comma 19 31" xfId="5361"/>
    <cellStyle name="Comma 19 31 2" xfId="5362"/>
    <cellStyle name="Comma 19 32" xfId="5363"/>
    <cellStyle name="Comma 19 33" xfId="5364"/>
    <cellStyle name="Comma 19 4" xfId="288"/>
    <cellStyle name="Comma 19 4 2" xfId="5365"/>
    <cellStyle name="Comma 19 4 2 2" xfId="5366"/>
    <cellStyle name="Comma 19 4 3" xfId="5367"/>
    <cellStyle name="Comma 19 4 3 2" xfId="5368"/>
    <cellStyle name="Comma 19 4 3 2 2" xfId="5369"/>
    <cellStyle name="Comma 19 4 3 3" xfId="5370"/>
    <cellStyle name="Comma 19 4 4" xfId="5371"/>
    <cellStyle name="Comma 19 5" xfId="289"/>
    <cellStyle name="Comma 19 5 2" xfId="5372"/>
    <cellStyle name="Comma 19 5 2 2" xfId="5373"/>
    <cellStyle name="Comma 19 5 3" xfId="5374"/>
    <cellStyle name="Comma 19 5 3 2" xfId="5375"/>
    <cellStyle name="Comma 19 5 3 2 2" xfId="5376"/>
    <cellStyle name="Comma 19 5 3 3" xfId="5377"/>
    <cellStyle name="Comma 19 5 4" xfId="5378"/>
    <cellStyle name="Comma 19 6" xfId="290"/>
    <cellStyle name="Comma 19 6 2" xfId="5379"/>
    <cellStyle name="Comma 19 6 2 2" xfId="5380"/>
    <cellStyle name="Comma 19 6 3" xfId="5381"/>
    <cellStyle name="Comma 19 7" xfId="291"/>
    <cellStyle name="Comma 19 7 2" xfId="5382"/>
    <cellStyle name="Comma 19 7 2 2" xfId="5383"/>
    <cellStyle name="Comma 19 7 3" xfId="5384"/>
    <cellStyle name="Comma 19 8" xfId="292"/>
    <cellStyle name="Comma 19 8 2" xfId="5385"/>
    <cellStyle name="Comma 19 8 2 2" xfId="5386"/>
    <cellStyle name="Comma 19 8 3" xfId="5387"/>
    <cellStyle name="Comma 19 9" xfId="293"/>
    <cellStyle name="Comma 19 9 2" xfId="5388"/>
    <cellStyle name="Comma 19 9 2 2" xfId="5389"/>
    <cellStyle name="Comma 19 9 3" xfId="5390"/>
    <cellStyle name="Comma 190" xfId="17648"/>
    <cellStyle name="Comma 190 2" xfId="18453"/>
    <cellStyle name="Comma 190 3" xfId="19175"/>
    <cellStyle name="Comma 191" xfId="17302"/>
    <cellStyle name="Comma 191 2" xfId="18107"/>
    <cellStyle name="Comma 191 3" xfId="18843"/>
    <cellStyle name="Comma 192" xfId="17555"/>
    <cellStyle name="Comma 192 2" xfId="18360"/>
    <cellStyle name="Comma 192 3" xfId="19096"/>
    <cellStyle name="Comma 193" xfId="17672"/>
    <cellStyle name="Comma 193 2" xfId="18477"/>
    <cellStyle name="Comma 193 3" xfId="19199"/>
    <cellStyle name="Comma 194" xfId="17717"/>
    <cellStyle name="Comma 194 2" xfId="18522"/>
    <cellStyle name="Comma 194 3" xfId="19244"/>
    <cellStyle name="Comma 195" xfId="17382"/>
    <cellStyle name="Comma 195 2" xfId="18187"/>
    <cellStyle name="Comma 195 3" xfId="18923"/>
    <cellStyle name="Comma 196" xfId="17710"/>
    <cellStyle name="Comma 196 2" xfId="18515"/>
    <cellStyle name="Comma 196 3" xfId="19237"/>
    <cellStyle name="Comma 197" xfId="17333"/>
    <cellStyle name="Comma 197 2" xfId="18138"/>
    <cellStyle name="Comma 197 3" xfId="18874"/>
    <cellStyle name="Comma 198" xfId="17405"/>
    <cellStyle name="Comma 198 2" xfId="18210"/>
    <cellStyle name="Comma 198 3" xfId="18946"/>
    <cellStyle name="Comma 199" xfId="17365"/>
    <cellStyle name="Comma 199 2" xfId="18170"/>
    <cellStyle name="Comma 199 3" xfId="18906"/>
    <cellStyle name="Comma 2" xfId="294"/>
    <cellStyle name="Comma 2 10" xfId="5391"/>
    <cellStyle name="Comma 2 10 2" xfId="5392"/>
    <cellStyle name="Comma 2 10 2 2" xfId="5393"/>
    <cellStyle name="Comma 2 10 3" xfId="5394"/>
    <cellStyle name="Comma 2 10 3 2" xfId="5395"/>
    <cellStyle name="Comma 2 10 4" xfId="5396"/>
    <cellStyle name="Comma 2 10 4 2" xfId="5397"/>
    <cellStyle name="Comma 2 10 5" xfId="5398"/>
    <cellStyle name="Comma 2 10 5 2" xfId="5399"/>
    <cellStyle name="Comma 2 11" xfId="5400"/>
    <cellStyle name="Comma 2 11 2" xfId="5401"/>
    <cellStyle name="Comma 2 11 2 2" xfId="5402"/>
    <cellStyle name="Comma 2 11 3" xfId="5403"/>
    <cellStyle name="Comma 2 11 3 2" xfId="5404"/>
    <cellStyle name="Comma 2 11 4" xfId="5405"/>
    <cellStyle name="Comma 2 11 4 2" xfId="5406"/>
    <cellStyle name="Comma 2 11 5" xfId="5407"/>
    <cellStyle name="Comma 2 11 5 2" xfId="5408"/>
    <cellStyle name="Comma 2 11 6" xfId="5409"/>
    <cellStyle name="Comma 2 12" xfId="5410"/>
    <cellStyle name="Comma 2 12 2" xfId="5411"/>
    <cellStyle name="Comma 2 12 2 2" xfId="5412"/>
    <cellStyle name="Comma 2 12 3" xfId="5413"/>
    <cellStyle name="Comma 2 12 3 2" xfId="5414"/>
    <cellStyle name="Comma 2 12 4" xfId="5415"/>
    <cellStyle name="Comma 2 12 4 2" xfId="5416"/>
    <cellStyle name="Comma 2 12 5" xfId="5417"/>
    <cellStyle name="Comma 2 12 5 2" xfId="5418"/>
    <cellStyle name="Comma 2 12 6" xfId="5419"/>
    <cellStyle name="Comma 2 13" xfId="5420"/>
    <cellStyle name="Comma 2 13 2" xfId="5421"/>
    <cellStyle name="Comma 2 13 2 2" xfId="5422"/>
    <cellStyle name="Comma 2 13 3" xfId="5423"/>
    <cellStyle name="Comma 2 13 3 2" xfId="5424"/>
    <cellStyle name="Comma 2 13 4" xfId="5425"/>
    <cellStyle name="Comma 2 13 4 2" xfId="5426"/>
    <cellStyle name="Comma 2 13 5" xfId="5427"/>
    <cellStyle name="Comma 2 13 5 2" xfId="5428"/>
    <cellStyle name="Comma 2 13 6" xfId="5429"/>
    <cellStyle name="Comma 2 14" xfId="5430"/>
    <cellStyle name="Comma 2 14 2" xfId="5431"/>
    <cellStyle name="Comma 2 14 2 2" xfId="5432"/>
    <cellStyle name="Comma 2 14 3" xfId="5433"/>
    <cellStyle name="Comma 2 14 3 2" xfId="5434"/>
    <cellStyle name="Comma 2 14 4" xfId="5435"/>
    <cellStyle name="Comma 2 14 4 2" xfId="5436"/>
    <cellStyle name="Comma 2 14 5" xfId="5437"/>
    <cellStyle name="Comma 2 14 5 2" xfId="5438"/>
    <cellStyle name="Comma 2 14 6" xfId="5439"/>
    <cellStyle name="Comma 2 15" xfId="5440"/>
    <cellStyle name="Comma 2 15 2" xfId="5441"/>
    <cellStyle name="Comma 2 16" xfId="5442"/>
    <cellStyle name="Comma 2 16 2" xfId="5443"/>
    <cellStyle name="Comma 2 17" xfId="5444"/>
    <cellStyle name="Comma 2 17 2" xfId="5445"/>
    <cellStyle name="Comma 2 18" xfId="5446"/>
    <cellStyle name="Comma 2 18 2" xfId="5447"/>
    <cellStyle name="Comma 2 19" xfId="5448"/>
    <cellStyle name="Comma 2 19 2" xfId="5449"/>
    <cellStyle name="Comma 2 2" xfId="295"/>
    <cellStyle name="Comma 2 2 10" xfId="5450"/>
    <cellStyle name="Comma 2 2 10 2" xfId="5451"/>
    <cellStyle name="Comma 2 2 11" xfId="5452"/>
    <cellStyle name="Comma 2 2 11 2" xfId="5453"/>
    <cellStyle name="Comma 2 2 12" xfId="5454"/>
    <cellStyle name="Comma 2 2 12 2" xfId="5455"/>
    <cellStyle name="Comma 2 2 13" xfId="5456"/>
    <cellStyle name="Comma 2 2 13 2" xfId="5457"/>
    <cellStyle name="Comma 2 2 14" xfId="5458"/>
    <cellStyle name="Comma 2 2 15" xfId="16293"/>
    <cellStyle name="Comma 2 2 2" xfId="296"/>
    <cellStyle name="Comma 2 2 2 10" xfId="5459"/>
    <cellStyle name="Comma 2 2 2 11" xfId="5460"/>
    <cellStyle name="Comma 2 2 2 12" xfId="19770"/>
    <cellStyle name="Comma 2 2 2 2" xfId="297"/>
    <cellStyle name="Comma 2 2 2 2 10" xfId="5461"/>
    <cellStyle name="Comma 2 2 2 2 11" xfId="18711"/>
    <cellStyle name="Comma 2 2 2 2 2" xfId="5462"/>
    <cellStyle name="Comma 2 2 2 2 2 2" xfId="5463"/>
    <cellStyle name="Comma 2 2 2 2 2 2 2" xfId="5464"/>
    <cellStyle name="Comma 2 2 2 2 2 2 2 2" xfId="5465"/>
    <cellStyle name="Comma 2 2 2 2 2 2 3" xfId="5466"/>
    <cellStyle name="Comma 2 2 2 2 2 3" xfId="5467"/>
    <cellStyle name="Comma 2 2 2 2 3" xfId="5468"/>
    <cellStyle name="Comma 2 2 2 2 3 2" xfId="5469"/>
    <cellStyle name="Comma 2 2 2 2 4" xfId="5470"/>
    <cellStyle name="Comma 2 2 2 2 4 2" xfId="5471"/>
    <cellStyle name="Comma 2 2 2 2 5" xfId="5472"/>
    <cellStyle name="Comma 2 2 2 2 5 2" xfId="5473"/>
    <cellStyle name="Comma 2 2 2 2 6" xfId="5474"/>
    <cellStyle name="Comma 2 2 2 2 6 2" xfId="5475"/>
    <cellStyle name="Comma 2 2 2 2 7" xfId="5476"/>
    <cellStyle name="Comma 2 2 2 2 7 2" xfId="5477"/>
    <cellStyle name="Comma 2 2 2 2 8" xfId="5478"/>
    <cellStyle name="Comma 2 2 2 2 8 2" xfId="5479"/>
    <cellStyle name="Comma 2 2 2 2 9" xfId="5480"/>
    <cellStyle name="Comma 2 2 2 2 9 2" xfId="5481"/>
    <cellStyle name="Comma 2 2 2 3" xfId="5482"/>
    <cellStyle name="Comma 2 2 2 3 2" xfId="5483"/>
    <cellStyle name="Comma 2 2 2 3 2 2" xfId="5484"/>
    <cellStyle name="Comma 2 2 2 3 2 2 2" xfId="5485"/>
    <cellStyle name="Comma 2 2 2 3 2 3" xfId="5486"/>
    <cellStyle name="Comma 2 2 2 3 3" xfId="5487"/>
    <cellStyle name="Comma 2 2 2 3 3 2" xfId="5488"/>
    <cellStyle name="Comma 2 2 2 3 4" xfId="5489"/>
    <cellStyle name="Comma 2 2 2 3 4 2" xfId="5490"/>
    <cellStyle name="Comma 2 2 2 3 5" xfId="5491"/>
    <cellStyle name="Comma 2 2 2 4" xfId="5492"/>
    <cellStyle name="Comma 2 2 2 4 2" xfId="5493"/>
    <cellStyle name="Comma 2 2 2 5" xfId="5494"/>
    <cellStyle name="Comma 2 2 2 5 2" xfId="5495"/>
    <cellStyle name="Comma 2 2 2 6" xfId="5496"/>
    <cellStyle name="Comma 2 2 2 6 2" xfId="5497"/>
    <cellStyle name="Comma 2 2 2 7" xfId="5498"/>
    <cellStyle name="Comma 2 2 2 7 2" xfId="5499"/>
    <cellStyle name="Comma 2 2 2 8" xfId="5500"/>
    <cellStyle name="Comma 2 2 2 8 2" xfId="5501"/>
    <cellStyle name="Comma 2 2 2 9" xfId="5502"/>
    <cellStyle name="Comma 2 2 2 9 2" xfId="5503"/>
    <cellStyle name="Comma 2 2 3" xfId="298"/>
    <cellStyle name="Comma 2 2 3 2" xfId="5504"/>
    <cellStyle name="Comma 2 2 3 2 2" xfId="5505"/>
    <cellStyle name="Comma 2 2 3 2 2 2" xfId="5506"/>
    <cellStyle name="Comma 2 2 3 2 3" xfId="5507"/>
    <cellStyle name="Comma 2 2 3 3" xfId="5508"/>
    <cellStyle name="Comma 2 2 3 4" xfId="5509"/>
    <cellStyle name="Comma 2 2 3 5" xfId="17099"/>
    <cellStyle name="Comma 2 2 4" xfId="299"/>
    <cellStyle name="Comma 2 2 4 2" xfId="5510"/>
    <cellStyle name="Comma 2 2 4 3" xfId="5511"/>
    <cellStyle name="Comma 2 2 4 4" xfId="16789"/>
    <cellStyle name="Comma 2 2 5" xfId="5512"/>
    <cellStyle name="Comma 2 2 5 2" xfId="5513"/>
    <cellStyle name="Comma 2 2 5 2 2" xfId="19369"/>
    <cellStyle name="Comma 2 2 5 3" xfId="18706"/>
    <cellStyle name="Comma 2 2 6" xfId="5514"/>
    <cellStyle name="Comma 2 2 6 2" xfId="5515"/>
    <cellStyle name="Comma 2 2 6 3" xfId="16596"/>
    <cellStyle name="Comma 2 2 7" xfId="5516"/>
    <cellStyle name="Comma 2 2 7 2" xfId="5517"/>
    <cellStyle name="Comma 2 2 8" xfId="5518"/>
    <cellStyle name="Comma 2 2 8 2" xfId="5519"/>
    <cellStyle name="Comma 2 2 9" xfId="5520"/>
    <cellStyle name="Comma 2 2 9 2" xfId="5521"/>
    <cellStyle name="Comma 2 20" xfId="5522"/>
    <cellStyle name="Comma 2 20 2" xfId="5523"/>
    <cellStyle name="Comma 2 21" xfId="5524"/>
    <cellStyle name="Comma 2 21 2" xfId="5525"/>
    <cellStyle name="Comma 2 22" xfId="5526"/>
    <cellStyle name="Comma 2 22 2" xfId="5527"/>
    <cellStyle name="Comma 2 23" xfId="5528"/>
    <cellStyle name="Comma 2 23 2" xfId="5529"/>
    <cellStyle name="Comma 2 24" xfId="5530"/>
    <cellStyle name="Comma 2 3" xfId="300"/>
    <cellStyle name="Comma 2 3 10" xfId="301"/>
    <cellStyle name="Comma 2 3 11" xfId="302"/>
    <cellStyle name="Comma 2 3 12" xfId="303"/>
    <cellStyle name="Comma 2 3 13" xfId="304"/>
    <cellStyle name="Comma 2 3 14" xfId="305"/>
    <cellStyle name="Comma 2 3 15" xfId="306"/>
    <cellStyle name="Comma 2 3 16" xfId="5531"/>
    <cellStyle name="Comma 2 3 17" xfId="5532"/>
    <cellStyle name="Comma 2 3 18" xfId="16597"/>
    <cellStyle name="Comma 2 3 2" xfId="307"/>
    <cellStyle name="Comma 2 3 2 2" xfId="5533"/>
    <cellStyle name="Comma 2 3 2 2 2" xfId="5534"/>
    <cellStyle name="Comma 2 3 2 2 2 2" xfId="5535"/>
    <cellStyle name="Comma 2 3 2 2 2 2 2" xfId="5536"/>
    <cellStyle name="Comma 2 3 2 2 2 2 2 2" xfId="5537"/>
    <cellStyle name="Comma 2 3 2 2 2 2 3" xfId="5538"/>
    <cellStyle name="Comma 2 3 2 2 2 3" xfId="5539"/>
    <cellStyle name="Comma 2 3 2 2 2 3 2" xfId="5540"/>
    <cellStyle name="Comma 2 3 2 2 2 4" xfId="5541"/>
    <cellStyle name="Comma 2 3 2 2 2 4 2" xfId="5542"/>
    <cellStyle name="Comma 2 3 2 2 2 5" xfId="5543"/>
    <cellStyle name="Comma 2 3 2 2 3" xfId="5544"/>
    <cellStyle name="Comma 2 3 2 2 3 2" xfId="5545"/>
    <cellStyle name="Comma 2 3 2 2 3 2 2" xfId="5546"/>
    <cellStyle name="Comma 2 3 2 2 3 3" xfId="5547"/>
    <cellStyle name="Comma 2 3 2 2 3 3 2" xfId="5548"/>
    <cellStyle name="Comma 2 3 2 2 3 4" xfId="5549"/>
    <cellStyle name="Comma 2 3 2 2 4" xfId="5550"/>
    <cellStyle name="Comma 2 3 2 2 4 2" xfId="5551"/>
    <cellStyle name="Comma 2 3 2 2 5" xfId="5552"/>
    <cellStyle name="Comma 2 3 2 2 5 2" xfId="5553"/>
    <cellStyle name="Comma 2 3 2 2 6" xfId="5554"/>
    <cellStyle name="Comma 2 3 2 3" xfId="5555"/>
    <cellStyle name="Comma 2 3 2 3 2" xfId="5556"/>
    <cellStyle name="Comma 2 3 2 3 2 2" xfId="5557"/>
    <cellStyle name="Comma 2 3 2 3 2 2 2" xfId="5558"/>
    <cellStyle name="Comma 2 3 2 3 2 3" xfId="5559"/>
    <cellStyle name="Comma 2 3 2 3 2 3 2" xfId="5560"/>
    <cellStyle name="Comma 2 3 2 3 2 4" xfId="5561"/>
    <cellStyle name="Comma 2 3 2 3 3" xfId="5562"/>
    <cellStyle name="Comma 2 3 2 3 3 2" xfId="5563"/>
    <cellStyle name="Comma 2 3 2 3 4" xfId="5564"/>
    <cellStyle name="Comma 2 3 2 3 4 2" xfId="5565"/>
    <cellStyle name="Comma 2 3 2 3 5" xfId="5566"/>
    <cellStyle name="Comma 2 3 2 4" xfId="5567"/>
    <cellStyle name="Comma 2 3 2 4 2" xfId="5568"/>
    <cellStyle name="Comma 2 3 2 4 2 2" xfId="5569"/>
    <cellStyle name="Comma 2 3 2 4 3" xfId="5570"/>
    <cellStyle name="Comma 2 3 2 4 3 2" xfId="5571"/>
    <cellStyle name="Comma 2 3 2 4 4" xfId="5572"/>
    <cellStyle name="Comma 2 3 2 5" xfId="5573"/>
    <cellStyle name="Comma 2 3 2 5 2" xfId="5574"/>
    <cellStyle name="Comma 2 3 2 6" xfId="5575"/>
    <cellStyle name="Comma 2 3 2 6 2" xfId="5576"/>
    <cellStyle name="Comma 2 3 2 7" xfId="5577"/>
    <cellStyle name="Comma 2 3 2 8" xfId="16970"/>
    <cellStyle name="Comma 2 3 3" xfId="308"/>
    <cellStyle name="Comma 2 3 3 2" xfId="5578"/>
    <cellStyle name="Comma 2 3 3 2 2" xfId="5579"/>
    <cellStyle name="Comma 2 3 3 2 2 2" xfId="5580"/>
    <cellStyle name="Comma 2 3 3 2 3" xfId="5581"/>
    <cellStyle name="Comma 2 3 3 2 3 2" xfId="5582"/>
    <cellStyle name="Comma 2 3 3 2 4" xfId="5583"/>
    <cellStyle name="Comma 2 3 3 3" xfId="5584"/>
    <cellStyle name="Comma 2 3 3 3 2" xfId="5585"/>
    <cellStyle name="Comma 2 3 3 3 2 2" xfId="5586"/>
    <cellStyle name="Comma 2 3 3 3 3" xfId="5587"/>
    <cellStyle name="Comma 2 3 3 4" xfId="5588"/>
    <cellStyle name="Comma 2 3 3 4 2" xfId="5589"/>
    <cellStyle name="Comma 2 3 3 5" xfId="5590"/>
    <cellStyle name="Comma 2 3 3 6" xfId="16932"/>
    <cellStyle name="Comma 2 3 4" xfId="309"/>
    <cellStyle name="Comma 2 3 4 2" xfId="5591"/>
    <cellStyle name="Comma 2 3 4 2 2" xfId="5592"/>
    <cellStyle name="Comma 2 3 4 2 2 2" xfId="5593"/>
    <cellStyle name="Comma 2 3 4 2 3" xfId="5594"/>
    <cellStyle name="Comma 2 3 4 3" xfId="5595"/>
    <cellStyle name="Comma 2 3 4 3 2" xfId="5596"/>
    <cellStyle name="Comma 2 3 4 4" xfId="5597"/>
    <cellStyle name="Comma 2 3 4 5" xfId="17892"/>
    <cellStyle name="Comma 2 3 5" xfId="310"/>
    <cellStyle name="Comma 2 3 5 2" xfId="5598"/>
    <cellStyle name="Comma 2 3 5 2 2" xfId="5599"/>
    <cellStyle name="Comma 2 3 5 3" xfId="5600"/>
    <cellStyle name="Comma 2 3 6" xfId="311"/>
    <cellStyle name="Comma 2 3 6 2" xfId="5601"/>
    <cellStyle name="Comma 2 3 7" xfId="312"/>
    <cellStyle name="Comma 2 3 7 2" xfId="5602"/>
    <cellStyle name="Comma 2 3 7 3" xfId="5603"/>
    <cellStyle name="Comma 2 3 8" xfId="313"/>
    <cellStyle name="Comma 2 3 8 2" xfId="5604"/>
    <cellStyle name="Comma 2 3 8 3" xfId="5605"/>
    <cellStyle name="Comma 2 3 9" xfId="314"/>
    <cellStyle name="Comma 2 3 9 2" xfId="5606"/>
    <cellStyle name="Comma 2 4" xfId="5607"/>
    <cellStyle name="Comma 2 4 10" xfId="5608"/>
    <cellStyle name="Comma 2 4 11" xfId="17778"/>
    <cellStyle name="Comma 2 4 2" xfId="5609"/>
    <cellStyle name="Comma 2 4 2 2" xfId="5610"/>
    <cellStyle name="Comma 2 4 2 2 2" xfId="5611"/>
    <cellStyle name="Comma 2 4 2 2 2 2" xfId="5612"/>
    <cellStyle name="Comma 2 4 2 2 2 2 2" xfId="5613"/>
    <cellStyle name="Comma 2 4 2 2 2 3" xfId="5614"/>
    <cellStyle name="Comma 2 4 2 2 2 3 2" xfId="5615"/>
    <cellStyle name="Comma 2 4 2 2 2 4" xfId="5616"/>
    <cellStyle name="Comma 2 4 2 2 3" xfId="5617"/>
    <cellStyle name="Comma 2 4 2 2 3 2" xfId="5618"/>
    <cellStyle name="Comma 2 4 2 2 3 2 2" xfId="5619"/>
    <cellStyle name="Comma 2 4 2 2 3 3" xfId="5620"/>
    <cellStyle name="Comma 2 4 2 2 4" xfId="5621"/>
    <cellStyle name="Comma 2 4 2 2 4 2" xfId="5622"/>
    <cellStyle name="Comma 2 4 2 2 5" xfId="5623"/>
    <cellStyle name="Comma 2 4 2 3" xfId="5624"/>
    <cellStyle name="Comma 2 4 2 3 2" xfId="5625"/>
    <cellStyle name="Comma 2 4 2 3 2 2" xfId="5626"/>
    <cellStyle name="Comma 2 4 2 3 2 2 2" xfId="5627"/>
    <cellStyle name="Comma 2 4 2 3 2 3" xfId="5628"/>
    <cellStyle name="Comma 2 4 2 3 3" xfId="5629"/>
    <cellStyle name="Comma 2 4 2 3 3 2" xfId="5630"/>
    <cellStyle name="Comma 2 4 2 3 4" xfId="5631"/>
    <cellStyle name="Comma 2 4 2 4" xfId="5632"/>
    <cellStyle name="Comma 2 4 2 4 2" xfId="5633"/>
    <cellStyle name="Comma 2 4 2 4 2 2" xfId="5634"/>
    <cellStyle name="Comma 2 4 2 4 3" xfId="5635"/>
    <cellStyle name="Comma 2 4 2 5" xfId="5636"/>
    <cellStyle name="Comma 2 4 2 5 2" xfId="5637"/>
    <cellStyle name="Comma 2 4 2 6" xfId="5638"/>
    <cellStyle name="Comma 2 4 2 6 2" xfId="5639"/>
    <cellStyle name="Comma 2 4 2 7" xfId="5640"/>
    <cellStyle name="Comma 2 4 3" xfId="5641"/>
    <cellStyle name="Comma 2 4 3 2" xfId="5642"/>
    <cellStyle name="Comma 2 4 3 2 2" xfId="5643"/>
    <cellStyle name="Comma 2 4 3 2 2 2" xfId="5644"/>
    <cellStyle name="Comma 2 4 3 2 2 2 2" xfId="5645"/>
    <cellStyle name="Comma 2 4 3 2 2 3" xfId="5646"/>
    <cellStyle name="Comma 2 4 3 2 3" xfId="5647"/>
    <cellStyle name="Comma 2 4 3 2 3 2" xfId="5648"/>
    <cellStyle name="Comma 2 4 3 2 4" xfId="5649"/>
    <cellStyle name="Comma 2 4 3 2 4 2" xfId="5650"/>
    <cellStyle name="Comma 2 4 3 2 5" xfId="5651"/>
    <cellStyle name="Comma 2 4 3 3" xfId="5652"/>
    <cellStyle name="Comma 2 4 3 3 2" xfId="5653"/>
    <cellStyle name="Comma 2 4 3 3 2 2" xfId="5654"/>
    <cellStyle name="Comma 2 4 3 3 3" xfId="5655"/>
    <cellStyle name="Comma 2 4 3 3 3 2" xfId="5656"/>
    <cellStyle name="Comma 2 4 3 3 4" xfId="5657"/>
    <cellStyle name="Comma 2 4 3 4" xfId="5658"/>
    <cellStyle name="Comma 2 4 3 4 2" xfId="5659"/>
    <cellStyle name="Comma 2 4 3 5" xfId="5660"/>
    <cellStyle name="Comma 2 4 3 5 2" xfId="5661"/>
    <cellStyle name="Comma 2 4 3 6" xfId="5662"/>
    <cellStyle name="Comma 2 4 4" xfId="5663"/>
    <cellStyle name="Comma 2 4 4 2" xfId="5664"/>
    <cellStyle name="Comma 2 4 4 2 2" xfId="5665"/>
    <cellStyle name="Comma 2 4 4 2 2 2" xfId="5666"/>
    <cellStyle name="Comma 2 4 4 2 3" xfId="5667"/>
    <cellStyle name="Comma 2 4 4 2 3 2" xfId="5668"/>
    <cellStyle name="Comma 2 4 4 2 4" xfId="5669"/>
    <cellStyle name="Comma 2 4 4 3" xfId="5670"/>
    <cellStyle name="Comma 2 4 4 3 2" xfId="5671"/>
    <cellStyle name="Comma 2 4 4 4" xfId="5672"/>
    <cellStyle name="Comma 2 4 4 4 2" xfId="5673"/>
    <cellStyle name="Comma 2 4 4 5" xfId="5674"/>
    <cellStyle name="Comma 2 4 5" xfId="5675"/>
    <cellStyle name="Comma 2 4 5 2" xfId="5676"/>
    <cellStyle name="Comma 2 4 5 2 2" xfId="5677"/>
    <cellStyle name="Comma 2 4 5 3" xfId="5678"/>
    <cellStyle name="Comma 2 4 5 3 2" xfId="5679"/>
    <cellStyle name="Comma 2 4 5 4" xfId="5680"/>
    <cellStyle name="Comma 2 4 6" xfId="5681"/>
    <cellStyle name="Comma 2 4 6 2" xfId="5682"/>
    <cellStyle name="Comma 2 4 7" xfId="5683"/>
    <cellStyle name="Comma 2 4 7 2" xfId="5684"/>
    <cellStyle name="Comma 2 4 8" xfId="5685"/>
    <cellStyle name="Comma 2 4 8 2" xfId="5686"/>
    <cellStyle name="Comma 2 4 9" xfId="5687"/>
    <cellStyle name="Comma 2 4 9 2" xfId="5688"/>
    <cellStyle name="Comma 2 5" xfId="5689"/>
    <cellStyle name="Comma 2 5 10" xfId="16595"/>
    <cellStyle name="Comma 2 5 2" xfId="5690"/>
    <cellStyle name="Comma 2 5 2 2" xfId="5691"/>
    <cellStyle name="Comma 2 5 2 2 2" xfId="5692"/>
    <cellStyle name="Comma 2 5 2 2 2 2" xfId="5693"/>
    <cellStyle name="Comma 2 5 2 2 2 2 2" xfId="5694"/>
    <cellStyle name="Comma 2 5 2 2 2 3" xfId="5695"/>
    <cellStyle name="Comma 2 5 2 2 3" xfId="5696"/>
    <cellStyle name="Comma 2 5 2 2 3 2" xfId="5697"/>
    <cellStyle name="Comma 2 5 2 2 4" xfId="5698"/>
    <cellStyle name="Comma 2 5 2 2 4 2" xfId="5699"/>
    <cellStyle name="Comma 2 5 2 2 5" xfId="5700"/>
    <cellStyle name="Comma 2 5 2 3" xfId="5701"/>
    <cellStyle name="Comma 2 5 2 3 2" xfId="5702"/>
    <cellStyle name="Comma 2 5 2 3 2 2" xfId="5703"/>
    <cellStyle name="Comma 2 5 2 3 3" xfId="5704"/>
    <cellStyle name="Comma 2 5 2 3 3 2" xfId="5705"/>
    <cellStyle name="Comma 2 5 2 3 4" xfId="5706"/>
    <cellStyle name="Comma 2 5 2 4" xfId="5707"/>
    <cellStyle name="Comma 2 5 2 4 2" xfId="5708"/>
    <cellStyle name="Comma 2 5 2 5" xfId="5709"/>
    <cellStyle name="Comma 2 5 2 5 2" xfId="5710"/>
    <cellStyle name="Comma 2 5 2 6" xfId="5711"/>
    <cellStyle name="Comma 2 5 3" xfId="5712"/>
    <cellStyle name="Comma 2 5 3 2" xfId="5713"/>
    <cellStyle name="Comma 2 5 3 2 2" xfId="5714"/>
    <cellStyle name="Comma 2 5 3 2 2 2" xfId="5715"/>
    <cellStyle name="Comma 2 5 3 2 3" xfId="5716"/>
    <cellStyle name="Comma 2 5 3 2 3 2" xfId="5717"/>
    <cellStyle name="Comma 2 5 3 2 4" xfId="5718"/>
    <cellStyle name="Comma 2 5 3 3" xfId="5719"/>
    <cellStyle name="Comma 2 5 3 3 2" xfId="5720"/>
    <cellStyle name="Comma 2 5 3 4" xfId="5721"/>
    <cellStyle name="Comma 2 5 3 4 2" xfId="5722"/>
    <cellStyle name="Comma 2 5 3 5" xfId="5723"/>
    <cellStyle name="Comma 2 5 4" xfId="5724"/>
    <cellStyle name="Comma 2 5 4 2" xfId="5725"/>
    <cellStyle name="Comma 2 5 4 2 2" xfId="5726"/>
    <cellStyle name="Comma 2 5 4 3" xfId="5727"/>
    <cellStyle name="Comma 2 5 4 3 2" xfId="5728"/>
    <cellStyle name="Comma 2 5 4 4" xfId="5729"/>
    <cellStyle name="Comma 2 5 5" xfId="5730"/>
    <cellStyle name="Comma 2 5 5 2" xfId="5731"/>
    <cellStyle name="Comma 2 5 6" xfId="5732"/>
    <cellStyle name="Comma 2 5 6 2" xfId="5733"/>
    <cellStyle name="Comma 2 5 7" xfId="5734"/>
    <cellStyle name="Comma 2 5 7 2" xfId="5735"/>
    <cellStyle name="Comma 2 5 8" xfId="5736"/>
    <cellStyle name="Comma 2 5 8 2" xfId="5737"/>
    <cellStyle name="Comma 2 5 9" xfId="5738"/>
    <cellStyle name="Comma 2 6" xfId="5739"/>
    <cellStyle name="Comma 2 6 10" xfId="16512"/>
    <cellStyle name="Comma 2 6 2" xfId="5740"/>
    <cellStyle name="Comma 2 6 2 2" xfId="5741"/>
    <cellStyle name="Comma 2 6 2 2 2" xfId="5742"/>
    <cellStyle name="Comma 2 6 2 2 2 2" xfId="5743"/>
    <cellStyle name="Comma 2 6 2 2 3" xfId="5744"/>
    <cellStyle name="Comma 2 6 2 2 3 2" xfId="5745"/>
    <cellStyle name="Comma 2 6 2 2 4" xfId="5746"/>
    <cellStyle name="Comma 2 6 2 3" xfId="5747"/>
    <cellStyle name="Comma 2 6 2 3 2" xfId="5748"/>
    <cellStyle name="Comma 2 6 2 4" xfId="5749"/>
    <cellStyle name="Comma 2 6 2 4 2" xfId="5750"/>
    <cellStyle name="Comma 2 6 2 5" xfId="5751"/>
    <cellStyle name="Comma 2 6 3" xfId="5752"/>
    <cellStyle name="Comma 2 6 3 2" xfId="5753"/>
    <cellStyle name="Comma 2 6 3 2 2" xfId="5754"/>
    <cellStyle name="Comma 2 6 3 3" xfId="5755"/>
    <cellStyle name="Comma 2 6 3 3 2" xfId="5756"/>
    <cellStyle name="Comma 2 6 3 4" xfId="5757"/>
    <cellStyle name="Comma 2 6 4" xfId="5758"/>
    <cellStyle name="Comma 2 6 4 2" xfId="5759"/>
    <cellStyle name="Comma 2 6 4 2 2" xfId="5760"/>
    <cellStyle name="Comma 2 6 4 3" xfId="5761"/>
    <cellStyle name="Comma 2 6 5" xfId="5762"/>
    <cellStyle name="Comma 2 6 5 2" xfId="5763"/>
    <cellStyle name="Comma 2 6 6" xfId="5764"/>
    <cellStyle name="Comma 2 6 6 2" xfId="5765"/>
    <cellStyle name="Comma 2 6 7" xfId="5766"/>
    <cellStyle name="Comma 2 6 7 2" xfId="5767"/>
    <cellStyle name="Comma 2 6 8" xfId="5768"/>
    <cellStyle name="Comma 2 6 8 2" xfId="5769"/>
    <cellStyle name="Comma 2 6 9" xfId="5770"/>
    <cellStyle name="Comma 2 7" xfId="5771"/>
    <cellStyle name="Comma 2 7 2" xfId="5772"/>
    <cellStyle name="Comma 2 7 2 2" xfId="5773"/>
    <cellStyle name="Comma 2 7 3" xfId="5774"/>
    <cellStyle name="Comma 2 7 3 2" xfId="5775"/>
    <cellStyle name="Comma 2 7 3 2 2" xfId="5776"/>
    <cellStyle name="Comma 2 7 3 3" xfId="5777"/>
    <cellStyle name="Comma 2 7 3 3 2" xfId="5778"/>
    <cellStyle name="Comma 2 7 3 4" xfId="5779"/>
    <cellStyle name="Comma 2 7 4" xfId="5780"/>
    <cellStyle name="Comma 2 7 4 2" xfId="5781"/>
    <cellStyle name="Comma 2 7 4 2 2" xfId="5782"/>
    <cellStyle name="Comma 2 7 4 3" xfId="5783"/>
    <cellStyle name="Comma 2 7 5" xfId="5784"/>
    <cellStyle name="Comma 2 7 5 2" xfId="5785"/>
    <cellStyle name="Comma 2 7 6" xfId="5786"/>
    <cellStyle name="Comma 2 7 6 2" xfId="5787"/>
    <cellStyle name="Comma 2 7 7" xfId="5788"/>
    <cellStyle name="Comma 2 7 7 2" xfId="5789"/>
    <cellStyle name="Comma 2 7 8" xfId="5790"/>
    <cellStyle name="Comma 2 7 8 2" xfId="5791"/>
    <cellStyle name="Comma 2 7 9" xfId="5792"/>
    <cellStyle name="Comma 2 8" xfId="5793"/>
    <cellStyle name="Comma 2 8 2" xfId="5794"/>
    <cellStyle name="Comma 2 8 2 2" xfId="5795"/>
    <cellStyle name="Comma 2 8 2 2 2" xfId="5796"/>
    <cellStyle name="Comma 2 8 2 2 2 2" xfId="5797"/>
    <cellStyle name="Comma 2 8 2 2 3" xfId="5798"/>
    <cellStyle name="Comma 2 8 2 2 3 2" xfId="5799"/>
    <cellStyle name="Comma 2 8 2 2 4" xfId="5800"/>
    <cellStyle name="Comma 2 8 2 3" xfId="5801"/>
    <cellStyle name="Comma 2 8 2 3 2" xfId="5802"/>
    <cellStyle name="Comma 2 8 2 3 2 2" xfId="5803"/>
    <cellStyle name="Comma 2 8 2 3 3" xfId="5804"/>
    <cellStyle name="Comma 2 8 2 4" xfId="5805"/>
    <cellStyle name="Comma 2 8 2 4 2" xfId="5806"/>
    <cellStyle name="Comma 2 8 2 5" xfId="5807"/>
    <cellStyle name="Comma 2 8 2 5 2" xfId="5808"/>
    <cellStyle name="Comma 2 8 2 6" xfId="5809"/>
    <cellStyle name="Comma 2 8 3" xfId="5810"/>
    <cellStyle name="Comma 2 8 3 2" xfId="5811"/>
    <cellStyle name="Comma 2 8 3 2 2" xfId="5812"/>
    <cellStyle name="Comma 2 8 3 3" xfId="5813"/>
    <cellStyle name="Comma 2 8 3 3 2" xfId="5814"/>
    <cellStyle name="Comma 2 8 3 4" xfId="5815"/>
    <cellStyle name="Comma 2 8 4" xfId="5816"/>
    <cellStyle name="Comma 2 8 4 2" xfId="5817"/>
    <cellStyle name="Comma 2 8 4 2 2" xfId="5818"/>
    <cellStyle name="Comma 2 8 4 3" xfId="5819"/>
    <cellStyle name="Comma 2 8 5" xfId="5820"/>
    <cellStyle name="Comma 2 8 5 2" xfId="5821"/>
    <cellStyle name="Comma 2 8 6" xfId="5822"/>
    <cellStyle name="Comma 2 8 6 2" xfId="5823"/>
    <cellStyle name="Comma 2 8 7" xfId="5824"/>
    <cellStyle name="Comma 2 8 7 2" xfId="5825"/>
    <cellStyle name="Comma 2 8 8" xfId="5826"/>
    <cellStyle name="Comma 2 9" xfId="5827"/>
    <cellStyle name="Comma 2 9 2" xfId="5828"/>
    <cellStyle name="Comma 2 9 2 2" xfId="5829"/>
    <cellStyle name="Comma 2 9 3" xfId="5830"/>
    <cellStyle name="Comma 2 9 3 2" xfId="5831"/>
    <cellStyle name="Comma 2 9 4" xfId="5832"/>
    <cellStyle name="Comma 2 9 4 2" xfId="5833"/>
    <cellStyle name="Comma 2 9 5" xfId="5834"/>
    <cellStyle name="Comma 2 9 5 2" xfId="5835"/>
    <cellStyle name="Comma 2 9 6" xfId="5836"/>
    <cellStyle name="Comma 2 9 6 2" xfId="5837"/>
    <cellStyle name="Comma 2 9 7" xfId="5838"/>
    <cellStyle name="Comma 20" xfId="315"/>
    <cellStyle name="Comma 20 10" xfId="316"/>
    <cellStyle name="Comma 20 10 2" xfId="5839"/>
    <cellStyle name="Comma 20 10 2 2" xfId="5840"/>
    <cellStyle name="Comma 20 10 3" xfId="5841"/>
    <cellStyle name="Comma 20 11" xfId="317"/>
    <cellStyle name="Comma 20 11 2" xfId="5842"/>
    <cellStyle name="Comma 20 11 2 2" xfId="5843"/>
    <cellStyle name="Comma 20 11 3" xfId="5844"/>
    <cellStyle name="Comma 20 12" xfId="318"/>
    <cellStyle name="Comma 20 12 2" xfId="5845"/>
    <cellStyle name="Comma 20 12 2 2" xfId="5846"/>
    <cellStyle name="Comma 20 12 3" xfId="5847"/>
    <cellStyle name="Comma 20 13" xfId="319"/>
    <cellStyle name="Comma 20 13 2" xfId="5848"/>
    <cellStyle name="Comma 20 13 2 2" xfId="5849"/>
    <cellStyle name="Comma 20 13 3" xfId="5850"/>
    <cellStyle name="Comma 20 14" xfId="320"/>
    <cellStyle name="Comma 20 14 2" xfId="5851"/>
    <cellStyle name="Comma 20 14 2 2" xfId="5852"/>
    <cellStyle name="Comma 20 14 3" xfId="5853"/>
    <cellStyle name="Comma 20 15" xfId="321"/>
    <cellStyle name="Comma 20 15 2" xfId="5854"/>
    <cellStyle name="Comma 20 15 2 2" xfId="5855"/>
    <cellStyle name="Comma 20 15 3" xfId="5856"/>
    <cellStyle name="Comma 20 16" xfId="5857"/>
    <cellStyle name="Comma 20 16 2" xfId="5858"/>
    <cellStyle name="Comma 20 16 2 2" xfId="5859"/>
    <cellStyle name="Comma 20 16 3" xfId="5860"/>
    <cellStyle name="Comma 20 17" xfId="5861"/>
    <cellStyle name="Comma 20 17 2" xfId="5862"/>
    <cellStyle name="Comma 20 17 2 2" xfId="5863"/>
    <cellStyle name="Comma 20 17 3" xfId="5864"/>
    <cellStyle name="Comma 20 18" xfId="5865"/>
    <cellStyle name="Comma 20 18 2" xfId="5866"/>
    <cellStyle name="Comma 20 18 2 2" xfId="5867"/>
    <cellStyle name="Comma 20 18 3" xfId="5868"/>
    <cellStyle name="Comma 20 19" xfId="5869"/>
    <cellStyle name="Comma 20 19 2" xfId="5870"/>
    <cellStyle name="Comma 20 19 2 2" xfId="5871"/>
    <cellStyle name="Comma 20 19 3" xfId="5872"/>
    <cellStyle name="Comma 20 2" xfId="322"/>
    <cellStyle name="Comma 20 2 2" xfId="5873"/>
    <cellStyle name="Comma 20 2 2 2" xfId="5874"/>
    <cellStyle name="Comma 20 2 3" xfId="5875"/>
    <cellStyle name="Comma 20 2 3 2" xfId="5876"/>
    <cellStyle name="Comma 20 2 3 2 2" xfId="5877"/>
    <cellStyle name="Comma 20 2 3 3" xfId="5878"/>
    <cellStyle name="Comma 20 2 4" xfId="5879"/>
    <cellStyle name="Comma 20 2 4 2" xfId="5880"/>
    <cellStyle name="Comma 20 2 5" xfId="5881"/>
    <cellStyle name="Comma 20 2 6" xfId="5882"/>
    <cellStyle name="Comma 20 20" xfId="5883"/>
    <cellStyle name="Comma 20 20 2" xfId="5884"/>
    <cellStyle name="Comma 20 20 2 2" xfId="5885"/>
    <cellStyle name="Comma 20 20 3" xfId="5886"/>
    <cellStyle name="Comma 20 21" xfId="5887"/>
    <cellStyle name="Comma 20 21 2" xfId="5888"/>
    <cellStyle name="Comma 20 21 2 2" xfId="5889"/>
    <cellStyle name="Comma 20 21 3" xfId="5890"/>
    <cellStyle name="Comma 20 22" xfId="5891"/>
    <cellStyle name="Comma 20 22 2" xfId="5892"/>
    <cellStyle name="Comma 20 22 2 2" xfId="5893"/>
    <cellStyle name="Comma 20 22 3" xfId="5894"/>
    <cellStyle name="Comma 20 23" xfId="5895"/>
    <cellStyle name="Comma 20 23 2" xfId="5896"/>
    <cellStyle name="Comma 20 23 2 2" xfId="5897"/>
    <cellStyle name="Comma 20 23 3" xfId="5898"/>
    <cellStyle name="Comma 20 24" xfId="5899"/>
    <cellStyle name="Comma 20 24 2" xfId="5900"/>
    <cellStyle name="Comma 20 24 2 2" xfId="5901"/>
    <cellStyle name="Comma 20 24 3" xfId="5902"/>
    <cellStyle name="Comma 20 25" xfId="5903"/>
    <cellStyle name="Comma 20 25 2" xfId="5904"/>
    <cellStyle name="Comma 20 25 2 2" xfId="5905"/>
    <cellStyle name="Comma 20 25 3" xfId="5906"/>
    <cellStyle name="Comma 20 26" xfId="5907"/>
    <cellStyle name="Comma 20 26 2" xfId="5908"/>
    <cellStyle name="Comma 20 26 2 2" xfId="5909"/>
    <cellStyle name="Comma 20 26 3" xfId="5910"/>
    <cellStyle name="Comma 20 27" xfId="5911"/>
    <cellStyle name="Comma 20 27 2" xfId="5912"/>
    <cellStyle name="Comma 20 27 2 2" xfId="5913"/>
    <cellStyle name="Comma 20 27 3" xfId="5914"/>
    <cellStyle name="Comma 20 28" xfId="5915"/>
    <cellStyle name="Comma 20 28 2" xfId="5916"/>
    <cellStyle name="Comma 20 28 2 2" xfId="5917"/>
    <cellStyle name="Comma 20 28 3" xfId="5918"/>
    <cellStyle name="Comma 20 29" xfId="5919"/>
    <cellStyle name="Comma 20 29 2" xfId="5920"/>
    <cellStyle name="Comma 20 3" xfId="323"/>
    <cellStyle name="Comma 20 3 2" xfId="5921"/>
    <cellStyle name="Comma 20 3 2 2" xfId="5922"/>
    <cellStyle name="Comma 20 3 3" xfId="5923"/>
    <cellStyle name="Comma 20 3 3 2" xfId="5924"/>
    <cellStyle name="Comma 20 3 3 2 2" xfId="5925"/>
    <cellStyle name="Comma 20 3 3 3" xfId="5926"/>
    <cellStyle name="Comma 20 3 4" xfId="5927"/>
    <cellStyle name="Comma 20 30" xfId="5928"/>
    <cellStyle name="Comma 20 30 2" xfId="5929"/>
    <cellStyle name="Comma 20 30 2 2" xfId="5930"/>
    <cellStyle name="Comma 20 30 3" xfId="5931"/>
    <cellStyle name="Comma 20 31" xfId="5932"/>
    <cellStyle name="Comma 20 31 2" xfId="5933"/>
    <cellStyle name="Comma 20 32" xfId="5934"/>
    <cellStyle name="Comma 20 33" xfId="5935"/>
    <cellStyle name="Comma 20 4" xfId="324"/>
    <cellStyle name="Comma 20 4 2" xfId="5936"/>
    <cellStyle name="Comma 20 4 2 2" xfId="5937"/>
    <cellStyle name="Comma 20 4 3" xfId="5938"/>
    <cellStyle name="Comma 20 4 3 2" xfId="5939"/>
    <cellStyle name="Comma 20 4 3 2 2" xfId="5940"/>
    <cellStyle name="Comma 20 4 3 3" xfId="5941"/>
    <cellStyle name="Comma 20 4 4" xfId="5942"/>
    <cellStyle name="Comma 20 5" xfId="325"/>
    <cellStyle name="Comma 20 5 2" xfId="5943"/>
    <cellStyle name="Comma 20 5 2 2" xfId="5944"/>
    <cellStyle name="Comma 20 5 3" xfId="5945"/>
    <cellStyle name="Comma 20 5 3 2" xfId="5946"/>
    <cellStyle name="Comma 20 5 3 2 2" xfId="5947"/>
    <cellStyle name="Comma 20 5 3 3" xfId="5948"/>
    <cellStyle name="Comma 20 5 4" xfId="5949"/>
    <cellStyle name="Comma 20 6" xfId="326"/>
    <cellStyle name="Comma 20 6 2" xfId="5950"/>
    <cellStyle name="Comma 20 6 2 2" xfId="5951"/>
    <cellStyle name="Comma 20 6 3" xfId="5952"/>
    <cellStyle name="Comma 20 7" xfId="327"/>
    <cellStyle name="Comma 20 7 2" xfId="5953"/>
    <cellStyle name="Comma 20 7 2 2" xfId="5954"/>
    <cellStyle name="Comma 20 7 3" xfId="5955"/>
    <cellStyle name="Comma 20 8" xfId="328"/>
    <cellStyle name="Comma 20 8 2" xfId="5956"/>
    <cellStyle name="Comma 20 8 2 2" xfId="5957"/>
    <cellStyle name="Comma 20 8 3" xfId="5958"/>
    <cellStyle name="Comma 20 9" xfId="329"/>
    <cellStyle name="Comma 20 9 2" xfId="5959"/>
    <cellStyle name="Comma 20 9 2 2" xfId="5960"/>
    <cellStyle name="Comma 20 9 3" xfId="5961"/>
    <cellStyle name="Comma 200" xfId="17372"/>
    <cellStyle name="Comma 200 2" xfId="18177"/>
    <cellStyle name="Comma 200 3" xfId="18913"/>
    <cellStyle name="Comma 201" xfId="17552"/>
    <cellStyle name="Comma 201 2" xfId="18357"/>
    <cellStyle name="Comma 201 3" xfId="19093"/>
    <cellStyle name="Comma 202" xfId="17650"/>
    <cellStyle name="Comma 202 2" xfId="18455"/>
    <cellStyle name="Comma 202 3" xfId="19177"/>
    <cellStyle name="Comma 203" xfId="17427"/>
    <cellStyle name="Comma 203 2" xfId="18232"/>
    <cellStyle name="Comma 203 3" xfId="18968"/>
    <cellStyle name="Comma 204" xfId="17644"/>
    <cellStyle name="Comma 204 2" xfId="18449"/>
    <cellStyle name="Comma 204 3" xfId="19172"/>
    <cellStyle name="Comma 205" xfId="17486"/>
    <cellStyle name="Comma 205 2" xfId="18291"/>
    <cellStyle name="Comma 205 3" xfId="19027"/>
    <cellStyle name="Comma 206" xfId="17341"/>
    <cellStyle name="Comma 206 2" xfId="18146"/>
    <cellStyle name="Comma 206 3" xfId="18882"/>
    <cellStyle name="Comma 207" xfId="17478"/>
    <cellStyle name="Comma 207 2" xfId="18283"/>
    <cellStyle name="Comma 207 3" xfId="19019"/>
    <cellStyle name="Comma 208" xfId="17507"/>
    <cellStyle name="Comma 208 2" xfId="18312"/>
    <cellStyle name="Comma 208 3" xfId="19048"/>
    <cellStyle name="Comma 209" xfId="17303"/>
    <cellStyle name="Comma 209 2" xfId="18108"/>
    <cellStyle name="Comma 209 3" xfId="18844"/>
    <cellStyle name="Comma 21" xfId="330"/>
    <cellStyle name="Comma 21 10" xfId="331"/>
    <cellStyle name="Comma 21 10 2" xfId="5962"/>
    <cellStyle name="Comma 21 10 2 2" xfId="5963"/>
    <cellStyle name="Comma 21 10 3" xfId="5964"/>
    <cellStyle name="Comma 21 11" xfId="332"/>
    <cellStyle name="Comma 21 11 2" xfId="5965"/>
    <cellStyle name="Comma 21 11 2 2" xfId="5966"/>
    <cellStyle name="Comma 21 11 3" xfId="5967"/>
    <cellStyle name="Comma 21 12" xfId="333"/>
    <cellStyle name="Comma 21 12 2" xfId="5968"/>
    <cellStyle name="Comma 21 12 2 2" xfId="5969"/>
    <cellStyle name="Comma 21 12 3" xfId="5970"/>
    <cellStyle name="Comma 21 13" xfId="334"/>
    <cellStyle name="Comma 21 13 2" xfId="5971"/>
    <cellStyle name="Comma 21 13 2 2" xfId="5972"/>
    <cellStyle name="Comma 21 13 3" xfId="5973"/>
    <cellStyle name="Comma 21 14" xfId="335"/>
    <cellStyle name="Comma 21 14 2" xfId="5974"/>
    <cellStyle name="Comma 21 14 2 2" xfId="5975"/>
    <cellStyle name="Comma 21 14 3" xfId="5976"/>
    <cellStyle name="Comma 21 15" xfId="336"/>
    <cellStyle name="Comma 21 15 2" xfId="5977"/>
    <cellStyle name="Comma 21 15 2 2" xfId="5978"/>
    <cellStyle name="Comma 21 15 3" xfId="5979"/>
    <cellStyle name="Comma 21 16" xfId="5980"/>
    <cellStyle name="Comma 21 16 2" xfId="5981"/>
    <cellStyle name="Comma 21 16 2 2" xfId="5982"/>
    <cellStyle name="Comma 21 16 3" xfId="5983"/>
    <cellStyle name="Comma 21 17" xfId="5984"/>
    <cellStyle name="Comma 21 17 2" xfId="5985"/>
    <cellStyle name="Comma 21 17 2 2" xfId="5986"/>
    <cellStyle name="Comma 21 17 3" xfId="5987"/>
    <cellStyle name="Comma 21 18" xfId="5988"/>
    <cellStyle name="Comma 21 18 2" xfId="5989"/>
    <cellStyle name="Comma 21 18 2 2" xfId="5990"/>
    <cellStyle name="Comma 21 18 3" xfId="5991"/>
    <cellStyle name="Comma 21 19" xfId="5992"/>
    <cellStyle name="Comma 21 19 2" xfId="5993"/>
    <cellStyle name="Comma 21 19 2 2" xfId="5994"/>
    <cellStyle name="Comma 21 19 3" xfId="5995"/>
    <cellStyle name="Comma 21 2" xfId="337"/>
    <cellStyle name="Comma 21 2 2" xfId="5996"/>
    <cellStyle name="Comma 21 2 2 2" xfId="5997"/>
    <cellStyle name="Comma 21 2 3" xfId="5998"/>
    <cellStyle name="Comma 21 2 3 2" xfId="5999"/>
    <cellStyle name="Comma 21 2 3 2 2" xfId="6000"/>
    <cellStyle name="Comma 21 2 3 3" xfId="6001"/>
    <cellStyle name="Comma 21 2 4" xfId="6002"/>
    <cellStyle name="Comma 21 2 4 2" xfId="6003"/>
    <cellStyle name="Comma 21 2 5" xfId="6004"/>
    <cellStyle name="Comma 21 2 6" xfId="6005"/>
    <cellStyle name="Comma 21 20" xfId="6006"/>
    <cellStyle name="Comma 21 20 2" xfId="6007"/>
    <cellStyle name="Comma 21 20 2 2" xfId="6008"/>
    <cellStyle name="Comma 21 20 3" xfId="6009"/>
    <cellStyle name="Comma 21 21" xfId="6010"/>
    <cellStyle name="Comma 21 21 2" xfId="6011"/>
    <cellStyle name="Comma 21 21 2 2" xfId="6012"/>
    <cellStyle name="Comma 21 21 3" xfId="6013"/>
    <cellStyle name="Comma 21 22" xfId="6014"/>
    <cellStyle name="Comma 21 22 2" xfId="6015"/>
    <cellStyle name="Comma 21 22 2 2" xfId="6016"/>
    <cellStyle name="Comma 21 22 3" xfId="6017"/>
    <cellStyle name="Comma 21 23" xfId="6018"/>
    <cellStyle name="Comma 21 23 2" xfId="6019"/>
    <cellStyle name="Comma 21 23 2 2" xfId="6020"/>
    <cellStyle name="Comma 21 23 3" xfId="6021"/>
    <cellStyle name="Comma 21 24" xfId="6022"/>
    <cellStyle name="Comma 21 24 2" xfId="6023"/>
    <cellStyle name="Comma 21 24 2 2" xfId="6024"/>
    <cellStyle name="Comma 21 24 3" xfId="6025"/>
    <cellStyle name="Comma 21 25" xfId="6026"/>
    <cellStyle name="Comma 21 25 2" xfId="6027"/>
    <cellStyle name="Comma 21 25 2 2" xfId="6028"/>
    <cellStyle name="Comma 21 25 3" xfId="6029"/>
    <cellStyle name="Comma 21 26" xfId="6030"/>
    <cellStyle name="Comma 21 26 2" xfId="6031"/>
    <cellStyle name="Comma 21 26 2 2" xfId="6032"/>
    <cellStyle name="Comma 21 26 3" xfId="6033"/>
    <cellStyle name="Comma 21 27" xfId="6034"/>
    <cellStyle name="Comma 21 27 2" xfId="6035"/>
    <cellStyle name="Comma 21 27 2 2" xfId="6036"/>
    <cellStyle name="Comma 21 27 3" xfId="6037"/>
    <cellStyle name="Comma 21 28" xfId="6038"/>
    <cellStyle name="Comma 21 28 2" xfId="6039"/>
    <cellStyle name="Comma 21 28 2 2" xfId="6040"/>
    <cellStyle name="Comma 21 28 3" xfId="6041"/>
    <cellStyle name="Comma 21 29" xfId="6042"/>
    <cellStyle name="Comma 21 29 2" xfId="6043"/>
    <cellStyle name="Comma 21 3" xfId="338"/>
    <cellStyle name="Comma 21 3 2" xfId="6044"/>
    <cellStyle name="Comma 21 3 2 2" xfId="6045"/>
    <cellStyle name="Comma 21 3 3" xfId="6046"/>
    <cellStyle name="Comma 21 3 3 2" xfId="6047"/>
    <cellStyle name="Comma 21 3 3 2 2" xfId="6048"/>
    <cellStyle name="Comma 21 3 3 3" xfId="6049"/>
    <cellStyle name="Comma 21 3 4" xfId="6050"/>
    <cellStyle name="Comma 21 3 4 2" xfId="6051"/>
    <cellStyle name="Comma 21 3 5" xfId="6052"/>
    <cellStyle name="Comma 21 3 6" xfId="6053"/>
    <cellStyle name="Comma 21 30" xfId="6054"/>
    <cellStyle name="Comma 21 30 2" xfId="6055"/>
    <cellStyle name="Comma 21 30 2 2" xfId="6056"/>
    <cellStyle name="Comma 21 30 3" xfId="6057"/>
    <cellStyle name="Comma 21 31" xfId="6058"/>
    <cellStyle name="Comma 21 31 2" xfId="6059"/>
    <cellStyle name="Comma 21 32" xfId="6060"/>
    <cellStyle name="Comma 21 32 2" xfId="6061"/>
    <cellStyle name="Comma 21 33" xfId="6062"/>
    <cellStyle name="Comma 21 34" xfId="6063"/>
    <cellStyle name="Comma 21 35" xfId="16101"/>
    <cellStyle name="Comma 21 4" xfId="339"/>
    <cellStyle name="Comma 21 4 2" xfId="6064"/>
    <cellStyle name="Comma 21 4 2 2" xfId="6065"/>
    <cellStyle name="Comma 21 4 3" xfId="6066"/>
    <cellStyle name="Comma 21 4 3 2" xfId="6067"/>
    <cellStyle name="Comma 21 4 3 2 2" xfId="6068"/>
    <cellStyle name="Comma 21 4 3 3" xfId="6069"/>
    <cellStyle name="Comma 21 4 4" xfId="6070"/>
    <cellStyle name="Comma 21 5" xfId="340"/>
    <cellStyle name="Comma 21 5 2" xfId="6071"/>
    <cellStyle name="Comma 21 5 2 2" xfId="6072"/>
    <cellStyle name="Comma 21 5 3" xfId="6073"/>
    <cellStyle name="Comma 21 5 3 2" xfId="6074"/>
    <cellStyle name="Comma 21 5 3 2 2" xfId="6075"/>
    <cellStyle name="Comma 21 5 3 3" xfId="6076"/>
    <cellStyle name="Comma 21 5 4" xfId="6077"/>
    <cellStyle name="Comma 21 6" xfId="341"/>
    <cellStyle name="Comma 21 6 2" xfId="6078"/>
    <cellStyle name="Comma 21 6 2 2" xfId="6079"/>
    <cellStyle name="Comma 21 6 3" xfId="6080"/>
    <cellStyle name="Comma 21 7" xfId="342"/>
    <cellStyle name="Comma 21 7 2" xfId="6081"/>
    <cellStyle name="Comma 21 7 2 2" xfId="6082"/>
    <cellStyle name="Comma 21 7 3" xfId="6083"/>
    <cellStyle name="Comma 21 8" xfId="343"/>
    <cellStyle name="Comma 21 8 2" xfId="6084"/>
    <cellStyle name="Comma 21 8 2 2" xfId="6085"/>
    <cellStyle name="Comma 21 8 3" xfId="6086"/>
    <cellStyle name="Comma 21 9" xfId="344"/>
    <cellStyle name="Comma 21 9 2" xfId="6087"/>
    <cellStyle name="Comma 21 9 2 2" xfId="6088"/>
    <cellStyle name="Comma 21 9 3" xfId="6089"/>
    <cellStyle name="Comma 210" xfId="17536"/>
    <cellStyle name="Comma 210 2" xfId="18341"/>
    <cellStyle name="Comma 210 3" xfId="19077"/>
    <cellStyle name="Comma 211" xfId="17343"/>
    <cellStyle name="Comma 211 2" xfId="18148"/>
    <cellStyle name="Comma 211 3" xfId="18884"/>
    <cellStyle name="Comma 212" xfId="17334"/>
    <cellStyle name="Comma 212 2" xfId="18139"/>
    <cellStyle name="Comma 212 3" xfId="18875"/>
    <cellStyle name="Comma 213" xfId="17379"/>
    <cellStyle name="Comma 213 2" xfId="18184"/>
    <cellStyle name="Comma 213 3" xfId="18920"/>
    <cellStyle name="Comma 214" xfId="17531"/>
    <cellStyle name="Comma 214 2" xfId="18336"/>
    <cellStyle name="Comma 214 3" xfId="19072"/>
    <cellStyle name="Comma 215" xfId="17430"/>
    <cellStyle name="Comma 215 2" xfId="18235"/>
    <cellStyle name="Comma 215 3" xfId="18971"/>
    <cellStyle name="Comma 216" xfId="17316"/>
    <cellStyle name="Comma 216 2" xfId="18121"/>
    <cellStyle name="Comma 216 3" xfId="18857"/>
    <cellStyle name="Comma 217" xfId="17355"/>
    <cellStyle name="Comma 217 2" xfId="18160"/>
    <cellStyle name="Comma 217 3" xfId="18896"/>
    <cellStyle name="Comma 218" xfId="17376"/>
    <cellStyle name="Comma 218 2" xfId="18181"/>
    <cellStyle name="Comma 218 3" xfId="18917"/>
    <cellStyle name="Comma 219" xfId="17432"/>
    <cellStyle name="Comma 219 2" xfId="18237"/>
    <cellStyle name="Comma 219 3" xfId="18973"/>
    <cellStyle name="Comma 22" xfId="345"/>
    <cellStyle name="Comma 22 10" xfId="346"/>
    <cellStyle name="Comma 22 10 2" xfId="6090"/>
    <cellStyle name="Comma 22 10 2 2" xfId="6091"/>
    <cellStyle name="Comma 22 10 3" xfId="6092"/>
    <cellStyle name="Comma 22 11" xfId="347"/>
    <cellStyle name="Comma 22 11 2" xfId="6093"/>
    <cellStyle name="Comma 22 11 2 2" xfId="6094"/>
    <cellStyle name="Comma 22 11 3" xfId="6095"/>
    <cellStyle name="Comma 22 12" xfId="348"/>
    <cellStyle name="Comma 22 12 2" xfId="6096"/>
    <cellStyle name="Comma 22 12 2 2" xfId="6097"/>
    <cellStyle name="Comma 22 12 3" xfId="6098"/>
    <cellStyle name="Comma 22 13" xfId="349"/>
    <cellStyle name="Comma 22 13 2" xfId="6099"/>
    <cellStyle name="Comma 22 13 2 2" xfId="6100"/>
    <cellStyle name="Comma 22 13 3" xfId="6101"/>
    <cellStyle name="Comma 22 14" xfId="350"/>
    <cellStyle name="Comma 22 14 2" xfId="6102"/>
    <cellStyle name="Comma 22 14 2 2" xfId="6103"/>
    <cellStyle name="Comma 22 14 3" xfId="6104"/>
    <cellStyle name="Comma 22 15" xfId="351"/>
    <cellStyle name="Comma 22 15 2" xfId="6105"/>
    <cellStyle name="Comma 22 15 2 2" xfId="6106"/>
    <cellStyle name="Comma 22 15 3" xfId="6107"/>
    <cellStyle name="Comma 22 16" xfId="6108"/>
    <cellStyle name="Comma 22 16 2" xfId="6109"/>
    <cellStyle name="Comma 22 16 2 2" xfId="6110"/>
    <cellStyle name="Comma 22 16 3" xfId="6111"/>
    <cellStyle name="Comma 22 17" xfId="6112"/>
    <cellStyle name="Comma 22 17 2" xfId="6113"/>
    <cellStyle name="Comma 22 17 2 2" xfId="6114"/>
    <cellStyle name="Comma 22 17 3" xfId="6115"/>
    <cellStyle name="Comma 22 18" xfId="6116"/>
    <cellStyle name="Comma 22 18 2" xfId="6117"/>
    <cellStyle name="Comma 22 18 2 2" xfId="6118"/>
    <cellStyle name="Comma 22 18 3" xfId="6119"/>
    <cellStyle name="Comma 22 19" xfId="6120"/>
    <cellStyle name="Comma 22 19 2" xfId="6121"/>
    <cellStyle name="Comma 22 19 2 2" xfId="6122"/>
    <cellStyle name="Comma 22 19 3" xfId="6123"/>
    <cellStyle name="Comma 22 2" xfId="352"/>
    <cellStyle name="Comma 22 2 2" xfId="6124"/>
    <cellStyle name="Comma 22 2 2 2" xfId="6125"/>
    <cellStyle name="Comma 22 2 3" xfId="6126"/>
    <cellStyle name="Comma 22 2 3 2" xfId="6127"/>
    <cellStyle name="Comma 22 2 3 2 2" xfId="6128"/>
    <cellStyle name="Comma 22 2 3 3" xfId="6129"/>
    <cellStyle name="Comma 22 2 4" xfId="6130"/>
    <cellStyle name="Comma 22 2 4 2" xfId="6131"/>
    <cellStyle name="Comma 22 2 5" xfId="6132"/>
    <cellStyle name="Comma 22 2 6" xfId="6133"/>
    <cellStyle name="Comma 22 20" xfId="6134"/>
    <cellStyle name="Comma 22 20 2" xfId="6135"/>
    <cellStyle name="Comma 22 20 2 2" xfId="6136"/>
    <cellStyle name="Comma 22 20 3" xfId="6137"/>
    <cellStyle name="Comma 22 21" xfId="6138"/>
    <cellStyle name="Comma 22 21 2" xfId="6139"/>
    <cellStyle name="Comma 22 21 2 2" xfId="6140"/>
    <cellStyle name="Comma 22 21 3" xfId="6141"/>
    <cellStyle name="Comma 22 22" xfId="6142"/>
    <cellStyle name="Comma 22 22 2" xfId="6143"/>
    <cellStyle name="Comma 22 22 2 2" xfId="6144"/>
    <cellStyle name="Comma 22 22 3" xfId="6145"/>
    <cellStyle name="Comma 22 23" xfId="6146"/>
    <cellStyle name="Comma 22 23 2" xfId="6147"/>
    <cellStyle name="Comma 22 23 2 2" xfId="6148"/>
    <cellStyle name="Comma 22 23 3" xfId="6149"/>
    <cellStyle name="Comma 22 24" xfId="6150"/>
    <cellStyle name="Comma 22 24 2" xfId="6151"/>
    <cellStyle name="Comma 22 24 2 2" xfId="6152"/>
    <cellStyle name="Comma 22 24 3" xfId="6153"/>
    <cellStyle name="Comma 22 25" xfId="6154"/>
    <cellStyle name="Comma 22 25 2" xfId="6155"/>
    <cellStyle name="Comma 22 25 2 2" xfId="6156"/>
    <cellStyle name="Comma 22 25 3" xfId="6157"/>
    <cellStyle name="Comma 22 26" xfId="6158"/>
    <cellStyle name="Comma 22 26 2" xfId="6159"/>
    <cellStyle name="Comma 22 26 2 2" xfId="6160"/>
    <cellStyle name="Comma 22 26 3" xfId="6161"/>
    <cellStyle name="Comma 22 27" xfId="6162"/>
    <cellStyle name="Comma 22 27 2" xfId="6163"/>
    <cellStyle name="Comma 22 27 2 2" xfId="6164"/>
    <cellStyle name="Comma 22 27 3" xfId="6165"/>
    <cellStyle name="Comma 22 28" xfId="6166"/>
    <cellStyle name="Comma 22 28 2" xfId="6167"/>
    <cellStyle name="Comma 22 28 2 2" xfId="6168"/>
    <cellStyle name="Comma 22 28 3" xfId="6169"/>
    <cellStyle name="Comma 22 29" xfId="6170"/>
    <cellStyle name="Comma 22 29 2" xfId="6171"/>
    <cellStyle name="Comma 22 3" xfId="353"/>
    <cellStyle name="Comma 22 3 2" xfId="6172"/>
    <cellStyle name="Comma 22 3 2 2" xfId="6173"/>
    <cellStyle name="Comma 22 3 3" xfId="6174"/>
    <cellStyle name="Comma 22 3 3 2" xfId="6175"/>
    <cellStyle name="Comma 22 3 3 2 2" xfId="6176"/>
    <cellStyle name="Comma 22 3 3 3" xfId="6177"/>
    <cellStyle name="Comma 22 3 4" xfId="6178"/>
    <cellStyle name="Comma 22 30" xfId="6179"/>
    <cellStyle name="Comma 22 30 2" xfId="6180"/>
    <cellStyle name="Comma 22 30 2 2" xfId="6181"/>
    <cellStyle name="Comma 22 30 3" xfId="6182"/>
    <cellStyle name="Comma 22 31" xfId="6183"/>
    <cellStyle name="Comma 22 31 2" xfId="6184"/>
    <cellStyle name="Comma 22 32" xfId="6185"/>
    <cellStyle name="Comma 22 33" xfId="6186"/>
    <cellStyle name="Comma 22 34" xfId="16102"/>
    <cellStyle name="Comma 22 4" xfId="354"/>
    <cellStyle name="Comma 22 4 2" xfId="6187"/>
    <cellStyle name="Comma 22 4 2 2" xfId="6188"/>
    <cellStyle name="Comma 22 4 3" xfId="6189"/>
    <cellStyle name="Comma 22 4 3 2" xfId="6190"/>
    <cellStyle name="Comma 22 4 3 2 2" xfId="6191"/>
    <cellStyle name="Comma 22 4 3 3" xfId="6192"/>
    <cellStyle name="Comma 22 4 4" xfId="6193"/>
    <cellStyle name="Comma 22 5" xfId="355"/>
    <cellStyle name="Comma 22 5 2" xfId="6194"/>
    <cellStyle name="Comma 22 5 2 2" xfId="6195"/>
    <cellStyle name="Comma 22 5 3" xfId="6196"/>
    <cellStyle name="Comma 22 5 3 2" xfId="6197"/>
    <cellStyle name="Comma 22 5 3 2 2" xfId="6198"/>
    <cellStyle name="Comma 22 5 3 3" xfId="6199"/>
    <cellStyle name="Comma 22 5 4" xfId="6200"/>
    <cellStyle name="Comma 22 6" xfId="356"/>
    <cellStyle name="Comma 22 6 2" xfId="6201"/>
    <cellStyle name="Comma 22 6 2 2" xfId="6202"/>
    <cellStyle name="Comma 22 6 3" xfId="6203"/>
    <cellStyle name="Comma 22 7" xfId="357"/>
    <cellStyle name="Comma 22 7 2" xfId="6204"/>
    <cellStyle name="Comma 22 7 2 2" xfId="6205"/>
    <cellStyle name="Comma 22 7 3" xfId="6206"/>
    <cellStyle name="Comma 22 8" xfId="358"/>
    <cellStyle name="Comma 22 8 2" xfId="6207"/>
    <cellStyle name="Comma 22 8 2 2" xfId="6208"/>
    <cellStyle name="Comma 22 8 3" xfId="6209"/>
    <cellStyle name="Comma 22 9" xfId="359"/>
    <cellStyle name="Comma 22 9 2" xfId="6210"/>
    <cellStyle name="Comma 22 9 2 2" xfId="6211"/>
    <cellStyle name="Comma 22 9 3" xfId="6212"/>
    <cellStyle name="Comma 220" xfId="17407"/>
    <cellStyle name="Comma 220 2" xfId="18212"/>
    <cellStyle name="Comma 220 3" xfId="18948"/>
    <cellStyle name="Comma 221" xfId="17561"/>
    <cellStyle name="Comma 221 2" xfId="18366"/>
    <cellStyle name="Comma 221 3" xfId="19102"/>
    <cellStyle name="Comma 222" xfId="17503"/>
    <cellStyle name="Comma 222 2" xfId="18308"/>
    <cellStyle name="Comma 222 3" xfId="19044"/>
    <cellStyle name="Comma 223" xfId="17720"/>
    <cellStyle name="Comma 223 2" xfId="18525"/>
    <cellStyle name="Comma 223 3" xfId="19247"/>
    <cellStyle name="Comma 224" xfId="17514"/>
    <cellStyle name="Comma 224 2" xfId="18319"/>
    <cellStyle name="Comma 224 3" xfId="19055"/>
    <cellStyle name="Comma 225" xfId="17335"/>
    <cellStyle name="Comma 225 2" xfId="18140"/>
    <cellStyle name="Comma 225 3" xfId="18876"/>
    <cellStyle name="Comma 226" xfId="17422"/>
    <cellStyle name="Comma 226 2" xfId="18227"/>
    <cellStyle name="Comma 226 3" xfId="18963"/>
    <cellStyle name="Comma 227" xfId="17413"/>
    <cellStyle name="Comma 227 2" xfId="18218"/>
    <cellStyle name="Comma 227 3" xfId="18954"/>
    <cellStyle name="Comma 228" xfId="17670"/>
    <cellStyle name="Comma 228 2" xfId="18475"/>
    <cellStyle name="Comma 228 3" xfId="19197"/>
    <cellStyle name="Comma 229" xfId="17716"/>
    <cellStyle name="Comma 229 2" xfId="18521"/>
    <cellStyle name="Comma 229 3" xfId="19243"/>
    <cellStyle name="Comma 23" xfId="360"/>
    <cellStyle name="Comma 23 10" xfId="361"/>
    <cellStyle name="Comma 23 10 2" xfId="6213"/>
    <cellStyle name="Comma 23 10 2 2" xfId="6214"/>
    <cellStyle name="Comma 23 10 3" xfId="6215"/>
    <cellStyle name="Comma 23 11" xfId="362"/>
    <cellStyle name="Comma 23 11 2" xfId="6216"/>
    <cellStyle name="Comma 23 11 2 2" xfId="6217"/>
    <cellStyle name="Comma 23 11 3" xfId="6218"/>
    <cellStyle name="Comma 23 12" xfId="363"/>
    <cellStyle name="Comma 23 12 2" xfId="6219"/>
    <cellStyle name="Comma 23 12 2 2" xfId="6220"/>
    <cellStyle name="Comma 23 12 3" xfId="6221"/>
    <cellStyle name="Comma 23 13" xfId="364"/>
    <cellStyle name="Comma 23 13 2" xfId="6222"/>
    <cellStyle name="Comma 23 13 2 2" xfId="6223"/>
    <cellStyle name="Comma 23 13 3" xfId="6224"/>
    <cellStyle name="Comma 23 14" xfId="365"/>
    <cellStyle name="Comma 23 14 2" xfId="6225"/>
    <cellStyle name="Comma 23 14 2 2" xfId="6226"/>
    <cellStyle name="Comma 23 14 3" xfId="6227"/>
    <cellStyle name="Comma 23 15" xfId="366"/>
    <cellStyle name="Comma 23 15 2" xfId="6228"/>
    <cellStyle name="Comma 23 15 2 2" xfId="6229"/>
    <cellStyle name="Comma 23 15 3" xfId="6230"/>
    <cellStyle name="Comma 23 16" xfId="6231"/>
    <cellStyle name="Comma 23 16 2" xfId="6232"/>
    <cellStyle name="Comma 23 16 2 2" xfId="6233"/>
    <cellStyle name="Comma 23 16 3" xfId="6234"/>
    <cellStyle name="Comma 23 17" xfId="6235"/>
    <cellStyle name="Comma 23 17 2" xfId="6236"/>
    <cellStyle name="Comma 23 17 2 2" xfId="6237"/>
    <cellStyle name="Comma 23 17 3" xfId="6238"/>
    <cellStyle name="Comma 23 18" xfId="6239"/>
    <cellStyle name="Comma 23 18 2" xfId="6240"/>
    <cellStyle name="Comma 23 18 2 2" xfId="6241"/>
    <cellStyle name="Comma 23 18 3" xfId="6242"/>
    <cellStyle name="Comma 23 19" xfId="6243"/>
    <cellStyle name="Comma 23 19 2" xfId="6244"/>
    <cellStyle name="Comma 23 19 2 2" xfId="6245"/>
    <cellStyle name="Comma 23 19 3" xfId="6246"/>
    <cellStyle name="Comma 23 2" xfId="367"/>
    <cellStyle name="Comma 23 2 2" xfId="6247"/>
    <cellStyle name="Comma 23 2 2 2" xfId="6248"/>
    <cellStyle name="Comma 23 2 3" xfId="6249"/>
    <cellStyle name="Comma 23 2 3 2" xfId="6250"/>
    <cellStyle name="Comma 23 2 3 2 2" xfId="6251"/>
    <cellStyle name="Comma 23 2 3 3" xfId="6252"/>
    <cellStyle name="Comma 23 2 4" xfId="6253"/>
    <cellStyle name="Comma 23 20" xfId="6254"/>
    <cellStyle name="Comma 23 20 2" xfId="6255"/>
    <cellStyle name="Comma 23 20 2 2" xfId="6256"/>
    <cellStyle name="Comma 23 20 3" xfId="6257"/>
    <cellStyle name="Comma 23 21" xfId="6258"/>
    <cellStyle name="Comma 23 21 2" xfId="6259"/>
    <cellStyle name="Comma 23 21 2 2" xfId="6260"/>
    <cellStyle name="Comma 23 21 3" xfId="6261"/>
    <cellStyle name="Comma 23 22" xfId="6262"/>
    <cellStyle name="Comma 23 22 2" xfId="6263"/>
    <cellStyle name="Comma 23 22 2 2" xfId="6264"/>
    <cellStyle name="Comma 23 22 3" xfId="6265"/>
    <cellStyle name="Comma 23 23" xfId="6266"/>
    <cellStyle name="Comma 23 23 2" xfId="6267"/>
    <cellStyle name="Comma 23 23 2 2" xfId="6268"/>
    <cellStyle name="Comma 23 23 3" xfId="6269"/>
    <cellStyle name="Comma 23 24" xfId="6270"/>
    <cellStyle name="Comma 23 24 2" xfId="6271"/>
    <cellStyle name="Comma 23 24 2 2" xfId="6272"/>
    <cellStyle name="Comma 23 24 3" xfId="6273"/>
    <cellStyle name="Comma 23 25" xfId="6274"/>
    <cellStyle name="Comma 23 25 2" xfId="6275"/>
    <cellStyle name="Comma 23 25 2 2" xfId="6276"/>
    <cellStyle name="Comma 23 25 3" xfId="6277"/>
    <cellStyle name="Comma 23 26" xfId="6278"/>
    <cellStyle name="Comma 23 26 2" xfId="6279"/>
    <cellStyle name="Comma 23 26 2 2" xfId="6280"/>
    <cellStyle name="Comma 23 26 3" xfId="6281"/>
    <cellStyle name="Comma 23 27" xfId="6282"/>
    <cellStyle name="Comma 23 27 2" xfId="6283"/>
    <cellStyle name="Comma 23 27 2 2" xfId="6284"/>
    <cellStyle name="Comma 23 27 3" xfId="6285"/>
    <cellStyle name="Comma 23 28" xfId="6286"/>
    <cellStyle name="Comma 23 28 2" xfId="6287"/>
    <cellStyle name="Comma 23 28 2 2" xfId="6288"/>
    <cellStyle name="Comma 23 28 3" xfId="6289"/>
    <cellStyle name="Comma 23 29" xfId="6290"/>
    <cellStyle name="Comma 23 29 2" xfId="6291"/>
    <cellStyle name="Comma 23 3" xfId="368"/>
    <cellStyle name="Comma 23 3 2" xfId="6292"/>
    <cellStyle name="Comma 23 3 2 2" xfId="6293"/>
    <cellStyle name="Comma 23 3 3" xfId="6294"/>
    <cellStyle name="Comma 23 3 3 2" xfId="6295"/>
    <cellStyle name="Comma 23 3 3 2 2" xfId="6296"/>
    <cellStyle name="Comma 23 3 3 3" xfId="6297"/>
    <cellStyle name="Comma 23 3 4" xfId="6298"/>
    <cellStyle name="Comma 23 30" xfId="6299"/>
    <cellStyle name="Comma 23 30 2" xfId="6300"/>
    <cellStyle name="Comma 23 30 2 2" xfId="6301"/>
    <cellStyle name="Comma 23 30 3" xfId="6302"/>
    <cellStyle name="Comma 23 31" xfId="6303"/>
    <cellStyle name="Comma 23 31 2" xfId="6304"/>
    <cellStyle name="Comma 23 32" xfId="6305"/>
    <cellStyle name="Comma 23 32 2" xfId="6306"/>
    <cellStyle name="Comma 23 33" xfId="6307"/>
    <cellStyle name="Comma 23 34" xfId="6308"/>
    <cellStyle name="Comma 23 35" xfId="16103"/>
    <cellStyle name="Comma 23 4" xfId="369"/>
    <cellStyle name="Comma 23 4 2" xfId="6309"/>
    <cellStyle name="Comma 23 4 2 2" xfId="6310"/>
    <cellStyle name="Comma 23 4 3" xfId="6311"/>
    <cellStyle name="Comma 23 4 3 2" xfId="6312"/>
    <cellStyle name="Comma 23 4 3 2 2" xfId="6313"/>
    <cellStyle name="Comma 23 4 3 3" xfId="6314"/>
    <cellStyle name="Comma 23 4 4" xfId="6315"/>
    <cellStyle name="Comma 23 5" xfId="370"/>
    <cellStyle name="Comma 23 5 2" xfId="6316"/>
    <cellStyle name="Comma 23 5 2 2" xfId="6317"/>
    <cellStyle name="Comma 23 5 3" xfId="6318"/>
    <cellStyle name="Comma 23 5 3 2" xfId="6319"/>
    <cellStyle name="Comma 23 5 3 2 2" xfId="6320"/>
    <cellStyle name="Comma 23 5 3 3" xfId="6321"/>
    <cellStyle name="Comma 23 5 4" xfId="6322"/>
    <cellStyle name="Comma 23 6" xfId="371"/>
    <cellStyle name="Comma 23 6 2" xfId="6323"/>
    <cellStyle name="Comma 23 6 2 2" xfId="6324"/>
    <cellStyle name="Comma 23 6 3" xfId="6325"/>
    <cellStyle name="Comma 23 7" xfId="372"/>
    <cellStyle name="Comma 23 7 2" xfId="6326"/>
    <cellStyle name="Comma 23 7 2 2" xfId="6327"/>
    <cellStyle name="Comma 23 7 3" xfId="6328"/>
    <cellStyle name="Comma 23 8" xfId="373"/>
    <cellStyle name="Comma 23 8 2" xfId="6329"/>
    <cellStyle name="Comma 23 8 2 2" xfId="6330"/>
    <cellStyle name="Comma 23 8 3" xfId="6331"/>
    <cellStyle name="Comma 23 9" xfId="374"/>
    <cellStyle name="Comma 23 9 2" xfId="6332"/>
    <cellStyle name="Comma 23 9 2 2" xfId="6333"/>
    <cellStyle name="Comma 23 9 3" xfId="6334"/>
    <cellStyle name="Comma 230" xfId="17479"/>
    <cellStyle name="Comma 230 2" xfId="18284"/>
    <cellStyle name="Comma 230 3" xfId="19020"/>
    <cellStyle name="Comma 231" xfId="17534"/>
    <cellStyle name="Comma 231 2" xfId="18339"/>
    <cellStyle name="Comma 231 3" xfId="19075"/>
    <cellStyle name="Comma 232" xfId="17667"/>
    <cellStyle name="Comma 232 2" xfId="18472"/>
    <cellStyle name="Comma 232 3" xfId="19194"/>
    <cellStyle name="Comma 233" xfId="17709"/>
    <cellStyle name="Comma 233 2" xfId="18514"/>
    <cellStyle name="Comma 233 3" xfId="19236"/>
    <cellStyle name="Comma 234" xfId="17537"/>
    <cellStyle name="Comma 234 2" xfId="18342"/>
    <cellStyle name="Comma 234 3" xfId="19078"/>
    <cellStyle name="Comma 235" xfId="17472"/>
    <cellStyle name="Comma 235 2" xfId="18277"/>
    <cellStyle name="Comma 235 3" xfId="19013"/>
    <cellStyle name="Comma 236" xfId="17680"/>
    <cellStyle name="Comma 236 2" xfId="18485"/>
    <cellStyle name="Comma 236 3" xfId="19207"/>
    <cellStyle name="Comma 237" xfId="17724"/>
    <cellStyle name="Comma 237 2" xfId="18529"/>
    <cellStyle name="Comma 237 3" xfId="19251"/>
    <cellStyle name="Comma 238" xfId="17358"/>
    <cellStyle name="Comma 238 2" xfId="18163"/>
    <cellStyle name="Comma 238 3" xfId="18899"/>
    <cellStyle name="Comma 239" xfId="17439"/>
    <cellStyle name="Comma 239 2" xfId="18244"/>
    <cellStyle name="Comma 239 3" xfId="18980"/>
    <cellStyle name="Comma 24" xfId="375"/>
    <cellStyle name="Comma 24 10" xfId="376"/>
    <cellStyle name="Comma 24 10 2" xfId="6335"/>
    <cellStyle name="Comma 24 10 2 2" xfId="6336"/>
    <cellStyle name="Comma 24 10 3" xfId="6337"/>
    <cellStyle name="Comma 24 11" xfId="377"/>
    <cellStyle name="Comma 24 11 2" xfId="6338"/>
    <cellStyle name="Comma 24 11 2 2" xfId="6339"/>
    <cellStyle name="Comma 24 11 3" xfId="6340"/>
    <cellStyle name="Comma 24 12" xfId="378"/>
    <cellStyle name="Comma 24 12 2" xfId="6341"/>
    <cellStyle name="Comma 24 12 2 2" xfId="6342"/>
    <cellStyle name="Comma 24 12 3" xfId="6343"/>
    <cellStyle name="Comma 24 13" xfId="379"/>
    <cellStyle name="Comma 24 13 2" xfId="6344"/>
    <cellStyle name="Comma 24 13 2 2" xfId="6345"/>
    <cellStyle name="Comma 24 13 3" xfId="6346"/>
    <cellStyle name="Comma 24 14" xfId="380"/>
    <cellStyle name="Comma 24 14 2" xfId="6347"/>
    <cellStyle name="Comma 24 14 2 2" xfId="6348"/>
    <cellStyle name="Comma 24 14 3" xfId="6349"/>
    <cellStyle name="Comma 24 15" xfId="381"/>
    <cellStyle name="Comma 24 15 2" xfId="6350"/>
    <cellStyle name="Comma 24 15 2 2" xfId="6351"/>
    <cellStyle name="Comma 24 15 3" xfId="6352"/>
    <cellStyle name="Comma 24 16" xfId="6353"/>
    <cellStyle name="Comma 24 16 2" xfId="6354"/>
    <cellStyle name="Comma 24 16 2 2" xfId="6355"/>
    <cellStyle name="Comma 24 16 3" xfId="6356"/>
    <cellStyle name="Comma 24 17" xfId="6357"/>
    <cellStyle name="Comma 24 17 2" xfId="6358"/>
    <cellStyle name="Comma 24 17 2 2" xfId="6359"/>
    <cellStyle name="Comma 24 17 3" xfId="6360"/>
    <cellStyle name="Comma 24 18" xfId="6361"/>
    <cellStyle name="Comma 24 18 2" xfId="6362"/>
    <cellStyle name="Comma 24 18 2 2" xfId="6363"/>
    <cellStyle name="Comma 24 18 3" xfId="6364"/>
    <cellStyle name="Comma 24 19" xfId="6365"/>
    <cellStyle name="Comma 24 19 2" xfId="6366"/>
    <cellStyle name="Comma 24 19 2 2" xfId="6367"/>
    <cellStyle name="Comma 24 19 3" xfId="6368"/>
    <cellStyle name="Comma 24 2" xfId="382"/>
    <cellStyle name="Comma 24 2 2" xfId="6369"/>
    <cellStyle name="Comma 24 2 2 2" xfId="6370"/>
    <cellStyle name="Comma 24 2 3" xfId="6371"/>
    <cellStyle name="Comma 24 2 3 2" xfId="6372"/>
    <cellStyle name="Comma 24 2 3 2 2" xfId="6373"/>
    <cellStyle name="Comma 24 2 3 3" xfId="6374"/>
    <cellStyle name="Comma 24 2 4" xfId="6375"/>
    <cellStyle name="Comma 24 2 4 2" xfId="6376"/>
    <cellStyle name="Comma 24 2 5" xfId="6377"/>
    <cellStyle name="Comma 24 2 6" xfId="6378"/>
    <cellStyle name="Comma 24 20" xfId="6379"/>
    <cellStyle name="Comma 24 20 2" xfId="6380"/>
    <cellStyle name="Comma 24 20 2 2" xfId="6381"/>
    <cellStyle name="Comma 24 20 3" xfId="6382"/>
    <cellStyle name="Comma 24 21" xfId="6383"/>
    <cellStyle name="Comma 24 21 2" xfId="6384"/>
    <cellStyle name="Comma 24 21 2 2" xfId="6385"/>
    <cellStyle name="Comma 24 21 3" xfId="6386"/>
    <cellStyle name="Comma 24 22" xfId="6387"/>
    <cellStyle name="Comma 24 22 2" xfId="6388"/>
    <cellStyle name="Comma 24 22 2 2" xfId="6389"/>
    <cellStyle name="Comma 24 22 3" xfId="6390"/>
    <cellStyle name="Comma 24 23" xfId="6391"/>
    <cellStyle name="Comma 24 23 2" xfId="6392"/>
    <cellStyle name="Comma 24 23 2 2" xfId="6393"/>
    <cellStyle name="Comma 24 23 3" xfId="6394"/>
    <cellStyle name="Comma 24 24" xfId="6395"/>
    <cellStyle name="Comma 24 24 2" xfId="6396"/>
    <cellStyle name="Comma 24 24 2 2" xfId="6397"/>
    <cellStyle name="Comma 24 24 3" xfId="6398"/>
    <cellStyle name="Comma 24 25" xfId="6399"/>
    <cellStyle name="Comma 24 25 2" xfId="6400"/>
    <cellStyle name="Comma 24 25 2 2" xfId="6401"/>
    <cellStyle name="Comma 24 25 3" xfId="6402"/>
    <cellStyle name="Comma 24 26" xfId="6403"/>
    <cellStyle name="Comma 24 26 2" xfId="6404"/>
    <cellStyle name="Comma 24 26 2 2" xfId="6405"/>
    <cellStyle name="Comma 24 26 3" xfId="6406"/>
    <cellStyle name="Comma 24 27" xfId="6407"/>
    <cellStyle name="Comma 24 27 2" xfId="6408"/>
    <cellStyle name="Comma 24 27 2 2" xfId="6409"/>
    <cellStyle name="Comma 24 27 3" xfId="6410"/>
    <cellStyle name="Comma 24 28" xfId="6411"/>
    <cellStyle name="Comma 24 28 2" xfId="6412"/>
    <cellStyle name="Comma 24 28 2 2" xfId="6413"/>
    <cellStyle name="Comma 24 28 3" xfId="6414"/>
    <cellStyle name="Comma 24 29" xfId="6415"/>
    <cellStyle name="Comma 24 29 2" xfId="6416"/>
    <cellStyle name="Comma 24 3" xfId="383"/>
    <cellStyle name="Comma 24 3 2" xfId="6417"/>
    <cellStyle name="Comma 24 3 2 2" xfId="6418"/>
    <cellStyle name="Comma 24 3 3" xfId="6419"/>
    <cellStyle name="Comma 24 3 3 2" xfId="6420"/>
    <cellStyle name="Comma 24 3 3 2 2" xfId="6421"/>
    <cellStyle name="Comma 24 3 3 3" xfId="6422"/>
    <cellStyle name="Comma 24 3 4" xfId="6423"/>
    <cellStyle name="Comma 24 30" xfId="6424"/>
    <cellStyle name="Comma 24 30 2" xfId="6425"/>
    <cellStyle name="Comma 24 30 2 2" xfId="6426"/>
    <cellStyle name="Comma 24 30 3" xfId="6427"/>
    <cellStyle name="Comma 24 31" xfId="6428"/>
    <cellStyle name="Comma 24 31 2" xfId="6429"/>
    <cellStyle name="Comma 24 32" xfId="6430"/>
    <cellStyle name="Comma 24 32 2" xfId="6431"/>
    <cellStyle name="Comma 24 33" xfId="6432"/>
    <cellStyle name="Comma 24 34" xfId="6433"/>
    <cellStyle name="Comma 24 35" xfId="16104"/>
    <cellStyle name="Comma 24 4" xfId="384"/>
    <cellStyle name="Comma 24 4 2" xfId="6434"/>
    <cellStyle name="Comma 24 4 2 2" xfId="6435"/>
    <cellStyle name="Comma 24 4 3" xfId="6436"/>
    <cellStyle name="Comma 24 4 3 2" xfId="6437"/>
    <cellStyle name="Comma 24 4 3 2 2" xfId="6438"/>
    <cellStyle name="Comma 24 4 3 3" xfId="6439"/>
    <cellStyle name="Comma 24 4 4" xfId="6440"/>
    <cellStyle name="Comma 24 5" xfId="385"/>
    <cellStyle name="Comma 24 5 2" xfId="6441"/>
    <cellStyle name="Comma 24 5 2 2" xfId="6442"/>
    <cellStyle name="Comma 24 5 3" xfId="6443"/>
    <cellStyle name="Comma 24 5 3 2" xfId="6444"/>
    <cellStyle name="Comma 24 5 3 2 2" xfId="6445"/>
    <cellStyle name="Comma 24 5 3 3" xfId="6446"/>
    <cellStyle name="Comma 24 5 4" xfId="6447"/>
    <cellStyle name="Comma 24 6" xfId="386"/>
    <cellStyle name="Comma 24 6 2" xfId="6448"/>
    <cellStyle name="Comma 24 6 2 2" xfId="6449"/>
    <cellStyle name="Comma 24 6 3" xfId="6450"/>
    <cellStyle name="Comma 24 7" xfId="387"/>
    <cellStyle name="Comma 24 7 2" xfId="6451"/>
    <cellStyle name="Comma 24 7 2 2" xfId="6452"/>
    <cellStyle name="Comma 24 7 3" xfId="6453"/>
    <cellStyle name="Comma 24 8" xfId="388"/>
    <cellStyle name="Comma 24 8 2" xfId="6454"/>
    <cellStyle name="Comma 24 8 2 2" xfId="6455"/>
    <cellStyle name="Comma 24 8 3" xfId="6456"/>
    <cellStyle name="Comma 24 9" xfId="389"/>
    <cellStyle name="Comma 24 9 2" xfId="6457"/>
    <cellStyle name="Comma 24 9 2 2" xfId="6458"/>
    <cellStyle name="Comma 24 9 3" xfId="6459"/>
    <cellStyle name="Comma 240" xfId="17702"/>
    <cellStyle name="Comma 240 2" xfId="18507"/>
    <cellStyle name="Comma 240 3" xfId="19229"/>
    <cellStyle name="Comma 241" xfId="17328"/>
    <cellStyle name="Comma 241 2" xfId="18133"/>
    <cellStyle name="Comma 241 3" xfId="18869"/>
    <cellStyle name="Comma 242" xfId="17393"/>
    <cellStyle name="Comma 242 2" xfId="18198"/>
    <cellStyle name="Comma 242 3" xfId="18934"/>
    <cellStyle name="Comma 243" xfId="17452"/>
    <cellStyle name="Comma 243 2" xfId="18257"/>
    <cellStyle name="Comma 243 3" xfId="18993"/>
    <cellStyle name="Comma 244" xfId="17668"/>
    <cellStyle name="Comma 244 2" xfId="18473"/>
    <cellStyle name="Comma 244 3" xfId="19195"/>
    <cellStyle name="Comma 245" xfId="17370"/>
    <cellStyle name="Comma 245 2" xfId="18175"/>
    <cellStyle name="Comma 245 3" xfId="18911"/>
    <cellStyle name="Comma 246" xfId="17751"/>
    <cellStyle name="Comma 246 2" xfId="18556"/>
    <cellStyle name="Comma 246 3" xfId="19278"/>
    <cellStyle name="Comma 247" xfId="17758"/>
    <cellStyle name="Comma 247 2" xfId="18563"/>
    <cellStyle name="Comma 247 3" xfId="19285"/>
    <cellStyle name="Comma 248" xfId="17447"/>
    <cellStyle name="Comma 248 2" xfId="18252"/>
    <cellStyle name="Comma 248 3" xfId="18988"/>
    <cellStyle name="Comma 249" xfId="17361"/>
    <cellStyle name="Comma 249 2" xfId="18166"/>
    <cellStyle name="Comma 249 3" xfId="18902"/>
    <cellStyle name="Comma 25" xfId="390"/>
    <cellStyle name="Comma 25 10" xfId="391"/>
    <cellStyle name="Comma 25 10 2" xfId="6460"/>
    <cellStyle name="Comma 25 10 2 2" xfId="6461"/>
    <cellStyle name="Comma 25 10 3" xfId="6462"/>
    <cellStyle name="Comma 25 11" xfId="392"/>
    <cellStyle name="Comma 25 11 2" xfId="6463"/>
    <cellStyle name="Comma 25 11 2 2" xfId="6464"/>
    <cellStyle name="Comma 25 11 3" xfId="6465"/>
    <cellStyle name="Comma 25 12" xfId="393"/>
    <cellStyle name="Comma 25 12 2" xfId="6466"/>
    <cellStyle name="Comma 25 12 2 2" xfId="6467"/>
    <cellStyle name="Comma 25 12 3" xfId="6468"/>
    <cellStyle name="Comma 25 13" xfId="394"/>
    <cellStyle name="Comma 25 13 2" xfId="6469"/>
    <cellStyle name="Comma 25 13 2 2" xfId="6470"/>
    <cellStyle name="Comma 25 13 3" xfId="6471"/>
    <cellStyle name="Comma 25 14" xfId="395"/>
    <cellStyle name="Comma 25 14 2" xfId="6472"/>
    <cellStyle name="Comma 25 14 2 2" xfId="6473"/>
    <cellStyle name="Comma 25 14 3" xfId="6474"/>
    <cellStyle name="Comma 25 15" xfId="396"/>
    <cellStyle name="Comma 25 15 2" xfId="6475"/>
    <cellStyle name="Comma 25 15 2 2" xfId="6476"/>
    <cellStyle name="Comma 25 15 3" xfId="6477"/>
    <cellStyle name="Comma 25 16" xfId="6478"/>
    <cellStyle name="Comma 25 16 2" xfId="6479"/>
    <cellStyle name="Comma 25 16 2 2" xfId="6480"/>
    <cellStyle name="Comma 25 16 3" xfId="6481"/>
    <cellStyle name="Comma 25 17" xfId="6482"/>
    <cellStyle name="Comma 25 17 2" xfId="6483"/>
    <cellStyle name="Comma 25 17 2 2" xfId="6484"/>
    <cellStyle name="Comma 25 17 3" xfId="6485"/>
    <cellStyle name="Comma 25 18" xfId="6486"/>
    <cellStyle name="Comma 25 18 2" xfId="6487"/>
    <cellStyle name="Comma 25 18 2 2" xfId="6488"/>
    <cellStyle name="Comma 25 18 3" xfId="6489"/>
    <cellStyle name="Comma 25 19" xfId="6490"/>
    <cellStyle name="Comma 25 19 2" xfId="6491"/>
    <cellStyle name="Comma 25 19 2 2" xfId="6492"/>
    <cellStyle name="Comma 25 19 3" xfId="6493"/>
    <cellStyle name="Comma 25 2" xfId="397"/>
    <cellStyle name="Comma 25 2 2" xfId="6494"/>
    <cellStyle name="Comma 25 2 2 2" xfId="6495"/>
    <cellStyle name="Comma 25 2 3" xfId="6496"/>
    <cellStyle name="Comma 25 2 3 2" xfId="6497"/>
    <cellStyle name="Comma 25 2 3 2 2" xfId="6498"/>
    <cellStyle name="Comma 25 2 3 3" xfId="6499"/>
    <cellStyle name="Comma 25 2 4" xfId="6500"/>
    <cellStyle name="Comma 25 2 4 2" xfId="6501"/>
    <cellStyle name="Comma 25 2 5" xfId="6502"/>
    <cellStyle name="Comma 25 2 6" xfId="6503"/>
    <cellStyle name="Comma 25 20" xfId="6504"/>
    <cellStyle name="Comma 25 20 2" xfId="6505"/>
    <cellStyle name="Comma 25 20 2 2" xfId="6506"/>
    <cellStyle name="Comma 25 20 3" xfId="6507"/>
    <cellStyle name="Comma 25 21" xfId="6508"/>
    <cellStyle name="Comma 25 21 2" xfId="6509"/>
    <cellStyle name="Comma 25 21 2 2" xfId="6510"/>
    <cellStyle name="Comma 25 21 3" xfId="6511"/>
    <cellStyle name="Comma 25 22" xfId="6512"/>
    <cellStyle name="Comma 25 22 2" xfId="6513"/>
    <cellStyle name="Comma 25 22 2 2" xfId="6514"/>
    <cellStyle name="Comma 25 22 3" xfId="6515"/>
    <cellStyle name="Comma 25 23" xfId="6516"/>
    <cellStyle name="Comma 25 23 2" xfId="6517"/>
    <cellStyle name="Comma 25 23 2 2" xfId="6518"/>
    <cellStyle name="Comma 25 23 3" xfId="6519"/>
    <cellStyle name="Comma 25 24" xfId="6520"/>
    <cellStyle name="Comma 25 24 2" xfId="6521"/>
    <cellStyle name="Comma 25 24 2 2" xfId="6522"/>
    <cellStyle name="Comma 25 24 3" xfId="6523"/>
    <cellStyle name="Comma 25 25" xfId="6524"/>
    <cellStyle name="Comma 25 25 2" xfId="6525"/>
    <cellStyle name="Comma 25 25 2 2" xfId="6526"/>
    <cellStyle name="Comma 25 25 3" xfId="6527"/>
    <cellStyle name="Comma 25 26" xfId="6528"/>
    <cellStyle name="Comma 25 26 2" xfId="6529"/>
    <cellStyle name="Comma 25 26 2 2" xfId="6530"/>
    <cellStyle name="Comma 25 26 3" xfId="6531"/>
    <cellStyle name="Comma 25 27" xfId="6532"/>
    <cellStyle name="Comma 25 27 2" xfId="6533"/>
    <cellStyle name="Comma 25 27 2 2" xfId="6534"/>
    <cellStyle name="Comma 25 27 3" xfId="6535"/>
    <cellStyle name="Comma 25 28" xfId="6536"/>
    <cellStyle name="Comma 25 28 2" xfId="6537"/>
    <cellStyle name="Comma 25 28 2 2" xfId="6538"/>
    <cellStyle name="Comma 25 28 3" xfId="6539"/>
    <cellStyle name="Comma 25 29" xfId="6540"/>
    <cellStyle name="Comma 25 29 2" xfId="6541"/>
    <cellStyle name="Comma 25 3" xfId="398"/>
    <cellStyle name="Comma 25 3 2" xfId="6542"/>
    <cellStyle name="Comma 25 3 2 2" xfId="6543"/>
    <cellStyle name="Comma 25 3 3" xfId="6544"/>
    <cellStyle name="Comma 25 3 3 2" xfId="6545"/>
    <cellStyle name="Comma 25 3 3 2 2" xfId="6546"/>
    <cellStyle name="Comma 25 3 3 3" xfId="6547"/>
    <cellStyle name="Comma 25 3 4" xfId="6548"/>
    <cellStyle name="Comma 25 30" xfId="6549"/>
    <cellStyle name="Comma 25 30 2" xfId="6550"/>
    <cellStyle name="Comma 25 30 2 2" xfId="6551"/>
    <cellStyle name="Comma 25 30 3" xfId="6552"/>
    <cellStyle name="Comma 25 31" xfId="6553"/>
    <cellStyle name="Comma 25 31 2" xfId="6554"/>
    <cellStyle name="Comma 25 32" xfId="6555"/>
    <cellStyle name="Comma 25 32 2" xfId="6556"/>
    <cellStyle name="Comma 25 33" xfId="6557"/>
    <cellStyle name="Comma 25 34" xfId="6558"/>
    <cellStyle name="Comma 25 35" xfId="16105"/>
    <cellStyle name="Comma 25 4" xfId="399"/>
    <cellStyle name="Comma 25 4 2" xfId="6559"/>
    <cellStyle name="Comma 25 4 2 2" xfId="6560"/>
    <cellStyle name="Comma 25 4 3" xfId="6561"/>
    <cellStyle name="Comma 25 4 3 2" xfId="6562"/>
    <cellStyle name="Comma 25 4 3 2 2" xfId="6563"/>
    <cellStyle name="Comma 25 4 3 3" xfId="6564"/>
    <cellStyle name="Comma 25 4 4" xfId="6565"/>
    <cellStyle name="Comma 25 5" xfId="400"/>
    <cellStyle name="Comma 25 5 2" xfId="6566"/>
    <cellStyle name="Comma 25 5 2 2" xfId="6567"/>
    <cellStyle name="Comma 25 5 3" xfId="6568"/>
    <cellStyle name="Comma 25 5 3 2" xfId="6569"/>
    <cellStyle name="Comma 25 5 3 2 2" xfId="6570"/>
    <cellStyle name="Comma 25 5 3 3" xfId="6571"/>
    <cellStyle name="Comma 25 5 4" xfId="6572"/>
    <cellStyle name="Comma 25 6" xfId="401"/>
    <cellStyle name="Comma 25 6 2" xfId="6573"/>
    <cellStyle name="Comma 25 6 2 2" xfId="6574"/>
    <cellStyle name="Comma 25 6 3" xfId="6575"/>
    <cellStyle name="Comma 25 7" xfId="402"/>
    <cellStyle name="Comma 25 7 2" xfId="6576"/>
    <cellStyle name="Comma 25 7 2 2" xfId="6577"/>
    <cellStyle name="Comma 25 7 3" xfId="6578"/>
    <cellStyle name="Comma 25 8" xfId="403"/>
    <cellStyle name="Comma 25 8 2" xfId="6579"/>
    <cellStyle name="Comma 25 8 2 2" xfId="6580"/>
    <cellStyle name="Comma 25 8 3" xfId="6581"/>
    <cellStyle name="Comma 25 9" xfId="404"/>
    <cellStyle name="Comma 25 9 2" xfId="6582"/>
    <cellStyle name="Comma 25 9 2 2" xfId="6583"/>
    <cellStyle name="Comma 25 9 3" xfId="6584"/>
    <cellStyle name="Comma 250" xfId="17736"/>
    <cellStyle name="Comma 250 2" xfId="18541"/>
    <cellStyle name="Comma 250 3" xfId="19263"/>
    <cellStyle name="Comma 251" xfId="17701"/>
    <cellStyle name="Comma 251 2" xfId="18506"/>
    <cellStyle name="Comma 251 3" xfId="19228"/>
    <cellStyle name="Comma 252" xfId="17738"/>
    <cellStyle name="Comma 252 2" xfId="18543"/>
    <cellStyle name="Comma 252 3" xfId="19265"/>
    <cellStyle name="Comma 253" xfId="17755"/>
    <cellStyle name="Comma 253 2" xfId="18560"/>
    <cellStyle name="Comma 253 3" xfId="19282"/>
    <cellStyle name="Comma 254" xfId="17519"/>
    <cellStyle name="Comma 254 2" xfId="18324"/>
    <cellStyle name="Comma 254 3" xfId="19060"/>
    <cellStyle name="Comma 255" xfId="17412"/>
    <cellStyle name="Comma 255 2" xfId="18217"/>
    <cellStyle name="Comma 255 3" xfId="18953"/>
    <cellStyle name="Comma 256" xfId="17726"/>
    <cellStyle name="Comma 256 2" xfId="18531"/>
    <cellStyle name="Comma 256 3" xfId="19253"/>
    <cellStyle name="Comma 257" xfId="17331"/>
    <cellStyle name="Comma 257 2" xfId="18136"/>
    <cellStyle name="Comma 257 3" xfId="18872"/>
    <cellStyle name="Comma 258" xfId="17380"/>
    <cellStyle name="Comma 258 2" xfId="18185"/>
    <cellStyle name="Comma 258 3" xfId="18921"/>
    <cellStyle name="Comma 259" xfId="17419"/>
    <cellStyle name="Comma 259 2" xfId="18224"/>
    <cellStyle name="Comma 259 3" xfId="18960"/>
    <cellStyle name="Comma 26" xfId="405"/>
    <cellStyle name="Comma 26 10" xfId="406"/>
    <cellStyle name="Comma 26 10 2" xfId="6585"/>
    <cellStyle name="Comma 26 10 2 2" xfId="6586"/>
    <cellStyle name="Comma 26 10 3" xfId="6587"/>
    <cellStyle name="Comma 26 11" xfId="407"/>
    <cellStyle name="Comma 26 11 2" xfId="6588"/>
    <cellStyle name="Comma 26 11 2 2" xfId="6589"/>
    <cellStyle name="Comma 26 11 3" xfId="6590"/>
    <cellStyle name="Comma 26 12" xfId="408"/>
    <cellStyle name="Comma 26 12 2" xfId="6591"/>
    <cellStyle name="Comma 26 12 2 2" xfId="6592"/>
    <cellStyle name="Comma 26 12 3" xfId="6593"/>
    <cellStyle name="Comma 26 13" xfId="409"/>
    <cellStyle name="Comma 26 13 2" xfId="6594"/>
    <cellStyle name="Comma 26 13 2 2" xfId="6595"/>
    <cellStyle name="Comma 26 13 3" xfId="6596"/>
    <cellStyle name="Comma 26 14" xfId="410"/>
    <cellStyle name="Comma 26 14 2" xfId="6597"/>
    <cellStyle name="Comma 26 14 2 2" xfId="6598"/>
    <cellStyle name="Comma 26 14 3" xfId="6599"/>
    <cellStyle name="Comma 26 15" xfId="411"/>
    <cellStyle name="Comma 26 15 2" xfId="6600"/>
    <cellStyle name="Comma 26 15 2 2" xfId="6601"/>
    <cellStyle name="Comma 26 15 3" xfId="6602"/>
    <cellStyle name="Comma 26 16" xfId="6603"/>
    <cellStyle name="Comma 26 16 2" xfId="6604"/>
    <cellStyle name="Comma 26 16 2 2" xfId="6605"/>
    <cellStyle name="Comma 26 16 3" xfId="6606"/>
    <cellStyle name="Comma 26 17" xfId="6607"/>
    <cellStyle name="Comma 26 17 2" xfId="6608"/>
    <cellStyle name="Comma 26 17 2 2" xfId="6609"/>
    <cellStyle name="Comma 26 17 3" xfId="6610"/>
    <cellStyle name="Comma 26 18" xfId="6611"/>
    <cellStyle name="Comma 26 18 2" xfId="6612"/>
    <cellStyle name="Comma 26 18 2 2" xfId="6613"/>
    <cellStyle name="Comma 26 18 3" xfId="6614"/>
    <cellStyle name="Comma 26 19" xfId="6615"/>
    <cellStyle name="Comma 26 19 2" xfId="6616"/>
    <cellStyle name="Comma 26 19 2 2" xfId="6617"/>
    <cellStyle name="Comma 26 19 3" xfId="6618"/>
    <cellStyle name="Comma 26 2" xfId="412"/>
    <cellStyle name="Comma 26 2 2" xfId="6619"/>
    <cellStyle name="Comma 26 2 2 2" xfId="6620"/>
    <cellStyle name="Comma 26 2 3" xfId="6621"/>
    <cellStyle name="Comma 26 2 3 2" xfId="6622"/>
    <cellStyle name="Comma 26 2 3 2 2" xfId="6623"/>
    <cellStyle name="Comma 26 2 3 3" xfId="6624"/>
    <cellStyle name="Comma 26 2 4" xfId="6625"/>
    <cellStyle name="Comma 26 2 4 2" xfId="6626"/>
    <cellStyle name="Comma 26 2 5" xfId="6627"/>
    <cellStyle name="Comma 26 2 6" xfId="6628"/>
    <cellStyle name="Comma 26 20" xfId="6629"/>
    <cellStyle name="Comma 26 20 2" xfId="6630"/>
    <cellStyle name="Comma 26 20 2 2" xfId="6631"/>
    <cellStyle name="Comma 26 20 3" xfId="6632"/>
    <cellStyle name="Comma 26 21" xfId="6633"/>
    <cellStyle name="Comma 26 21 2" xfId="6634"/>
    <cellStyle name="Comma 26 21 2 2" xfId="6635"/>
    <cellStyle name="Comma 26 21 3" xfId="6636"/>
    <cellStyle name="Comma 26 22" xfId="6637"/>
    <cellStyle name="Comma 26 22 2" xfId="6638"/>
    <cellStyle name="Comma 26 22 2 2" xfId="6639"/>
    <cellStyle name="Comma 26 22 3" xfId="6640"/>
    <cellStyle name="Comma 26 23" xfId="6641"/>
    <cellStyle name="Comma 26 23 2" xfId="6642"/>
    <cellStyle name="Comma 26 23 2 2" xfId="6643"/>
    <cellStyle name="Comma 26 23 3" xfId="6644"/>
    <cellStyle name="Comma 26 24" xfId="6645"/>
    <cellStyle name="Comma 26 24 2" xfId="6646"/>
    <cellStyle name="Comma 26 24 2 2" xfId="6647"/>
    <cellStyle name="Comma 26 24 3" xfId="6648"/>
    <cellStyle name="Comma 26 25" xfId="6649"/>
    <cellStyle name="Comma 26 25 2" xfId="6650"/>
    <cellStyle name="Comma 26 25 2 2" xfId="6651"/>
    <cellStyle name="Comma 26 25 3" xfId="6652"/>
    <cellStyle name="Comma 26 26" xfId="6653"/>
    <cellStyle name="Comma 26 26 2" xfId="6654"/>
    <cellStyle name="Comma 26 26 2 2" xfId="6655"/>
    <cellStyle name="Comma 26 26 3" xfId="6656"/>
    <cellStyle name="Comma 26 27" xfId="6657"/>
    <cellStyle name="Comma 26 27 2" xfId="6658"/>
    <cellStyle name="Comma 26 27 2 2" xfId="6659"/>
    <cellStyle name="Comma 26 27 3" xfId="6660"/>
    <cellStyle name="Comma 26 28" xfId="6661"/>
    <cellStyle name="Comma 26 28 2" xfId="6662"/>
    <cellStyle name="Comma 26 28 2 2" xfId="6663"/>
    <cellStyle name="Comma 26 28 3" xfId="6664"/>
    <cellStyle name="Comma 26 29" xfId="6665"/>
    <cellStyle name="Comma 26 29 2" xfId="6666"/>
    <cellStyle name="Comma 26 3" xfId="413"/>
    <cellStyle name="Comma 26 3 2" xfId="6667"/>
    <cellStyle name="Comma 26 3 2 2" xfId="6668"/>
    <cellStyle name="Comma 26 3 3" xfId="6669"/>
    <cellStyle name="Comma 26 3 3 2" xfId="6670"/>
    <cellStyle name="Comma 26 3 3 2 2" xfId="6671"/>
    <cellStyle name="Comma 26 3 3 3" xfId="6672"/>
    <cellStyle name="Comma 26 3 4" xfId="6673"/>
    <cellStyle name="Comma 26 30" xfId="6674"/>
    <cellStyle name="Comma 26 30 2" xfId="6675"/>
    <cellStyle name="Comma 26 30 2 2" xfId="6676"/>
    <cellStyle name="Comma 26 30 3" xfId="6677"/>
    <cellStyle name="Comma 26 31" xfId="6678"/>
    <cellStyle name="Comma 26 31 2" xfId="6679"/>
    <cellStyle name="Comma 26 32" xfId="6680"/>
    <cellStyle name="Comma 26 32 2" xfId="6681"/>
    <cellStyle name="Comma 26 33" xfId="6682"/>
    <cellStyle name="Comma 26 34" xfId="6683"/>
    <cellStyle name="Comma 26 35" xfId="16106"/>
    <cellStyle name="Comma 26 4" xfId="414"/>
    <cellStyle name="Comma 26 4 2" xfId="6684"/>
    <cellStyle name="Comma 26 4 2 2" xfId="6685"/>
    <cellStyle name="Comma 26 4 3" xfId="6686"/>
    <cellStyle name="Comma 26 4 3 2" xfId="6687"/>
    <cellStyle name="Comma 26 4 3 2 2" xfId="6688"/>
    <cellStyle name="Comma 26 4 3 3" xfId="6689"/>
    <cellStyle name="Comma 26 4 4" xfId="6690"/>
    <cellStyle name="Comma 26 5" xfId="415"/>
    <cellStyle name="Comma 26 5 2" xfId="6691"/>
    <cellStyle name="Comma 26 5 2 2" xfId="6692"/>
    <cellStyle name="Comma 26 5 3" xfId="6693"/>
    <cellStyle name="Comma 26 5 3 2" xfId="6694"/>
    <cellStyle name="Comma 26 5 3 2 2" xfId="6695"/>
    <cellStyle name="Comma 26 5 3 3" xfId="6696"/>
    <cellStyle name="Comma 26 5 4" xfId="6697"/>
    <cellStyle name="Comma 26 6" xfId="416"/>
    <cellStyle name="Comma 26 6 2" xfId="6698"/>
    <cellStyle name="Comma 26 6 2 2" xfId="6699"/>
    <cellStyle name="Comma 26 6 3" xfId="6700"/>
    <cellStyle name="Comma 26 7" xfId="417"/>
    <cellStyle name="Comma 26 7 2" xfId="6701"/>
    <cellStyle name="Comma 26 7 2 2" xfId="6702"/>
    <cellStyle name="Comma 26 7 3" xfId="6703"/>
    <cellStyle name="Comma 26 8" xfId="418"/>
    <cellStyle name="Comma 26 8 2" xfId="6704"/>
    <cellStyle name="Comma 26 8 2 2" xfId="6705"/>
    <cellStyle name="Comma 26 8 3" xfId="6706"/>
    <cellStyle name="Comma 26 9" xfId="419"/>
    <cellStyle name="Comma 26 9 2" xfId="6707"/>
    <cellStyle name="Comma 26 9 2 2" xfId="6708"/>
    <cellStyle name="Comma 26 9 3" xfId="6709"/>
    <cellStyle name="Comma 260" xfId="17392"/>
    <cellStyle name="Comma 260 2" xfId="18197"/>
    <cellStyle name="Comma 260 3" xfId="18933"/>
    <cellStyle name="Comma 261" xfId="17364"/>
    <cellStyle name="Comma 261 2" xfId="18169"/>
    <cellStyle name="Comma 261 3" xfId="18905"/>
    <cellStyle name="Comma 262" xfId="17731"/>
    <cellStyle name="Comma 262 2" xfId="18536"/>
    <cellStyle name="Comma 262 3" xfId="19258"/>
    <cellStyle name="Comma 263" xfId="17307"/>
    <cellStyle name="Comma 263 2" xfId="18112"/>
    <cellStyle name="Comma 263 3" xfId="18848"/>
    <cellStyle name="Comma 264" xfId="17515"/>
    <cellStyle name="Comma 264 2" xfId="18320"/>
    <cellStyle name="Comma 264 3" xfId="19056"/>
    <cellStyle name="Comma 265" xfId="17553"/>
    <cellStyle name="Comma 265 2" xfId="18358"/>
    <cellStyle name="Comma 265 3" xfId="19094"/>
    <cellStyle name="Comma 266" xfId="17661"/>
    <cellStyle name="Comma 266 2" xfId="18466"/>
    <cellStyle name="Comma 266 3" xfId="19188"/>
    <cellStyle name="Comma 267" xfId="17406"/>
    <cellStyle name="Comma 267 2" xfId="18211"/>
    <cellStyle name="Comma 267 3" xfId="18947"/>
    <cellStyle name="Comma 268" xfId="17401"/>
    <cellStyle name="Comma 268 2" xfId="18206"/>
    <cellStyle name="Comma 268 3" xfId="18942"/>
    <cellStyle name="Comma 269" xfId="17415"/>
    <cellStyle name="Comma 269 2" xfId="18220"/>
    <cellStyle name="Comma 269 3" xfId="18956"/>
    <cellStyle name="Comma 27" xfId="420"/>
    <cellStyle name="Comma 27 10" xfId="421"/>
    <cellStyle name="Comma 27 10 2" xfId="6710"/>
    <cellStyle name="Comma 27 10 2 2" xfId="6711"/>
    <cellStyle name="Comma 27 10 3" xfId="6712"/>
    <cellStyle name="Comma 27 11" xfId="422"/>
    <cellStyle name="Comma 27 11 2" xfId="6713"/>
    <cellStyle name="Comma 27 11 2 2" xfId="6714"/>
    <cellStyle name="Comma 27 11 3" xfId="6715"/>
    <cellStyle name="Comma 27 12" xfId="423"/>
    <cellStyle name="Comma 27 12 2" xfId="6716"/>
    <cellStyle name="Comma 27 12 2 2" xfId="6717"/>
    <cellStyle name="Comma 27 12 3" xfId="6718"/>
    <cellStyle name="Comma 27 13" xfId="424"/>
    <cellStyle name="Comma 27 13 2" xfId="6719"/>
    <cellStyle name="Comma 27 13 2 2" xfId="6720"/>
    <cellStyle name="Comma 27 13 3" xfId="6721"/>
    <cellStyle name="Comma 27 14" xfId="425"/>
    <cellStyle name="Comma 27 14 2" xfId="6722"/>
    <cellStyle name="Comma 27 14 2 2" xfId="6723"/>
    <cellStyle name="Comma 27 14 3" xfId="6724"/>
    <cellStyle name="Comma 27 15" xfId="426"/>
    <cellStyle name="Comma 27 15 2" xfId="6725"/>
    <cellStyle name="Comma 27 15 2 2" xfId="6726"/>
    <cellStyle name="Comma 27 15 3" xfId="6727"/>
    <cellStyle name="Comma 27 16" xfId="6728"/>
    <cellStyle name="Comma 27 16 2" xfId="6729"/>
    <cellStyle name="Comma 27 16 2 2" xfId="6730"/>
    <cellStyle name="Comma 27 16 3" xfId="6731"/>
    <cellStyle name="Comma 27 17" xfId="6732"/>
    <cellStyle name="Comma 27 17 2" xfId="6733"/>
    <cellStyle name="Comma 27 17 2 2" xfId="6734"/>
    <cellStyle name="Comma 27 17 3" xfId="6735"/>
    <cellStyle name="Comma 27 18" xfId="6736"/>
    <cellStyle name="Comma 27 18 2" xfId="6737"/>
    <cellStyle name="Comma 27 18 2 2" xfId="6738"/>
    <cellStyle name="Comma 27 18 3" xfId="6739"/>
    <cellStyle name="Comma 27 19" xfId="6740"/>
    <cellStyle name="Comma 27 19 2" xfId="6741"/>
    <cellStyle name="Comma 27 19 2 2" xfId="6742"/>
    <cellStyle name="Comma 27 19 3" xfId="6743"/>
    <cellStyle name="Comma 27 2" xfId="427"/>
    <cellStyle name="Comma 27 2 2" xfId="6744"/>
    <cellStyle name="Comma 27 2 2 2" xfId="6745"/>
    <cellStyle name="Comma 27 2 3" xfId="6746"/>
    <cellStyle name="Comma 27 2 3 2" xfId="6747"/>
    <cellStyle name="Comma 27 2 3 2 2" xfId="6748"/>
    <cellStyle name="Comma 27 2 3 3" xfId="6749"/>
    <cellStyle name="Comma 27 2 4" xfId="6750"/>
    <cellStyle name="Comma 27 2 4 2" xfId="6751"/>
    <cellStyle name="Comma 27 2 5" xfId="6752"/>
    <cellStyle name="Comma 27 2 6" xfId="6753"/>
    <cellStyle name="Comma 27 20" xfId="6754"/>
    <cellStyle name="Comma 27 20 2" xfId="6755"/>
    <cellStyle name="Comma 27 20 2 2" xfId="6756"/>
    <cellStyle name="Comma 27 20 3" xfId="6757"/>
    <cellStyle name="Comma 27 21" xfId="6758"/>
    <cellStyle name="Comma 27 21 2" xfId="6759"/>
    <cellStyle name="Comma 27 21 2 2" xfId="6760"/>
    <cellStyle name="Comma 27 21 3" xfId="6761"/>
    <cellStyle name="Comma 27 22" xfId="6762"/>
    <cellStyle name="Comma 27 22 2" xfId="6763"/>
    <cellStyle name="Comma 27 22 2 2" xfId="6764"/>
    <cellStyle name="Comma 27 22 3" xfId="6765"/>
    <cellStyle name="Comma 27 23" xfId="6766"/>
    <cellStyle name="Comma 27 23 2" xfId="6767"/>
    <cellStyle name="Comma 27 23 2 2" xfId="6768"/>
    <cellStyle name="Comma 27 23 3" xfId="6769"/>
    <cellStyle name="Comma 27 24" xfId="6770"/>
    <cellStyle name="Comma 27 24 2" xfId="6771"/>
    <cellStyle name="Comma 27 24 2 2" xfId="6772"/>
    <cellStyle name="Comma 27 24 3" xfId="6773"/>
    <cellStyle name="Comma 27 25" xfId="6774"/>
    <cellStyle name="Comma 27 25 2" xfId="6775"/>
    <cellStyle name="Comma 27 25 2 2" xfId="6776"/>
    <cellStyle name="Comma 27 25 3" xfId="6777"/>
    <cellStyle name="Comma 27 26" xfId="6778"/>
    <cellStyle name="Comma 27 26 2" xfId="6779"/>
    <cellStyle name="Comma 27 26 2 2" xfId="6780"/>
    <cellStyle name="Comma 27 26 3" xfId="6781"/>
    <cellStyle name="Comma 27 27" xfId="6782"/>
    <cellStyle name="Comma 27 27 2" xfId="6783"/>
    <cellStyle name="Comma 27 27 2 2" xfId="6784"/>
    <cellStyle name="Comma 27 27 3" xfId="6785"/>
    <cellStyle name="Comma 27 28" xfId="6786"/>
    <cellStyle name="Comma 27 28 2" xfId="6787"/>
    <cellStyle name="Comma 27 28 2 2" xfId="6788"/>
    <cellStyle name="Comma 27 28 3" xfId="6789"/>
    <cellStyle name="Comma 27 29" xfId="6790"/>
    <cellStyle name="Comma 27 29 2" xfId="6791"/>
    <cellStyle name="Comma 27 3" xfId="428"/>
    <cellStyle name="Comma 27 3 2" xfId="6792"/>
    <cellStyle name="Comma 27 3 2 2" xfId="6793"/>
    <cellStyle name="Comma 27 3 3" xfId="6794"/>
    <cellStyle name="Comma 27 3 3 2" xfId="6795"/>
    <cellStyle name="Comma 27 3 3 2 2" xfId="6796"/>
    <cellStyle name="Comma 27 3 3 3" xfId="6797"/>
    <cellStyle name="Comma 27 3 4" xfId="6798"/>
    <cellStyle name="Comma 27 30" xfId="6799"/>
    <cellStyle name="Comma 27 30 2" xfId="6800"/>
    <cellStyle name="Comma 27 30 2 2" xfId="6801"/>
    <cellStyle name="Comma 27 30 3" xfId="6802"/>
    <cellStyle name="Comma 27 31" xfId="6803"/>
    <cellStyle name="Comma 27 31 2" xfId="6804"/>
    <cellStyle name="Comma 27 32" xfId="6805"/>
    <cellStyle name="Comma 27 32 2" xfId="6806"/>
    <cellStyle name="Comma 27 33" xfId="6807"/>
    <cellStyle name="Comma 27 34" xfId="6808"/>
    <cellStyle name="Comma 27 35" xfId="16107"/>
    <cellStyle name="Comma 27 4" xfId="429"/>
    <cellStyle name="Comma 27 4 2" xfId="6809"/>
    <cellStyle name="Comma 27 4 2 2" xfId="6810"/>
    <cellStyle name="Comma 27 4 3" xfId="6811"/>
    <cellStyle name="Comma 27 4 3 2" xfId="6812"/>
    <cellStyle name="Comma 27 4 3 2 2" xfId="6813"/>
    <cellStyle name="Comma 27 4 3 3" xfId="6814"/>
    <cellStyle name="Comma 27 4 4" xfId="6815"/>
    <cellStyle name="Comma 27 5" xfId="430"/>
    <cellStyle name="Comma 27 5 2" xfId="6816"/>
    <cellStyle name="Comma 27 5 2 2" xfId="6817"/>
    <cellStyle name="Comma 27 5 3" xfId="6818"/>
    <cellStyle name="Comma 27 5 3 2" xfId="6819"/>
    <cellStyle name="Comma 27 5 3 2 2" xfId="6820"/>
    <cellStyle name="Comma 27 5 3 3" xfId="6821"/>
    <cellStyle name="Comma 27 5 4" xfId="6822"/>
    <cellStyle name="Comma 27 6" xfId="431"/>
    <cellStyle name="Comma 27 6 2" xfId="6823"/>
    <cellStyle name="Comma 27 6 2 2" xfId="6824"/>
    <cellStyle name="Comma 27 6 3" xfId="6825"/>
    <cellStyle name="Comma 27 7" xfId="432"/>
    <cellStyle name="Comma 27 7 2" xfId="6826"/>
    <cellStyle name="Comma 27 7 2 2" xfId="6827"/>
    <cellStyle name="Comma 27 7 3" xfId="6828"/>
    <cellStyle name="Comma 27 8" xfId="433"/>
    <cellStyle name="Comma 27 8 2" xfId="6829"/>
    <cellStyle name="Comma 27 8 2 2" xfId="6830"/>
    <cellStyle name="Comma 27 8 3" xfId="6831"/>
    <cellStyle name="Comma 27 9" xfId="434"/>
    <cellStyle name="Comma 27 9 2" xfId="6832"/>
    <cellStyle name="Comma 27 9 2 2" xfId="6833"/>
    <cellStyle name="Comma 27 9 3" xfId="6834"/>
    <cellStyle name="Comma 270" xfId="17438"/>
    <cellStyle name="Comma 270 2" xfId="18243"/>
    <cellStyle name="Comma 270 3" xfId="18979"/>
    <cellStyle name="Comma 271" xfId="17327"/>
    <cellStyle name="Comma 271 2" xfId="18132"/>
    <cellStyle name="Comma 271 3" xfId="18868"/>
    <cellStyle name="Comma 272" xfId="17371"/>
    <cellStyle name="Comma 272 2" xfId="18176"/>
    <cellStyle name="Comma 272 3" xfId="18912"/>
    <cellStyle name="Comma 273" xfId="17713"/>
    <cellStyle name="Comma 273 2" xfId="18518"/>
    <cellStyle name="Comma 273 3" xfId="19240"/>
    <cellStyle name="Comma 274" xfId="17480"/>
    <cellStyle name="Comma 274 2" xfId="18285"/>
    <cellStyle name="Comma 274 3" xfId="19021"/>
    <cellStyle name="Comma 275" xfId="17497"/>
    <cellStyle name="Comma 275 2" xfId="18302"/>
    <cellStyle name="Comma 275 3" xfId="19038"/>
    <cellStyle name="Comma 276" xfId="17455"/>
    <cellStyle name="Comma 276 2" xfId="18260"/>
    <cellStyle name="Comma 276 3" xfId="18996"/>
    <cellStyle name="Comma 277" xfId="17425"/>
    <cellStyle name="Comma 277 2" xfId="18230"/>
    <cellStyle name="Comma 277 3" xfId="18966"/>
    <cellStyle name="Comma 278" xfId="17321"/>
    <cellStyle name="Comma 278 2" xfId="18126"/>
    <cellStyle name="Comma 278 3" xfId="18862"/>
    <cellStyle name="Comma 279" xfId="17566"/>
    <cellStyle name="Comma 279 2" xfId="18371"/>
    <cellStyle name="Comma 279 3" xfId="19107"/>
    <cellStyle name="Comma 28" xfId="435"/>
    <cellStyle name="Comma 28 10" xfId="436"/>
    <cellStyle name="Comma 28 10 2" xfId="6835"/>
    <cellStyle name="Comma 28 10 2 2" xfId="6836"/>
    <cellStyle name="Comma 28 10 3" xfId="6837"/>
    <cellStyle name="Comma 28 11" xfId="437"/>
    <cellStyle name="Comma 28 11 2" xfId="6838"/>
    <cellStyle name="Comma 28 11 2 2" xfId="6839"/>
    <cellStyle name="Comma 28 11 3" xfId="6840"/>
    <cellStyle name="Comma 28 12" xfId="438"/>
    <cellStyle name="Comma 28 12 2" xfId="6841"/>
    <cellStyle name="Comma 28 12 2 2" xfId="6842"/>
    <cellStyle name="Comma 28 12 3" xfId="6843"/>
    <cellStyle name="Comma 28 13" xfId="439"/>
    <cellStyle name="Comma 28 13 2" xfId="6844"/>
    <cellStyle name="Comma 28 13 2 2" xfId="6845"/>
    <cellStyle name="Comma 28 13 3" xfId="6846"/>
    <cellStyle name="Comma 28 14" xfId="440"/>
    <cellStyle name="Comma 28 14 2" xfId="6847"/>
    <cellStyle name="Comma 28 14 2 2" xfId="6848"/>
    <cellStyle name="Comma 28 14 3" xfId="6849"/>
    <cellStyle name="Comma 28 15" xfId="441"/>
    <cellStyle name="Comma 28 15 2" xfId="6850"/>
    <cellStyle name="Comma 28 15 2 2" xfId="6851"/>
    <cellStyle name="Comma 28 15 3" xfId="6852"/>
    <cellStyle name="Comma 28 16" xfId="6853"/>
    <cellStyle name="Comma 28 16 2" xfId="6854"/>
    <cellStyle name="Comma 28 16 2 2" xfId="6855"/>
    <cellStyle name="Comma 28 16 3" xfId="6856"/>
    <cellStyle name="Comma 28 17" xfId="6857"/>
    <cellStyle name="Comma 28 17 2" xfId="6858"/>
    <cellStyle name="Comma 28 17 2 2" xfId="6859"/>
    <cellStyle name="Comma 28 17 3" xfId="6860"/>
    <cellStyle name="Comma 28 18" xfId="6861"/>
    <cellStyle name="Comma 28 18 2" xfId="6862"/>
    <cellStyle name="Comma 28 18 2 2" xfId="6863"/>
    <cellStyle name="Comma 28 18 3" xfId="6864"/>
    <cellStyle name="Comma 28 19" xfId="6865"/>
    <cellStyle name="Comma 28 19 2" xfId="6866"/>
    <cellStyle name="Comma 28 19 2 2" xfId="6867"/>
    <cellStyle name="Comma 28 19 3" xfId="6868"/>
    <cellStyle name="Comma 28 2" xfId="442"/>
    <cellStyle name="Comma 28 2 2" xfId="6869"/>
    <cellStyle name="Comma 28 2 2 2" xfId="6870"/>
    <cellStyle name="Comma 28 2 3" xfId="6871"/>
    <cellStyle name="Comma 28 2 3 2" xfId="6872"/>
    <cellStyle name="Comma 28 2 3 2 2" xfId="6873"/>
    <cellStyle name="Comma 28 2 3 3" xfId="6874"/>
    <cellStyle name="Comma 28 2 4" xfId="6875"/>
    <cellStyle name="Comma 28 20" xfId="6876"/>
    <cellStyle name="Comma 28 20 2" xfId="6877"/>
    <cellStyle name="Comma 28 20 2 2" xfId="6878"/>
    <cellStyle name="Comma 28 20 3" xfId="6879"/>
    <cellStyle name="Comma 28 21" xfId="6880"/>
    <cellStyle name="Comma 28 21 2" xfId="6881"/>
    <cellStyle name="Comma 28 21 2 2" xfId="6882"/>
    <cellStyle name="Comma 28 21 3" xfId="6883"/>
    <cellStyle name="Comma 28 22" xfId="6884"/>
    <cellStyle name="Comma 28 22 2" xfId="6885"/>
    <cellStyle name="Comma 28 22 2 2" xfId="6886"/>
    <cellStyle name="Comma 28 22 3" xfId="6887"/>
    <cellStyle name="Comma 28 23" xfId="6888"/>
    <cellStyle name="Comma 28 23 2" xfId="6889"/>
    <cellStyle name="Comma 28 23 2 2" xfId="6890"/>
    <cellStyle name="Comma 28 23 3" xfId="6891"/>
    <cellStyle name="Comma 28 24" xfId="6892"/>
    <cellStyle name="Comma 28 24 2" xfId="6893"/>
    <cellStyle name="Comma 28 24 2 2" xfId="6894"/>
    <cellStyle name="Comma 28 24 3" xfId="6895"/>
    <cellStyle name="Comma 28 25" xfId="6896"/>
    <cellStyle name="Comma 28 25 2" xfId="6897"/>
    <cellStyle name="Comma 28 25 2 2" xfId="6898"/>
    <cellStyle name="Comma 28 25 3" xfId="6899"/>
    <cellStyle name="Comma 28 26" xfId="6900"/>
    <cellStyle name="Comma 28 26 2" xfId="6901"/>
    <cellStyle name="Comma 28 26 2 2" xfId="6902"/>
    <cellStyle name="Comma 28 26 3" xfId="6903"/>
    <cellStyle name="Comma 28 27" xfId="6904"/>
    <cellStyle name="Comma 28 27 2" xfId="6905"/>
    <cellStyle name="Comma 28 27 2 2" xfId="6906"/>
    <cellStyle name="Comma 28 27 3" xfId="6907"/>
    <cellStyle name="Comma 28 28" xfId="6908"/>
    <cellStyle name="Comma 28 28 2" xfId="6909"/>
    <cellStyle name="Comma 28 28 2 2" xfId="6910"/>
    <cellStyle name="Comma 28 28 3" xfId="6911"/>
    <cellStyle name="Comma 28 29" xfId="6912"/>
    <cellStyle name="Comma 28 29 2" xfId="6913"/>
    <cellStyle name="Comma 28 3" xfId="443"/>
    <cellStyle name="Comma 28 3 2" xfId="6914"/>
    <cellStyle name="Comma 28 3 2 2" xfId="6915"/>
    <cellStyle name="Comma 28 3 3" xfId="6916"/>
    <cellStyle name="Comma 28 3 3 2" xfId="6917"/>
    <cellStyle name="Comma 28 3 3 2 2" xfId="6918"/>
    <cellStyle name="Comma 28 3 3 3" xfId="6919"/>
    <cellStyle name="Comma 28 3 4" xfId="6920"/>
    <cellStyle name="Comma 28 30" xfId="6921"/>
    <cellStyle name="Comma 28 30 2" xfId="6922"/>
    <cellStyle name="Comma 28 30 2 2" xfId="6923"/>
    <cellStyle name="Comma 28 30 3" xfId="6924"/>
    <cellStyle name="Comma 28 31" xfId="6925"/>
    <cellStyle name="Comma 28 31 2" xfId="6926"/>
    <cellStyle name="Comma 28 32" xfId="6927"/>
    <cellStyle name="Comma 28 33" xfId="6928"/>
    <cellStyle name="Comma 28 34" xfId="16108"/>
    <cellStyle name="Comma 28 4" xfId="444"/>
    <cellStyle name="Comma 28 4 2" xfId="6929"/>
    <cellStyle name="Comma 28 4 2 2" xfId="6930"/>
    <cellStyle name="Comma 28 4 3" xfId="6931"/>
    <cellStyle name="Comma 28 4 3 2" xfId="6932"/>
    <cellStyle name="Comma 28 4 3 2 2" xfId="6933"/>
    <cellStyle name="Comma 28 4 3 3" xfId="6934"/>
    <cellStyle name="Comma 28 4 4" xfId="6935"/>
    <cellStyle name="Comma 28 5" xfId="445"/>
    <cellStyle name="Comma 28 5 2" xfId="6936"/>
    <cellStyle name="Comma 28 5 2 2" xfId="6937"/>
    <cellStyle name="Comma 28 5 3" xfId="6938"/>
    <cellStyle name="Comma 28 5 3 2" xfId="6939"/>
    <cellStyle name="Comma 28 5 3 2 2" xfId="6940"/>
    <cellStyle name="Comma 28 5 3 3" xfId="6941"/>
    <cellStyle name="Comma 28 5 4" xfId="6942"/>
    <cellStyle name="Comma 28 6" xfId="446"/>
    <cellStyle name="Comma 28 6 2" xfId="6943"/>
    <cellStyle name="Comma 28 6 2 2" xfId="6944"/>
    <cellStyle name="Comma 28 6 3" xfId="6945"/>
    <cellStyle name="Comma 28 7" xfId="447"/>
    <cellStyle name="Comma 28 7 2" xfId="6946"/>
    <cellStyle name="Comma 28 7 2 2" xfId="6947"/>
    <cellStyle name="Comma 28 7 3" xfId="6948"/>
    <cellStyle name="Comma 28 8" xfId="448"/>
    <cellStyle name="Comma 28 8 2" xfId="6949"/>
    <cellStyle name="Comma 28 8 2 2" xfId="6950"/>
    <cellStyle name="Comma 28 8 3" xfId="6951"/>
    <cellStyle name="Comma 28 9" xfId="449"/>
    <cellStyle name="Comma 28 9 2" xfId="6952"/>
    <cellStyle name="Comma 28 9 2 2" xfId="6953"/>
    <cellStyle name="Comma 28 9 3" xfId="6954"/>
    <cellStyle name="Comma 280" xfId="17367"/>
    <cellStyle name="Comma 280 2" xfId="18172"/>
    <cellStyle name="Comma 280 3" xfId="18908"/>
    <cellStyle name="Comma 281" xfId="17351"/>
    <cellStyle name="Comma 281 2" xfId="18156"/>
    <cellStyle name="Comma 281 3" xfId="18892"/>
    <cellStyle name="Comma 282" xfId="17666"/>
    <cellStyle name="Comma 282 2" xfId="18471"/>
    <cellStyle name="Comma 282 3" xfId="19193"/>
    <cellStyle name="Comma 283" xfId="17311"/>
    <cellStyle name="Comma 283 2" xfId="18116"/>
    <cellStyle name="Comma 283 3" xfId="18852"/>
    <cellStyle name="Comma 284" xfId="17678"/>
    <cellStyle name="Comma 284 2" xfId="18483"/>
    <cellStyle name="Comma 284 3" xfId="19205"/>
    <cellStyle name="Comma 285" xfId="17757"/>
    <cellStyle name="Comma 285 2" xfId="18562"/>
    <cellStyle name="Comma 285 3" xfId="19284"/>
    <cellStyle name="Comma 286" xfId="17484"/>
    <cellStyle name="Comma 286 2" xfId="18289"/>
    <cellStyle name="Comma 286 3" xfId="19025"/>
    <cellStyle name="Comma 287" xfId="17446"/>
    <cellStyle name="Comma 287 2" xfId="18251"/>
    <cellStyle name="Comma 287 3" xfId="18987"/>
    <cellStyle name="Comma 288" xfId="17740"/>
    <cellStyle name="Comma 288 2" xfId="18545"/>
    <cellStyle name="Comma 288 3" xfId="19267"/>
    <cellStyle name="Comma 289" xfId="17500"/>
    <cellStyle name="Comma 289 2" xfId="18305"/>
    <cellStyle name="Comma 289 3" xfId="19041"/>
    <cellStyle name="Comma 29" xfId="450"/>
    <cellStyle name="Comma 29 10" xfId="451"/>
    <cellStyle name="Comma 29 10 2" xfId="6955"/>
    <cellStyle name="Comma 29 10 2 2" xfId="6956"/>
    <cellStyle name="Comma 29 10 3" xfId="6957"/>
    <cellStyle name="Comma 29 11" xfId="452"/>
    <cellStyle name="Comma 29 11 2" xfId="6958"/>
    <cellStyle name="Comma 29 11 2 2" xfId="6959"/>
    <cellStyle name="Comma 29 11 3" xfId="6960"/>
    <cellStyle name="Comma 29 12" xfId="453"/>
    <cellStyle name="Comma 29 12 2" xfId="6961"/>
    <cellStyle name="Comma 29 12 2 2" xfId="6962"/>
    <cellStyle name="Comma 29 12 3" xfId="6963"/>
    <cellStyle name="Comma 29 13" xfId="454"/>
    <cellStyle name="Comma 29 13 2" xfId="6964"/>
    <cellStyle name="Comma 29 13 2 2" xfId="6965"/>
    <cellStyle name="Comma 29 13 3" xfId="6966"/>
    <cellStyle name="Comma 29 14" xfId="455"/>
    <cellStyle name="Comma 29 14 2" xfId="6967"/>
    <cellStyle name="Comma 29 14 2 2" xfId="6968"/>
    <cellStyle name="Comma 29 14 3" xfId="6969"/>
    <cellStyle name="Comma 29 15" xfId="456"/>
    <cellStyle name="Comma 29 15 2" xfId="6970"/>
    <cellStyle name="Comma 29 15 2 2" xfId="6971"/>
    <cellStyle name="Comma 29 15 3" xfId="6972"/>
    <cellStyle name="Comma 29 16" xfId="6973"/>
    <cellStyle name="Comma 29 16 2" xfId="6974"/>
    <cellStyle name="Comma 29 16 2 2" xfId="6975"/>
    <cellStyle name="Comma 29 16 3" xfId="6976"/>
    <cellStyle name="Comma 29 17" xfId="6977"/>
    <cellStyle name="Comma 29 17 2" xfId="6978"/>
    <cellStyle name="Comma 29 17 2 2" xfId="6979"/>
    <cellStyle name="Comma 29 17 3" xfId="6980"/>
    <cellStyle name="Comma 29 18" xfId="6981"/>
    <cellStyle name="Comma 29 18 2" xfId="6982"/>
    <cellStyle name="Comma 29 18 2 2" xfId="6983"/>
    <cellStyle name="Comma 29 18 3" xfId="6984"/>
    <cellStyle name="Comma 29 19" xfId="6985"/>
    <cellStyle name="Comma 29 19 2" xfId="6986"/>
    <cellStyle name="Comma 29 19 2 2" xfId="6987"/>
    <cellStyle name="Comma 29 19 3" xfId="6988"/>
    <cellStyle name="Comma 29 2" xfId="457"/>
    <cellStyle name="Comma 29 2 2" xfId="6989"/>
    <cellStyle name="Comma 29 2 2 2" xfId="6990"/>
    <cellStyle name="Comma 29 2 3" xfId="6991"/>
    <cellStyle name="Comma 29 2 3 2" xfId="6992"/>
    <cellStyle name="Comma 29 2 3 2 2" xfId="6993"/>
    <cellStyle name="Comma 29 2 3 3" xfId="6994"/>
    <cellStyle name="Comma 29 2 4" xfId="6995"/>
    <cellStyle name="Comma 29 20" xfId="6996"/>
    <cellStyle name="Comma 29 20 2" xfId="6997"/>
    <cellStyle name="Comma 29 20 2 2" xfId="6998"/>
    <cellStyle name="Comma 29 20 3" xfId="6999"/>
    <cellStyle name="Comma 29 21" xfId="7000"/>
    <cellStyle name="Comma 29 21 2" xfId="7001"/>
    <cellStyle name="Comma 29 21 2 2" xfId="7002"/>
    <cellStyle name="Comma 29 21 3" xfId="7003"/>
    <cellStyle name="Comma 29 22" xfId="7004"/>
    <cellStyle name="Comma 29 22 2" xfId="7005"/>
    <cellStyle name="Comma 29 22 2 2" xfId="7006"/>
    <cellStyle name="Comma 29 22 3" xfId="7007"/>
    <cellStyle name="Comma 29 23" xfId="7008"/>
    <cellStyle name="Comma 29 23 2" xfId="7009"/>
    <cellStyle name="Comma 29 23 2 2" xfId="7010"/>
    <cellStyle name="Comma 29 23 3" xfId="7011"/>
    <cellStyle name="Comma 29 24" xfId="7012"/>
    <cellStyle name="Comma 29 24 2" xfId="7013"/>
    <cellStyle name="Comma 29 24 2 2" xfId="7014"/>
    <cellStyle name="Comma 29 24 3" xfId="7015"/>
    <cellStyle name="Comma 29 25" xfId="7016"/>
    <cellStyle name="Comma 29 25 2" xfId="7017"/>
    <cellStyle name="Comma 29 25 2 2" xfId="7018"/>
    <cellStyle name="Comma 29 25 3" xfId="7019"/>
    <cellStyle name="Comma 29 26" xfId="7020"/>
    <cellStyle name="Comma 29 26 2" xfId="7021"/>
    <cellStyle name="Comma 29 26 2 2" xfId="7022"/>
    <cellStyle name="Comma 29 26 3" xfId="7023"/>
    <cellStyle name="Comma 29 27" xfId="7024"/>
    <cellStyle name="Comma 29 27 2" xfId="7025"/>
    <cellStyle name="Comma 29 27 2 2" xfId="7026"/>
    <cellStyle name="Comma 29 27 3" xfId="7027"/>
    <cellStyle name="Comma 29 28" xfId="7028"/>
    <cellStyle name="Comma 29 28 2" xfId="7029"/>
    <cellStyle name="Comma 29 28 2 2" xfId="7030"/>
    <cellStyle name="Comma 29 28 3" xfId="7031"/>
    <cellStyle name="Comma 29 29" xfId="7032"/>
    <cellStyle name="Comma 29 29 2" xfId="7033"/>
    <cellStyle name="Comma 29 3" xfId="458"/>
    <cellStyle name="Comma 29 3 2" xfId="7034"/>
    <cellStyle name="Comma 29 3 2 2" xfId="7035"/>
    <cellStyle name="Comma 29 3 3" xfId="7036"/>
    <cellStyle name="Comma 29 3 3 2" xfId="7037"/>
    <cellStyle name="Comma 29 3 3 2 2" xfId="7038"/>
    <cellStyle name="Comma 29 3 3 3" xfId="7039"/>
    <cellStyle name="Comma 29 3 4" xfId="7040"/>
    <cellStyle name="Comma 29 30" xfId="7041"/>
    <cellStyle name="Comma 29 30 2" xfId="7042"/>
    <cellStyle name="Comma 29 30 2 2" xfId="7043"/>
    <cellStyle name="Comma 29 30 3" xfId="7044"/>
    <cellStyle name="Comma 29 31" xfId="7045"/>
    <cellStyle name="Comma 29 31 2" xfId="7046"/>
    <cellStyle name="Comma 29 32" xfId="7047"/>
    <cellStyle name="Comma 29 33" xfId="7048"/>
    <cellStyle name="Comma 29 34" xfId="16109"/>
    <cellStyle name="Comma 29 4" xfId="459"/>
    <cellStyle name="Comma 29 4 2" xfId="7049"/>
    <cellStyle name="Comma 29 4 2 2" xfId="7050"/>
    <cellStyle name="Comma 29 4 3" xfId="7051"/>
    <cellStyle name="Comma 29 4 3 2" xfId="7052"/>
    <cellStyle name="Comma 29 4 3 2 2" xfId="7053"/>
    <cellStyle name="Comma 29 4 3 3" xfId="7054"/>
    <cellStyle name="Comma 29 4 4" xfId="7055"/>
    <cellStyle name="Comma 29 5" xfId="460"/>
    <cellStyle name="Comma 29 5 2" xfId="7056"/>
    <cellStyle name="Comma 29 5 2 2" xfId="7057"/>
    <cellStyle name="Comma 29 5 3" xfId="7058"/>
    <cellStyle name="Comma 29 5 3 2" xfId="7059"/>
    <cellStyle name="Comma 29 5 3 2 2" xfId="7060"/>
    <cellStyle name="Comma 29 5 3 3" xfId="7061"/>
    <cellStyle name="Comma 29 5 4" xfId="7062"/>
    <cellStyle name="Comma 29 6" xfId="461"/>
    <cellStyle name="Comma 29 6 2" xfId="7063"/>
    <cellStyle name="Comma 29 6 2 2" xfId="7064"/>
    <cellStyle name="Comma 29 6 3" xfId="7065"/>
    <cellStyle name="Comma 29 7" xfId="462"/>
    <cellStyle name="Comma 29 7 2" xfId="7066"/>
    <cellStyle name="Comma 29 7 2 2" xfId="7067"/>
    <cellStyle name="Comma 29 7 3" xfId="7068"/>
    <cellStyle name="Comma 29 8" xfId="463"/>
    <cellStyle name="Comma 29 8 2" xfId="7069"/>
    <cellStyle name="Comma 29 8 2 2" xfId="7070"/>
    <cellStyle name="Comma 29 8 3" xfId="7071"/>
    <cellStyle name="Comma 29 9" xfId="464"/>
    <cellStyle name="Comma 29 9 2" xfId="7072"/>
    <cellStyle name="Comma 29 9 2 2" xfId="7073"/>
    <cellStyle name="Comma 29 9 3" xfId="7074"/>
    <cellStyle name="Comma 290" xfId="17440"/>
    <cellStyle name="Comma 290 2" xfId="18245"/>
    <cellStyle name="Comma 290 3" xfId="18981"/>
    <cellStyle name="Comma 291" xfId="17756"/>
    <cellStyle name="Comma 291 2" xfId="18561"/>
    <cellStyle name="Comma 291 3" xfId="19283"/>
    <cellStyle name="Comma 292" xfId="17741"/>
    <cellStyle name="Comma 292 2" xfId="18546"/>
    <cellStyle name="Comma 292 3" xfId="19268"/>
    <cellStyle name="Comma 293" xfId="17488"/>
    <cellStyle name="Comma 293 2" xfId="18293"/>
    <cellStyle name="Comma 293 3" xfId="19029"/>
    <cellStyle name="Comma 294" xfId="17353"/>
    <cellStyle name="Comma 294 2" xfId="18158"/>
    <cellStyle name="Comma 294 3" xfId="18894"/>
    <cellStyle name="Comma 295" xfId="17703"/>
    <cellStyle name="Comma 295 2" xfId="18508"/>
    <cellStyle name="Comma 295 3" xfId="19230"/>
    <cellStyle name="Comma 296" xfId="17381"/>
    <cellStyle name="Comma 296 2" xfId="18186"/>
    <cellStyle name="Comma 296 3" xfId="18922"/>
    <cellStyle name="Comma 297" xfId="17745"/>
    <cellStyle name="Comma 297 2" xfId="18550"/>
    <cellStyle name="Comma 297 3" xfId="19272"/>
    <cellStyle name="Comma 298" xfId="17681"/>
    <cellStyle name="Comma 298 2" xfId="18486"/>
    <cellStyle name="Comma 298 3" xfId="19208"/>
    <cellStyle name="Comma 299" xfId="17728"/>
    <cellStyle name="Comma 299 2" xfId="18533"/>
    <cellStyle name="Comma 299 3" xfId="19255"/>
    <cellStyle name="Comma 3" xfId="465"/>
    <cellStyle name="Comma 3 10" xfId="7075"/>
    <cellStyle name="Comma 3 11" xfId="7076"/>
    <cellStyle name="Comma 3 12" xfId="7077"/>
    <cellStyle name="Comma 3 12 2" xfId="7078"/>
    <cellStyle name="Comma 3 13" xfId="7079"/>
    <cellStyle name="Comma 3 14" xfId="19884"/>
    <cellStyle name="Comma 3 2" xfId="466"/>
    <cellStyle name="Comma 3 2 10" xfId="467"/>
    <cellStyle name="Comma 3 2 11" xfId="468"/>
    <cellStyle name="Comma 3 2 12" xfId="469"/>
    <cellStyle name="Comma 3 2 13" xfId="470"/>
    <cellStyle name="Comma 3 2 14" xfId="471"/>
    <cellStyle name="Comma 3 2 15" xfId="472"/>
    <cellStyle name="Comma 3 2 16" xfId="7080"/>
    <cellStyle name="Comma 3 2 17" xfId="7081"/>
    <cellStyle name="Comma 3 2 18" xfId="16058"/>
    <cellStyle name="Comma 3 2 19" xfId="16332"/>
    <cellStyle name="Comma 3 2 2" xfId="473"/>
    <cellStyle name="Comma 3 2 2 2" xfId="7082"/>
    <cellStyle name="Comma 3 2 2 3" xfId="7083"/>
    <cellStyle name="Comma 3 2 2 4" xfId="16966"/>
    <cellStyle name="Comma 3 2 20" xfId="19766"/>
    <cellStyle name="Comma 3 2 3" xfId="474"/>
    <cellStyle name="Comma 3 2 3 2" xfId="7084"/>
    <cellStyle name="Comma 3 2 3 2 2" xfId="7085"/>
    <cellStyle name="Comma 3 2 3 2 2 2" xfId="7086"/>
    <cellStyle name="Comma 3 2 3 2 3" xfId="7087"/>
    <cellStyle name="Comma 3 2 3 3" xfId="7088"/>
    <cellStyle name="Comma 3 2 3 3 2" xfId="7089"/>
    <cellStyle name="Comma 3 2 3 4" xfId="7090"/>
    <cellStyle name="Comma 3 2 3 5" xfId="7091"/>
    <cellStyle name="Comma 3 2 3 6" xfId="17128"/>
    <cellStyle name="Comma 3 2 4" xfId="475"/>
    <cellStyle name="Comma 3 2 4 2" xfId="7092"/>
    <cellStyle name="Comma 3 2 4 2 2" xfId="7093"/>
    <cellStyle name="Comma 3 2 4 3" xfId="7094"/>
    <cellStyle name="Comma 3 2 4 4" xfId="7095"/>
    <cellStyle name="Comma 3 2 4 5" xfId="16927"/>
    <cellStyle name="Comma 3 2 5" xfId="476"/>
    <cellStyle name="Comma 3 2 5 2" xfId="7096"/>
    <cellStyle name="Comma 3 2 5 3" xfId="7097"/>
    <cellStyle name="Comma 3 2 6" xfId="477"/>
    <cellStyle name="Comma 3 2 6 2" xfId="7098"/>
    <cellStyle name="Comma 3 2 6 3" xfId="7099"/>
    <cellStyle name="Comma 3 2 7" xfId="478"/>
    <cellStyle name="Comma 3 2 7 2" xfId="7100"/>
    <cellStyle name="Comma 3 2 7 3" xfId="7101"/>
    <cellStyle name="Comma 3 2 8" xfId="479"/>
    <cellStyle name="Comma 3 2 9" xfId="480"/>
    <cellStyle name="Comma 3 3" xfId="481"/>
    <cellStyle name="Comma 3 3 10" xfId="16318"/>
    <cellStyle name="Comma 3 3 2" xfId="7102"/>
    <cellStyle name="Comma 3 3 2 2" xfId="7103"/>
    <cellStyle name="Comma 3 3 2 3" xfId="7104"/>
    <cellStyle name="Comma 3 3 3" xfId="7105"/>
    <cellStyle name="Comma 3 3 3 2" xfId="7106"/>
    <cellStyle name="Comma 3 3 3 2 2" xfId="7107"/>
    <cellStyle name="Comma 3 3 3 2 2 2" xfId="7108"/>
    <cellStyle name="Comma 3 3 3 2 3" xfId="7109"/>
    <cellStyle name="Comma 3 3 3 3" xfId="7110"/>
    <cellStyle name="Comma 3 3 3 3 2" xfId="7111"/>
    <cellStyle name="Comma 3 3 3 4" xfId="7112"/>
    <cellStyle name="Comma 3 3 3 4 2" xfId="7113"/>
    <cellStyle name="Comma 3 3 3 5" xfId="7114"/>
    <cellStyle name="Comma 3 3 4" xfId="7115"/>
    <cellStyle name="Comma 3 3 4 2" xfId="7116"/>
    <cellStyle name="Comma 3 3 4 2 2" xfId="7117"/>
    <cellStyle name="Comma 3 3 4 3" xfId="7118"/>
    <cellStyle name="Comma 3 3 4 4" xfId="7119"/>
    <cellStyle name="Comma 3 3 5" xfId="7120"/>
    <cellStyle name="Comma 3 3 5 2" xfId="7121"/>
    <cellStyle name="Comma 3 3 5 3" xfId="7122"/>
    <cellStyle name="Comma 3 3 6" xfId="7123"/>
    <cellStyle name="Comma 3 3 6 2" xfId="7124"/>
    <cellStyle name="Comma 3 3 7" xfId="7125"/>
    <cellStyle name="Comma 3 3 8" xfId="7126"/>
    <cellStyle name="Comma 3 3 9" xfId="16059"/>
    <cellStyle name="Comma 3 4" xfId="482"/>
    <cellStyle name="Comma 3 4 2" xfId="7127"/>
    <cellStyle name="Comma 3 4 2 2" xfId="7128"/>
    <cellStyle name="Comma 3 4 2 2 2" xfId="7129"/>
    <cellStyle name="Comma 3 4 2 2 2 2" xfId="7130"/>
    <cellStyle name="Comma 3 4 2 2 3" xfId="7131"/>
    <cellStyle name="Comma 3 4 2 3" xfId="7132"/>
    <cellStyle name="Comma 3 4 2 3 2" xfId="7133"/>
    <cellStyle name="Comma 3 4 2 4" xfId="7134"/>
    <cellStyle name="Comma 3 4 3" xfId="7135"/>
    <cellStyle name="Comma 3 4 3 2" xfId="7136"/>
    <cellStyle name="Comma 3 4 3 2 2" xfId="7137"/>
    <cellStyle name="Comma 3 4 3 3" xfId="7138"/>
    <cellStyle name="Comma 3 4 4" xfId="7139"/>
    <cellStyle name="Comma 3 4 4 2" xfId="7140"/>
    <cellStyle name="Comma 3 4 5" xfId="7141"/>
    <cellStyle name="Comma 3 4 5 2" xfId="7142"/>
    <cellStyle name="Comma 3 4 6" xfId="7143"/>
    <cellStyle name="Comma 3 4 7" xfId="7144"/>
    <cellStyle name="Comma 3 4 8" xfId="16909"/>
    <cellStyle name="Comma 3 5" xfId="483"/>
    <cellStyle name="Comma 3 5 2" xfId="7145"/>
    <cellStyle name="Comma 3 5 2 2" xfId="7146"/>
    <cellStyle name="Comma 3 5 3" xfId="7147"/>
    <cellStyle name="Comma 3 5 4" xfId="7148"/>
    <cellStyle name="Comma 3 5 5" xfId="16756"/>
    <cellStyle name="Comma 3 6" xfId="7149"/>
    <cellStyle name="Comma 3 6 2" xfId="7150"/>
    <cellStyle name="Comma 3 6 2 2" xfId="7151"/>
    <cellStyle name="Comma 3 6 2 2 2" xfId="7152"/>
    <cellStyle name="Comma 3 6 2 2 2 2" xfId="7153"/>
    <cellStyle name="Comma 3 6 2 2 3" xfId="7154"/>
    <cellStyle name="Comma 3 6 2 3" xfId="7155"/>
    <cellStyle name="Comma 3 6 2 3 2" xfId="7156"/>
    <cellStyle name="Comma 3 6 2 4" xfId="7157"/>
    <cellStyle name="Comma 3 6 3" xfId="7158"/>
    <cellStyle name="Comma 3 6 3 2" xfId="7159"/>
    <cellStyle name="Comma 3 6 3 2 2" xfId="7160"/>
    <cellStyle name="Comma 3 6 3 3" xfId="7161"/>
    <cellStyle name="Comma 3 6 4" xfId="7162"/>
    <cellStyle name="Comma 3 6 4 2" xfId="7163"/>
    <cellStyle name="Comma 3 6 5" xfId="7164"/>
    <cellStyle name="Comma 3 6 5 2" xfId="7165"/>
    <cellStyle name="Comma 3 6 6" xfId="7166"/>
    <cellStyle name="Comma 3 6 7" xfId="16598"/>
    <cellStyle name="Comma 3 7" xfId="7167"/>
    <cellStyle name="Comma 3 7 2" xfId="7168"/>
    <cellStyle name="Comma 3 8" xfId="7169"/>
    <cellStyle name="Comma 3 8 2" xfId="7170"/>
    <cellStyle name="Comma 3 9" xfId="7171"/>
    <cellStyle name="Comma 30" xfId="484"/>
    <cellStyle name="Comma 30 10" xfId="485"/>
    <cellStyle name="Comma 30 10 2" xfId="7172"/>
    <cellStyle name="Comma 30 10 2 2" xfId="7173"/>
    <cellStyle name="Comma 30 10 3" xfId="7174"/>
    <cellStyle name="Comma 30 11" xfId="486"/>
    <cellStyle name="Comma 30 11 2" xfId="7175"/>
    <cellStyle name="Comma 30 11 2 2" xfId="7176"/>
    <cellStyle name="Comma 30 11 3" xfId="7177"/>
    <cellStyle name="Comma 30 12" xfId="487"/>
    <cellStyle name="Comma 30 12 2" xfId="7178"/>
    <cellStyle name="Comma 30 12 2 2" xfId="7179"/>
    <cellStyle name="Comma 30 12 3" xfId="7180"/>
    <cellStyle name="Comma 30 13" xfId="488"/>
    <cellStyle name="Comma 30 13 2" xfId="7181"/>
    <cellStyle name="Comma 30 13 2 2" xfId="7182"/>
    <cellStyle name="Comma 30 13 3" xfId="7183"/>
    <cellStyle name="Comma 30 14" xfId="489"/>
    <cellStyle name="Comma 30 14 2" xfId="7184"/>
    <cellStyle name="Comma 30 14 2 2" xfId="7185"/>
    <cellStyle name="Comma 30 14 3" xfId="7186"/>
    <cellStyle name="Comma 30 15" xfId="490"/>
    <cellStyle name="Comma 30 15 2" xfId="7187"/>
    <cellStyle name="Comma 30 15 2 2" xfId="7188"/>
    <cellStyle name="Comma 30 15 3" xfId="7189"/>
    <cellStyle name="Comma 30 16" xfId="7190"/>
    <cellStyle name="Comma 30 16 2" xfId="7191"/>
    <cellStyle name="Comma 30 16 2 2" xfId="7192"/>
    <cellStyle name="Comma 30 16 3" xfId="7193"/>
    <cellStyle name="Comma 30 17" xfId="7194"/>
    <cellStyle name="Comma 30 17 2" xfId="7195"/>
    <cellStyle name="Comma 30 17 2 2" xfId="7196"/>
    <cellStyle name="Comma 30 17 3" xfId="7197"/>
    <cellStyle name="Comma 30 18" xfId="7198"/>
    <cellStyle name="Comma 30 18 2" xfId="7199"/>
    <cellStyle name="Comma 30 18 2 2" xfId="7200"/>
    <cellStyle name="Comma 30 18 3" xfId="7201"/>
    <cellStyle name="Comma 30 19" xfId="7202"/>
    <cellStyle name="Comma 30 19 2" xfId="7203"/>
    <cellStyle name="Comma 30 19 2 2" xfId="7204"/>
    <cellStyle name="Comma 30 19 3" xfId="7205"/>
    <cellStyle name="Comma 30 2" xfId="491"/>
    <cellStyle name="Comma 30 2 2" xfId="7206"/>
    <cellStyle name="Comma 30 2 2 2" xfId="7207"/>
    <cellStyle name="Comma 30 2 3" xfId="7208"/>
    <cellStyle name="Comma 30 2 3 2" xfId="7209"/>
    <cellStyle name="Comma 30 2 3 2 2" xfId="7210"/>
    <cellStyle name="Comma 30 2 3 3" xfId="7211"/>
    <cellStyle name="Comma 30 2 4" xfId="7212"/>
    <cellStyle name="Comma 30 20" xfId="7213"/>
    <cellStyle name="Comma 30 20 2" xfId="7214"/>
    <cellStyle name="Comma 30 20 2 2" xfId="7215"/>
    <cellStyle name="Comma 30 20 3" xfId="7216"/>
    <cellStyle name="Comma 30 21" xfId="7217"/>
    <cellStyle name="Comma 30 21 2" xfId="7218"/>
    <cellStyle name="Comma 30 21 2 2" xfId="7219"/>
    <cellStyle name="Comma 30 21 3" xfId="7220"/>
    <cellStyle name="Comma 30 22" xfId="7221"/>
    <cellStyle name="Comma 30 22 2" xfId="7222"/>
    <cellStyle name="Comma 30 22 2 2" xfId="7223"/>
    <cellStyle name="Comma 30 22 3" xfId="7224"/>
    <cellStyle name="Comma 30 23" xfId="7225"/>
    <cellStyle name="Comma 30 23 2" xfId="7226"/>
    <cellStyle name="Comma 30 23 2 2" xfId="7227"/>
    <cellStyle name="Comma 30 23 3" xfId="7228"/>
    <cellStyle name="Comma 30 24" xfId="7229"/>
    <cellStyle name="Comma 30 24 2" xfId="7230"/>
    <cellStyle name="Comma 30 24 2 2" xfId="7231"/>
    <cellStyle name="Comma 30 24 3" xfId="7232"/>
    <cellStyle name="Comma 30 25" xfId="7233"/>
    <cellStyle name="Comma 30 25 2" xfId="7234"/>
    <cellStyle name="Comma 30 25 2 2" xfId="7235"/>
    <cellStyle name="Comma 30 25 3" xfId="7236"/>
    <cellStyle name="Comma 30 26" xfId="7237"/>
    <cellStyle name="Comma 30 26 2" xfId="7238"/>
    <cellStyle name="Comma 30 26 2 2" xfId="7239"/>
    <cellStyle name="Comma 30 26 3" xfId="7240"/>
    <cellStyle name="Comma 30 27" xfId="7241"/>
    <cellStyle name="Comma 30 27 2" xfId="7242"/>
    <cellStyle name="Comma 30 27 2 2" xfId="7243"/>
    <cellStyle name="Comma 30 27 3" xfId="7244"/>
    <cellStyle name="Comma 30 28" xfId="7245"/>
    <cellStyle name="Comma 30 28 2" xfId="7246"/>
    <cellStyle name="Comma 30 28 2 2" xfId="7247"/>
    <cellStyle name="Comma 30 28 3" xfId="7248"/>
    <cellStyle name="Comma 30 29" xfId="7249"/>
    <cellStyle name="Comma 30 29 2" xfId="7250"/>
    <cellStyle name="Comma 30 3" xfId="492"/>
    <cellStyle name="Comma 30 3 2" xfId="7251"/>
    <cellStyle name="Comma 30 3 2 2" xfId="7252"/>
    <cellStyle name="Comma 30 3 3" xfId="7253"/>
    <cellStyle name="Comma 30 3 3 2" xfId="7254"/>
    <cellStyle name="Comma 30 3 3 2 2" xfId="7255"/>
    <cellStyle name="Comma 30 3 3 3" xfId="7256"/>
    <cellStyle name="Comma 30 3 4" xfId="7257"/>
    <cellStyle name="Comma 30 30" xfId="7258"/>
    <cellStyle name="Comma 30 30 2" xfId="7259"/>
    <cellStyle name="Comma 30 30 2 2" xfId="7260"/>
    <cellStyle name="Comma 30 30 3" xfId="7261"/>
    <cellStyle name="Comma 30 31" xfId="7262"/>
    <cellStyle name="Comma 30 31 2" xfId="7263"/>
    <cellStyle name="Comma 30 32" xfId="7264"/>
    <cellStyle name="Comma 30 32 2" xfId="7265"/>
    <cellStyle name="Comma 30 33" xfId="7266"/>
    <cellStyle name="Comma 30 34" xfId="16110"/>
    <cellStyle name="Comma 30 4" xfId="493"/>
    <cellStyle name="Comma 30 4 2" xfId="7267"/>
    <cellStyle name="Comma 30 4 2 2" xfId="7268"/>
    <cellStyle name="Comma 30 4 3" xfId="7269"/>
    <cellStyle name="Comma 30 4 3 2" xfId="7270"/>
    <cellStyle name="Comma 30 4 3 2 2" xfId="7271"/>
    <cellStyle name="Comma 30 4 3 3" xfId="7272"/>
    <cellStyle name="Comma 30 4 4" xfId="7273"/>
    <cellStyle name="Comma 30 5" xfId="494"/>
    <cellStyle name="Comma 30 5 2" xfId="7274"/>
    <cellStyle name="Comma 30 5 2 2" xfId="7275"/>
    <cellStyle name="Comma 30 5 3" xfId="7276"/>
    <cellStyle name="Comma 30 5 3 2" xfId="7277"/>
    <cellStyle name="Comma 30 5 3 2 2" xfId="7278"/>
    <cellStyle name="Comma 30 5 3 3" xfId="7279"/>
    <cellStyle name="Comma 30 5 4" xfId="7280"/>
    <cellStyle name="Comma 30 6" xfId="495"/>
    <cellStyle name="Comma 30 6 2" xfId="7281"/>
    <cellStyle name="Comma 30 6 2 2" xfId="7282"/>
    <cellStyle name="Comma 30 6 3" xfId="7283"/>
    <cellStyle name="Comma 30 7" xfId="496"/>
    <cellStyle name="Comma 30 7 2" xfId="7284"/>
    <cellStyle name="Comma 30 7 2 2" xfId="7285"/>
    <cellStyle name="Comma 30 7 3" xfId="7286"/>
    <cellStyle name="Comma 30 8" xfId="497"/>
    <cellStyle name="Comma 30 8 2" xfId="7287"/>
    <cellStyle name="Comma 30 8 2 2" xfId="7288"/>
    <cellStyle name="Comma 30 8 3" xfId="7289"/>
    <cellStyle name="Comma 30 9" xfId="498"/>
    <cellStyle name="Comma 30 9 2" xfId="7290"/>
    <cellStyle name="Comma 30 9 2 2" xfId="7291"/>
    <cellStyle name="Comma 30 9 3" xfId="7292"/>
    <cellStyle name="Comma 300" xfId="17643"/>
    <cellStyle name="Comma 300 2" xfId="18448"/>
    <cellStyle name="Comma 300 3" xfId="19171"/>
    <cellStyle name="Comma 301" xfId="17416"/>
    <cellStyle name="Comma 301 2" xfId="18221"/>
    <cellStyle name="Comma 301 3" xfId="18957"/>
    <cellStyle name="Comma 302" xfId="17421"/>
    <cellStyle name="Comma 302 2" xfId="18226"/>
    <cellStyle name="Comma 302 3" xfId="18962"/>
    <cellStyle name="Comma 303" xfId="17418"/>
    <cellStyle name="Comma 303 2" xfId="18223"/>
    <cellStyle name="Comma 303 3" xfId="18959"/>
    <cellStyle name="Comma 304" xfId="18585"/>
    <cellStyle name="Comma 304 2" xfId="19352"/>
    <cellStyle name="Comma 305" xfId="18587"/>
    <cellStyle name="Comma 305 2" xfId="19348"/>
    <cellStyle name="Comma 306" xfId="18589"/>
    <cellStyle name="Comma 306 2" xfId="19315"/>
    <cellStyle name="Comma 307" xfId="18590"/>
    <cellStyle name="Comma 307 2" xfId="19359"/>
    <cellStyle name="Comma 308" xfId="18592"/>
    <cellStyle name="Comma 308 2" xfId="19366"/>
    <cellStyle name="Comma 309" xfId="18594"/>
    <cellStyle name="Comma 309 2" xfId="19362"/>
    <cellStyle name="Comma 31" xfId="499"/>
    <cellStyle name="Comma 31 10" xfId="500"/>
    <cellStyle name="Comma 31 10 2" xfId="7293"/>
    <cellStyle name="Comma 31 10 2 2" xfId="7294"/>
    <cellStyle name="Comma 31 10 3" xfId="7295"/>
    <cellStyle name="Comma 31 11" xfId="501"/>
    <cellStyle name="Comma 31 11 2" xfId="7296"/>
    <cellStyle name="Comma 31 11 2 2" xfId="7297"/>
    <cellStyle name="Comma 31 11 3" xfId="7298"/>
    <cellStyle name="Comma 31 12" xfId="502"/>
    <cellStyle name="Comma 31 12 2" xfId="7299"/>
    <cellStyle name="Comma 31 12 2 2" xfId="7300"/>
    <cellStyle name="Comma 31 12 3" xfId="7301"/>
    <cellStyle name="Comma 31 13" xfId="503"/>
    <cellStyle name="Comma 31 13 2" xfId="7302"/>
    <cellStyle name="Comma 31 13 2 2" xfId="7303"/>
    <cellStyle name="Comma 31 13 3" xfId="7304"/>
    <cellStyle name="Comma 31 14" xfId="504"/>
    <cellStyle name="Comma 31 14 2" xfId="7305"/>
    <cellStyle name="Comma 31 14 2 2" xfId="7306"/>
    <cellStyle name="Comma 31 14 3" xfId="7307"/>
    <cellStyle name="Comma 31 15" xfId="505"/>
    <cellStyle name="Comma 31 15 2" xfId="7308"/>
    <cellStyle name="Comma 31 15 2 2" xfId="7309"/>
    <cellStyle name="Comma 31 15 3" xfId="7310"/>
    <cellStyle name="Comma 31 16" xfId="7311"/>
    <cellStyle name="Comma 31 16 2" xfId="7312"/>
    <cellStyle name="Comma 31 16 2 2" xfId="7313"/>
    <cellStyle name="Comma 31 16 3" xfId="7314"/>
    <cellStyle name="Comma 31 17" xfId="7315"/>
    <cellStyle name="Comma 31 17 2" xfId="7316"/>
    <cellStyle name="Comma 31 17 2 2" xfId="7317"/>
    <cellStyle name="Comma 31 17 3" xfId="7318"/>
    <cellStyle name="Comma 31 18" xfId="7319"/>
    <cellStyle name="Comma 31 18 2" xfId="7320"/>
    <cellStyle name="Comma 31 18 2 2" xfId="7321"/>
    <cellStyle name="Comma 31 18 3" xfId="7322"/>
    <cellStyle name="Comma 31 19" xfId="7323"/>
    <cellStyle name="Comma 31 19 2" xfId="7324"/>
    <cellStyle name="Comma 31 19 2 2" xfId="7325"/>
    <cellStyle name="Comma 31 19 3" xfId="7326"/>
    <cellStyle name="Comma 31 2" xfId="506"/>
    <cellStyle name="Comma 31 2 2" xfId="7327"/>
    <cellStyle name="Comma 31 2 2 2" xfId="7328"/>
    <cellStyle name="Comma 31 2 3" xfId="7329"/>
    <cellStyle name="Comma 31 2 3 2" xfId="7330"/>
    <cellStyle name="Comma 31 2 3 2 2" xfId="7331"/>
    <cellStyle name="Comma 31 2 3 3" xfId="7332"/>
    <cellStyle name="Comma 31 2 4" xfId="7333"/>
    <cellStyle name="Comma 31 20" xfId="7334"/>
    <cellStyle name="Comma 31 20 2" xfId="7335"/>
    <cellStyle name="Comma 31 20 2 2" xfId="7336"/>
    <cellStyle name="Comma 31 20 3" xfId="7337"/>
    <cellStyle name="Comma 31 21" xfId="7338"/>
    <cellStyle name="Comma 31 21 2" xfId="7339"/>
    <cellStyle name="Comma 31 21 2 2" xfId="7340"/>
    <cellStyle name="Comma 31 21 3" xfId="7341"/>
    <cellStyle name="Comma 31 22" xfId="7342"/>
    <cellStyle name="Comma 31 22 2" xfId="7343"/>
    <cellStyle name="Comma 31 22 2 2" xfId="7344"/>
    <cellStyle name="Comma 31 22 3" xfId="7345"/>
    <cellStyle name="Comma 31 23" xfId="7346"/>
    <cellStyle name="Comma 31 23 2" xfId="7347"/>
    <cellStyle name="Comma 31 23 2 2" xfId="7348"/>
    <cellStyle name="Comma 31 23 3" xfId="7349"/>
    <cellStyle name="Comma 31 24" xfId="7350"/>
    <cellStyle name="Comma 31 24 2" xfId="7351"/>
    <cellStyle name="Comma 31 24 2 2" xfId="7352"/>
    <cellStyle name="Comma 31 24 3" xfId="7353"/>
    <cellStyle name="Comma 31 25" xfId="7354"/>
    <cellStyle name="Comma 31 25 2" xfId="7355"/>
    <cellStyle name="Comma 31 25 2 2" xfId="7356"/>
    <cellStyle name="Comma 31 25 3" xfId="7357"/>
    <cellStyle name="Comma 31 26" xfId="7358"/>
    <cellStyle name="Comma 31 26 2" xfId="7359"/>
    <cellStyle name="Comma 31 26 2 2" xfId="7360"/>
    <cellStyle name="Comma 31 26 3" xfId="7361"/>
    <cellStyle name="Comma 31 27" xfId="7362"/>
    <cellStyle name="Comma 31 27 2" xfId="7363"/>
    <cellStyle name="Comma 31 27 2 2" xfId="7364"/>
    <cellStyle name="Comma 31 27 3" xfId="7365"/>
    <cellStyle name="Comma 31 28" xfId="7366"/>
    <cellStyle name="Comma 31 28 2" xfId="7367"/>
    <cellStyle name="Comma 31 28 2 2" xfId="7368"/>
    <cellStyle name="Comma 31 28 3" xfId="7369"/>
    <cellStyle name="Comma 31 29" xfId="7370"/>
    <cellStyle name="Comma 31 29 2" xfId="7371"/>
    <cellStyle name="Comma 31 3" xfId="507"/>
    <cellStyle name="Comma 31 3 2" xfId="7372"/>
    <cellStyle name="Comma 31 3 2 2" xfId="7373"/>
    <cellStyle name="Comma 31 3 3" xfId="7374"/>
    <cellStyle name="Comma 31 3 3 2" xfId="7375"/>
    <cellStyle name="Comma 31 3 3 2 2" xfId="7376"/>
    <cellStyle name="Comma 31 3 3 3" xfId="7377"/>
    <cellStyle name="Comma 31 3 4" xfId="7378"/>
    <cellStyle name="Comma 31 30" xfId="7379"/>
    <cellStyle name="Comma 31 30 2" xfId="7380"/>
    <cellStyle name="Comma 31 30 2 2" xfId="7381"/>
    <cellStyle name="Comma 31 30 3" xfId="7382"/>
    <cellStyle name="Comma 31 31" xfId="7383"/>
    <cellStyle name="Comma 31 31 2" xfId="7384"/>
    <cellStyle name="Comma 31 32" xfId="7385"/>
    <cellStyle name="Comma 31 32 2" xfId="7386"/>
    <cellStyle name="Comma 31 33" xfId="7387"/>
    <cellStyle name="Comma 31 34" xfId="7388"/>
    <cellStyle name="Comma 31 35" xfId="16111"/>
    <cellStyle name="Comma 31 4" xfId="508"/>
    <cellStyle name="Comma 31 4 2" xfId="7389"/>
    <cellStyle name="Comma 31 4 2 2" xfId="7390"/>
    <cellStyle name="Comma 31 4 3" xfId="7391"/>
    <cellStyle name="Comma 31 4 3 2" xfId="7392"/>
    <cellStyle name="Comma 31 4 3 2 2" xfId="7393"/>
    <cellStyle name="Comma 31 4 3 3" xfId="7394"/>
    <cellStyle name="Comma 31 4 4" xfId="7395"/>
    <cellStyle name="Comma 31 5" xfId="509"/>
    <cellStyle name="Comma 31 5 2" xfId="7396"/>
    <cellStyle name="Comma 31 5 2 2" xfId="7397"/>
    <cellStyle name="Comma 31 5 3" xfId="7398"/>
    <cellStyle name="Comma 31 5 3 2" xfId="7399"/>
    <cellStyle name="Comma 31 5 3 2 2" xfId="7400"/>
    <cellStyle name="Comma 31 5 3 3" xfId="7401"/>
    <cellStyle name="Comma 31 5 4" xfId="7402"/>
    <cellStyle name="Comma 31 6" xfId="510"/>
    <cellStyle name="Comma 31 6 2" xfId="7403"/>
    <cellStyle name="Comma 31 6 2 2" xfId="7404"/>
    <cellStyle name="Comma 31 6 3" xfId="7405"/>
    <cellStyle name="Comma 31 7" xfId="511"/>
    <cellStyle name="Comma 31 7 2" xfId="7406"/>
    <cellStyle name="Comma 31 7 2 2" xfId="7407"/>
    <cellStyle name="Comma 31 7 3" xfId="7408"/>
    <cellStyle name="Comma 31 8" xfId="512"/>
    <cellStyle name="Comma 31 8 2" xfId="7409"/>
    <cellStyle name="Comma 31 8 2 2" xfId="7410"/>
    <cellStyle name="Comma 31 8 3" xfId="7411"/>
    <cellStyle name="Comma 31 9" xfId="513"/>
    <cellStyle name="Comma 31 9 2" xfId="7412"/>
    <cellStyle name="Comma 31 9 2 2" xfId="7413"/>
    <cellStyle name="Comma 31 9 3" xfId="7414"/>
    <cellStyle name="Comma 310" xfId="18596"/>
    <cellStyle name="Comma 310 2" xfId="19330"/>
    <cellStyle name="Comma 311" xfId="18598"/>
    <cellStyle name="Comma 311 2" xfId="19371"/>
    <cellStyle name="Comma 312" xfId="18600"/>
    <cellStyle name="Comma 312 2" xfId="19320"/>
    <cellStyle name="Comma 313" xfId="18602"/>
    <cellStyle name="Comma 313 2" xfId="19368"/>
    <cellStyle name="Comma 314" xfId="18604"/>
    <cellStyle name="Comma 314 2" xfId="19313"/>
    <cellStyle name="Comma 315" xfId="18606"/>
    <cellStyle name="Comma 315 2" xfId="19367"/>
    <cellStyle name="Comma 316" xfId="18608"/>
    <cellStyle name="Comma 316 2" xfId="19387"/>
    <cellStyle name="Comma 317" xfId="18610"/>
    <cellStyle name="Comma 317 2" xfId="19381"/>
    <cellStyle name="Comma 318" xfId="18612"/>
    <cellStyle name="Comma 318 2" xfId="19334"/>
    <cellStyle name="Comma 319" xfId="18614"/>
    <cellStyle name="Comma 319 2" xfId="19317"/>
    <cellStyle name="Comma 32" xfId="514"/>
    <cellStyle name="Comma 32 10" xfId="515"/>
    <cellStyle name="Comma 32 10 2" xfId="7415"/>
    <cellStyle name="Comma 32 10 2 2" xfId="7416"/>
    <cellStyle name="Comma 32 10 3" xfId="7417"/>
    <cellStyle name="Comma 32 11" xfId="516"/>
    <cellStyle name="Comma 32 11 2" xfId="7418"/>
    <cellStyle name="Comma 32 11 2 2" xfId="7419"/>
    <cellStyle name="Comma 32 11 3" xfId="7420"/>
    <cellStyle name="Comma 32 12" xfId="517"/>
    <cellStyle name="Comma 32 12 2" xfId="7421"/>
    <cellStyle name="Comma 32 12 2 2" xfId="7422"/>
    <cellStyle name="Comma 32 12 3" xfId="7423"/>
    <cellStyle name="Comma 32 13" xfId="518"/>
    <cellStyle name="Comma 32 13 2" xfId="7424"/>
    <cellStyle name="Comma 32 13 2 2" xfId="7425"/>
    <cellStyle name="Comma 32 13 3" xfId="7426"/>
    <cellStyle name="Comma 32 14" xfId="519"/>
    <cellStyle name="Comma 32 14 2" xfId="7427"/>
    <cellStyle name="Comma 32 14 2 2" xfId="7428"/>
    <cellStyle name="Comma 32 14 3" xfId="7429"/>
    <cellStyle name="Comma 32 15" xfId="520"/>
    <cellStyle name="Comma 32 15 2" xfId="7430"/>
    <cellStyle name="Comma 32 15 2 2" xfId="7431"/>
    <cellStyle name="Comma 32 15 3" xfId="7432"/>
    <cellStyle name="Comma 32 16" xfId="7433"/>
    <cellStyle name="Comma 32 16 2" xfId="7434"/>
    <cellStyle name="Comma 32 16 2 2" xfId="7435"/>
    <cellStyle name="Comma 32 16 3" xfId="7436"/>
    <cellStyle name="Comma 32 17" xfId="7437"/>
    <cellStyle name="Comma 32 17 2" xfId="7438"/>
    <cellStyle name="Comma 32 17 2 2" xfId="7439"/>
    <cellStyle name="Comma 32 17 3" xfId="7440"/>
    <cellStyle name="Comma 32 18" xfId="7441"/>
    <cellStyle name="Comma 32 18 2" xfId="7442"/>
    <cellStyle name="Comma 32 18 2 2" xfId="7443"/>
    <cellStyle name="Comma 32 18 3" xfId="7444"/>
    <cellStyle name="Comma 32 19" xfId="7445"/>
    <cellStyle name="Comma 32 19 2" xfId="7446"/>
    <cellStyle name="Comma 32 19 2 2" xfId="7447"/>
    <cellStyle name="Comma 32 19 3" xfId="7448"/>
    <cellStyle name="Comma 32 2" xfId="521"/>
    <cellStyle name="Comma 32 2 2" xfId="7449"/>
    <cellStyle name="Comma 32 2 2 2" xfId="7450"/>
    <cellStyle name="Comma 32 2 3" xfId="7451"/>
    <cellStyle name="Comma 32 2 3 2" xfId="7452"/>
    <cellStyle name="Comma 32 2 3 2 2" xfId="7453"/>
    <cellStyle name="Comma 32 2 3 3" xfId="7454"/>
    <cellStyle name="Comma 32 2 4" xfId="7455"/>
    <cellStyle name="Comma 32 2 5" xfId="17048"/>
    <cellStyle name="Comma 32 20" xfId="7456"/>
    <cellStyle name="Comma 32 20 2" xfId="7457"/>
    <cellStyle name="Comma 32 20 2 2" xfId="7458"/>
    <cellStyle name="Comma 32 20 3" xfId="7459"/>
    <cellStyle name="Comma 32 21" xfId="7460"/>
    <cellStyle name="Comma 32 21 2" xfId="7461"/>
    <cellStyle name="Comma 32 21 2 2" xfId="7462"/>
    <cellStyle name="Comma 32 21 3" xfId="7463"/>
    <cellStyle name="Comma 32 22" xfId="7464"/>
    <cellStyle name="Comma 32 22 2" xfId="7465"/>
    <cellStyle name="Comma 32 22 2 2" xfId="7466"/>
    <cellStyle name="Comma 32 22 3" xfId="7467"/>
    <cellStyle name="Comma 32 23" xfId="7468"/>
    <cellStyle name="Comma 32 23 2" xfId="7469"/>
    <cellStyle name="Comma 32 23 2 2" xfId="7470"/>
    <cellStyle name="Comma 32 23 3" xfId="7471"/>
    <cellStyle name="Comma 32 24" xfId="7472"/>
    <cellStyle name="Comma 32 24 2" xfId="7473"/>
    <cellStyle name="Comma 32 24 2 2" xfId="7474"/>
    <cellStyle name="Comma 32 24 3" xfId="7475"/>
    <cellStyle name="Comma 32 25" xfId="7476"/>
    <cellStyle name="Comma 32 25 2" xfId="7477"/>
    <cellStyle name="Comma 32 25 2 2" xfId="7478"/>
    <cellStyle name="Comma 32 25 3" xfId="7479"/>
    <cellStyle name="Comma 32 26" xfId="7480"/>
    <cellStyle name="Comma 32 26 2" xfId="7481"/>
    <cellStyle name="Comma 32 26 2 2" xfId="7482"/>
    <cellStyle name="Comma 32 26 3" xfId="7483"/>
    <cellStyle name="Comma 32 27" xfId="7484"/>
    <cellStyle name="Comma 32 27 2" xfId="7485"/>
    <cellStyle name="Comma 32 27 2 2" xfId="7486"/>
    <cellStyle name="Comma 32 27 3" xfId="7487"/>
    <cellStyle name="Comma 32 28" xfId="7488"/>
    <cellStyle name="Comma 32 28 2" xfId="7489"/>
    <cellStyle name="Comma 32 28 2 2" xfId="7490"/>
    <cellStyle name="Comma 32 28 3" xfId="7491"/>
    <cellStyle name="Comma 32 29" xfId="7492"/>
    <cellStyle name="Comma 32 29 2" xfId="7493"/>
    <cellStyle name="Comma 32 3" xfId="522"/>
    <cellStyle name="Comma 32 3 2" xfId="7494"/>
    <cellStyle name="Comma 32 3 2 2" xfId="7495"/>
    <cellStyle name="Comma 32 3 3" xfId="7496"/>
    <cellStyle name="Comma 32 3 3 2" xfId="7497"/>
    <cellStyle name="Comma 32 3 3 2 2" xfId="7498"/>
    <cellStyle name="Comma 32 3 3 3" xfId="7499"/>
    <cellStyle name="Comma 32 3 4" xfId="7500"/>
    <cellStyle name="Comma 32 30" xfId="7501"/>
    <cellStyle name="Comma 32 30 2" xfId="7502"/>
    <cellStyle name="Comma 32 30 2 2" xfId="7503"/>
    <cellStyle name="Comma 32 30 3" xfId="7504"/>
    <cellStyle name="Comma 32 31" xfId="7505"/>
    <cellStyle name="Comma 32 31 2" xfId="7506"/>
    <cellStyle name="Comma 32 32" xfId="7507"/>
    <cellStyle name="Comma 32 32 2" xfId="7508"/>
    <cellStyle name="Comma 32 33" xfId="7509"/>
    <cellStyle name="Comma 32 34" xfId="7510"/>
    <cellStyle name="Comma 32 35" xfId="16232"/>
    <cellStyle name="Comma 32 4" xfId="523"/>
    <cellStyle name="Comma 32 4 2" xfId="7511"/>
    <cellStyle name="Comma 32 4 2 2" xfId="7512"/>
    <cellStyle name="Comma 32 4 3" xfId="7513"/>
    <cellStyle name="Comma 32 4 3 2" xfId="7514"/>
    <cellStyle name="Comma 32 4 3 2 2" xfId="7515"/>
    <cellStyle name="Comma 32 4 3 3" xfId="7516"/>
    <cellStyle name="Comma 32 4 4" xfId="7517"/>
    <cellStyle name="Comma 32 5" xfId="524"/>
    <cellStyle name="Comma 32 5 2" xfId="7518"/>
    <cellStyle name="Comma 32 5 2 2" xfId="7519"/>
    <cellStyle name="Comma 32 5 3" xfId="7520"/>
    <cellStyle name="Comma 32 5 3 2" xfId="7521"/>
    <cellStyle name="Comma 32 5 3 2 2" xfId="7522"/>
    <cellStyle name="Comma 32 5 3 3" xfId="7523"/>
    <cellStyle name="Comma 32 5 4" xfId="7524"/>
    <cellStyle name="Comma 32 6" xfId="525"/>
    <cellStyle name="Comma 32 6 2" xfId="7525"/>
    <cellStyle name="Comma 32 6 2 2" xfId="7526"/>
    <cellStyle name="Comma 32 6 3" xfId="7527"/>
    <cellStyle name="Comma 32 7" xfId="526"/>
    <cellStyle name="Comma 32 7 2" xfId="7528"/>
    <cellStyle name="Comma 32 7 2 2" xfId="7529"/>
    <cellStyle name="Comma 32 7 3" xfId="7530"/>
    <cellStyle name="Comma 32 8" xfId="527"/>
    <cellStyle name="Comma 32 8 2" xfId="7531"/>
    <cellStyle name="Comma 32 8 2 2" xfId="7532"/>
    <cellStyle name="Comma 32 8 3" xfId="7533"/>
    <cellStyle name="Comma 32 9" xfId="528"/>
    <cellStyle name="Comma 32 9 2" xfId="7534"/>
    <cellStyle name="Comma 32 9 2 2" xfId="7535"/>
    <cellStyle name="Comma 32 9 3" xfId="7536"/>
    <cellStyle name="Comma 320" xfId="18616"/>
    <cellStyle name="Comma 320 2" xfId="19351"/>
    <cellStyle name="Comma 321" xfId="18618"/>
    <cellStyle name="Comma 321 2" xfId="19377"/>
    <cellStyle name="Comma 322" xfId="18620"/>
    <cellStyle name="Comma 322 2" xfId="19324"/>
    <cellStyle name="Comma 323" xfId="18622"/>
    <cellStyle name="Comma 323 2" xfId="19349"/>
    <cellStyle name="Comma 324" xfId="18829"/>
    <cellStyle name="Comma 324 2" xfId="19378"/>
    <cellStyle name="Comma 325" xfId="18753"/>
    <cellStyle name="Comma 325 2" xfId="19385"/>
    <cellStyle name="Comma 326" xfId="18756"/>
    <cellStyle name="Comma 326 2" xfId="19354"/>
    <cellStyle name="Comma 327" xfId="7537"/>
    <cellStyle name="Comma 327 2" xfId="7538"/>
    <cellStyle name="Comma 327 3" xfId="19497"/>
    <cellStyle name="Comma 328" xfId="19501"/>
    <cellStyle name="Comma 329" xfId="19503"/>
    <cellStyle name="Comma 33" xfId="529"/>
    <cellStyle name="Comma 33 10" xfId="530"/>
    <cellStyle name="Comma 33 10 2" xfId="7539"/>
    <cellStyle name="Comma 33 10 2 2" xfId="7540"/>
    <cellStyle name="Comma 33 10 3" xfId="7541"/>
    <cellStyle name="Comma 33 11" xfId="531"/>
    <cellStyle name="Comma 33 11 2" xfId="7542"/>
    <cellStyle name="Comma 33 11 2 2" xfId="7543"/>
    <cellStyle name="Comma 33 11 3" xfId="7544"/>
    <cellStyle name="Comma 33 12" xfId="532"/>
    <cellStyle name="Comma 33 12 2" xfId="7545"/>
    <cellStyle name="Comma 33 12 2 2" xfId="7546"/>
    <cellStyle name="Comma 33 12 3" xfId="7547"/>
    <cellStyle name="Comma 33 13" xfId="533"/>
    <cellStyle name="Comma 33 13 2" xfId="7548"/>
    <cellStyle name="Comma 33 13 2 2" xfId="7549"/>
    <cellStyle name="Comma 33 13 3" xfId="7550"/>
    <cellStyle name="Comma 33 14" xfId="534"/>
    <cellStyle name="Comma 33 14 2" xfId="7551"/>
    <cellStyle name="Comma 33 14 2 2" xfId="7552"/>
    <cellStyle name="Comma 33 14 3" xfId="7553"/>
    <cellStyle name="Comma 33 15" xfId="535"/>
    <cellStyle name="Comma 33 15 2" xfId="7554"/>
    <cellStyle name="Comma 33 15 2 2" xfId="7555"/>
    <cellStyle name="Comma 33 15 3" xfId="7556"/>
    <cellStyle name="Comma 33 16" xfId="7557"/>
    <cellStyle name="Comma 33 16 2" xfId="7558"/>
    <cellStyle name="Comma 33 16 2 2" xfId="7559"/>
    <cellStyle name="Comma 33 16 3" xfId="7560"/>
    <cellStyle name="Comma 33 17" xfId="7561"/>
    <cellStyle name="Comma 33 17 2" xfId="7562"/>
    <cellStyle name="Comma 33 17 2 2" xfId="7563"/>
    <cellStyle name="Comma 33 17 3" xfId="7564"/>
    <cellStyle name="Comma 33 18" xfId="7565"/>
    <cellStyle name="Comma 33 18 2" xfId="7566"/>
    <cellStyle name="Comma 33 18 2 2" xfId="7567"/>
    <cellStyle name="Comma 33 18 3" xfId="7568"/>
    <cellStyle name="Comma 33 19" xfId="7569"/>
    <cellStyle name="Comma 33 19 2" xfId="7570"/>
    <cellStyle name="Comma 33 19 2 2" xfId="7571"/>
    <cellStyle name="Comma 33 19 3" xfId="7572"/>
    <cellStyle name="Comma 33 2" xfId="536"/>
    <cellStyle name="Comma 33 2 2" xfId="7573"/>
    <cellStyle name="Comma 33 2 2 2" xfId="7574"/>
    <cellStyle name="Comma 33 2 3" xfId="7575"/>
    <cellStyle name="Comma 33 2 3 2" xfId="7576"/>
    <cellStyle name="Comma 33 2 3 2 2" xfId="7577"/>
    <cellStyle name="Comma 33 2 3 3" xfId="7578"/>
    <cellStyle name="Comma 33 2 4" xfId="7579"/>
    <cellStyle name="Comma 33 2 5" xfId="17049"/>
    <cellStyle name="Comma 33 20" xfId="7580"/>
    <cellStyle name="Comma 33 20 2" xfId="7581"/>
    <cellStyle name="Comma 33 20 2 2" xfId="7582"/>
    <cellStyle name="Comma 33 20 3" xfId="7583"/>
    <cellStyle name="Comma 33 21" xfId="7584"/>
    <cellStyle name="Comma 33 21 2" xfId="7585"/>
    <cellStyle name="Comma 33 21 2 2" xfId="7586"/>
    <cellStyle name="Comma 33 21 3" xfId="7587"/>
    <cellStyle name="Comma 33 22" xfId="7588"/>
    <cellStyle name="Comma 33 22 2" xfId="7589"/>
    <cellStyle name="Comma 33 22 2 2" xfId="7590"/>
    <cellStyle name="Comma 33 22 3" xfId="7591"/>
    <cellStyle name="Comma 33 23" xfId="7592"/>
    <cellStyle name="Comma 33 23 2" xfId="7593"/>
    <cellStyle name="Comma 33 23 2 2" xfId="7594"/>
    <cellStyle name="Comma 33 23 3" xfId="7595"/>
    <cellStyle name="Comma 33 24" xfId="7596"/>
    <cellStyle name="Comma 33 24 2" xfId="7597"/>
    <cellStyle name="Comma 33 24 2 2" xfId="7598"/>
    <cellStyle name="Comma 33 24 3" xfId="7599"/>
    <cellStyle name="Comma 33 25" xfId="7600"/>
    <cellStyle name="Comma 33 25 2" xfId="7601"/>
    <cellStyle name="Comma 33 25 2 2" xfId="7602"/>
    <cellStyle name="Comma 33 25 3" xfId="7603"/>
    <cellStyle name="Comma 33 26" xfId="7604"/>
    <cellStyle name="Comma 33 26 2" xfId="7605"/>
    <cellStyle name="Comma 33 26 2 2" xfId="7606"/>
    <cellStyle name="Comma 33 26 3" xfId="7607"/>
    <cellStyle name="Comma 33 27" xfId="7608"/>
    <cellStyle name="Comma 33 27 2" xfId="7609"/>
    <cellStyle name="Comma 33 27 2 2" xfId="7610"/>
    <cellStyle name="Comma 33 27 3" xfId="7611"/>
    <cellStyle name="Comma 33 28" xfId="7612"/>
    <cellStyle name="Comma 33 28 2" xfId="7613"/>
    <cellStyle name="Comma 33 28 2 2" xfId="7614"/>
    <cellStyle name="Comma 33 28 3" xfId="7615"/>
    <cellStyle name="Comma 33 29" xfId="7616"/>
    <cellStyle name="Comma 33 29 2" xfId="7617"/>
    <cellStyle name="Comma 33 3" xfId="537"/>
    <cellStyle name="Comma 33 3 2" xfId="7618"/>
    <cellStyle name="Comma 33 3 2 2" xfId="7619"/>
    <cellStyle name="Comma 33 3 3" xfId="7620"/>
    <cellStyle name="Comma 33 3 3 2" xfId="7621"/>
    <cellStyle name="Comma 33 3 3 2 2" xfId="7622"/>
    <cellStyle name="Comma 33 3 3 3" xfId="7623"/>
    <cellStyle name="Comma 33 3 4" xfId="7624"/>
    <cellStyle name="Comma 33 30" xfId="7625"/>
    <cellStyle name="Comma 33 30 2" xfId="7626"/>
    <cellStyle name="Comma 33 30 2 2" xfId="7627"/>
    <cellStyle name="Comma 33 30 3" xfId="7628"/>
    <cellStyle name="Comma 33 31" xfId="7629"/>
    <cellStyle name="Comma 33 31 2" xfId="7630"/>
    <cellStyle name="Comma 33 32" xfId="7631"/>
    <cellStyle name="Comma 33 32 2" xfId="7632"/>
    <cellStyle name="Comma 33 33" xfId="7633"/>
    <cellStyle name="Comma 33 34" xfId="7634"/>
    <cellStyle name="Comma 33 35" xfId="16233"/>
    <cellStyle name="Comma 33 4" xfId="538"/>
    <cellStyle name="Comma 33 4 2" xfId="7635"/>
    <cellStyle name="Comma 33 4 2 2" xfId="7636"/>
    <cellStyle name="Comma 33 4 3" xfId="7637"/>
    <cellStyle name="Comma 33 4 3 2" xfId="7638"/>
    <cellStyle name="Comma 33 4 3 2 2" xfId="7639"/>
    <cellStyle name="Comma 33 4 3 3" xfId="7640"/>
    <cellStyle name="Comma 33 4 4" xfId="7641"/>
    <cellStyle name="Comma 33 5" xfId="539"/>
    <cellStyle name="Comma 33 5 2" xfId="7642"/>
    <cellStyle name="Comma 33 5 2 2" xfId="7643"/>
    <cellStyle name="Comma 33 5 3" xfId="7644"/>
    <cellStyle name="Comma 33 5 3 2" xfId="7645"/>
    <cellStyle name="Comma 33 5 3 2 2" xfId="7646"/>
    <cellStyle name="Comma 33 5 3 3" xfId="7647"/>
    <cellStyle name="Comma 33 5 4" xfId="7648"/>
    <cellStyle name="Comma 33 6" xfId="540"/>
    <cellStyle name="Comma 33 6 2" xfId="7649"/>
    <cellStyle name="Comma 33 6 2 2" xfId="7650"/>
    <cellStyle name="Comma 33 6 3" xfId="7651"/>
    <cellStyle name="Comma 33 7" xfId="541"/>
    <cellStyle name="Comma 33 7 2" xfId="7652"/>
    <cellStyle name="Comma 33 7 2 2" xfId="7653"/>
    <cellStyle name="Comma 33 7 3" xfId="7654"/>
    <cellStyle name="Comma 33 8" xfId="542"/>
    <cellStyle name="Comma 33 8 2" xfId="7655"/>
    <cellStyle name="Comma 33 8 2 2" xfId="7656"/>
    <cellStyle name="Comma 33 8 3" xfId="7657"/>
    <cellStyle name="Comma 33 9" xfId="543"/>
    <cellStyle name="Comma 33 9 2" xfId="7658"/>
    <cellStyle name="Comma 33 9 2 2" xfId="7659"/>
    <cellStyle name="Comma 33 9 3" xfId="7660"/>
    <cellStyle name="Comma 330" xfId="19529"/>
    <cellStyle name="Comma 331" xfId="19551"/>
    <cellStyle name="Comma 332" xfId="19559"/>
    <cellStyle name="Comma 333" xfId="19561"/>
    <cellStyle name="Comma 334" xfId="19563"/>
    <cellStyle name="Comma 335" xfId="19565"/>
    <cellStyle name="Comma 336" xfId="19582"/>
    <cellStyle name="Comma 337" xfId="19584"/>
    <cellStyle name="Comma 338" xfId="19586"/>
    <cellStyle name="Comma 339" xfId="19588"/>
    <cellStyle name="Comma 34" xfId="544"/>
    <cellStyle name="Comma 34 10" xfId="545"/>
    <cellStyle name="Comma 34 10 2" xfId="7661"/>
    <cellStyle name="Comma 34 10 2 2" xfId="7662"/>
    <cellStyle name="Comma 34 10 3" xfId="7663"/>
    <cellStyle name="Comma 34 11" xfId="546"/>
    <cellStyle name="Comma 34 11 2" xfId="7664"/>
    <cellStyle name="Comma 34 11 2 2" xfId="7665"/>
    <cellStyle name="Comma 34 11 3" xfId="7666"/>
    <cellStyle name="Comma 34 12" xfId="547"/>
    <cellStyle name="Comma 34 12 2" xfId="7667"/>
    <cellStyle name="Comma 34 12 2 2" xfId="7668"/>
    <cellStyle name="Comma 34 12 3" xfId="7669"/>
    <cellStyle name="Comma 34 13" xfId="548"/>
    <cellStyle name="Comma 34 13 2" xfId="7670"/>
    <cellStyle name="Comma 34 13 2 2" xfId="7671"/>
    <cellStyle name="Comma 34 13 3" xfId="7672"/>
    <cellStyle name="Comma 34 14" xfId="549"/>
    <cellStyle name="Comma 34 14 2" xfId="7673"/>
    <cellStyle name="Comma 34 14 2 2" xfId="7674"/>
    <cellStyle name="Comma 34 14 3" xfId="7675"/>
    <cellStyle name="Comma 34 15" xfId="550"/>
    <cellStyle name="Comma 34 15 2" xfId="7676"/>
    <cellStyle name="Comma 34 15 2 2" xfId="7677"/>
    <cellStyle name="Comma 34 15 3" xfId="7678"/>
    <cellStyle name="Comma 34 16" xfId="7679"/>
    <cellStyle name="Comma 34 16 2" xfId="7680"/>
    <cellStyle name="Comma 34 16 2 2" xfId="7681"/>
    <cellStyle name="Comma 34 16 3" xfId="7682"/>
    <cellStyle name="Comma 34 17" xfId="7683"/>
    <cellStyle name="Comma 34 17 2" xfId="7684"/>
    <cellStyle name="Comma 34 17 2 2" xfId="7685"/>
    <cellStyle name="Comma 34 17 3" xfId="7686"/>
    <cellStyle name="Comma 34 18" xfId="7687"/>
    <cellStyle name="Comma 34 18 2" xfId="7688"/>
    <cellStyle name="Comma 34 18 2 2" xfId="7689"/>
    <cellStyle name="Comma 34 18 3" xfId="7690"/>
    <cellStyle name="Comma 34 19" xfId="7691"/>
    <cellStyle name="Comma 34 19 2" xfId="7692"/>
    <cellStyle name="Comma 34 19 2 2" xfId="7693"/>
    <cellStyle name="Comma 34 19 3" xfId="7694"/>
    <cellStyle name="Comma 34 2" xfId="551"/>
    <cellStyle name="Comma 34 2 2" xfId="7695"/>
    <cellStyle name="Comma 34 2 2 2" xfId="7696"/>
    <cellStyle name="Comma 34 2 3" xfId="7697"/>
    <cellStyle name="Comma 34 2 3 2" xfId="7698"/>
    <cellStyle name="Comma 34 2 3 2 2" xfId="7699"/>
    <cellStyle name="Comma 34 2 3 3" xfId="7700"/>
    <cellStyle name="Comma 34 2 4" xfId="7701"/>
    <cellStyle name="Comma 34 2 5" xfId="17050"/>
    <cellStyle name="Comma 34 20" xfId="7702"/>
    <cellStyle name="Comma 34 20 2" xfId="7703"/>
    <cellStyle name="Comma 34 20 2 2" xfId="7704"/>
    <cellStyle name="Comma 34 20 3" xfId="7705"/>
    <cellStyle name="Comma 34 21" xfId="7706"/>
    <cellStyle name="Comma 34 21 2" xfId="7707"/>
    <cellStyle name="Comma 34 21 2 2" xfId="7708"/>
    <cellStyle name="Comma 34 21 3" xfId="7709"/>
    <cellStyle name="Comma 34 22" xfId="7710"/>
    <cellStyle name="Comma 34 22 2" xfId="7711"/>
    <cellStyle name="Comma 34 22 2 2" xfId="7712"/>
    <cellStyle name="Comma 34 22 3" xfId="7713"/>
    <cellStyle name="Comma 34 23" xfId="7714"/>
    <cellStyle name="Comma 34 23 2" xfId="7715"/>
    <cellStyle name="Comma 34 23 2 2" xfId="7716"/>
    <cellStyle name="Comma 34 23 3" xfId="7717"/>
    <cellStyle name="Comma 34 24" xfId="7718"/>
    <cellStyle name="Comma 34 24 2" xfId="7719"/>
    <cellStyle name="Comma 34 24 2 2" xfId="7720"/>
    <cellStyle name="Comma 34 24 3" xfId="7721"/>
    <cellStyle name="Comma 34 25" xfId="7722"/>
    <cellStyle name="Comma 34 25 2" xfId="7723"/>
    <cellStyle name="Comma 34 25 2 2" xfId="7724"/>
    <cellStyle name="Comma 34 25 3" xfId="7725"/>
    <cellStyle name="Comma 34 26" xfId="7726"/>
    <cellStyle name="Comma 34 26 2" xfId="7727"/>
    <cellStyle name="Comma 34 26 2 2" xfId="7728"/>
    <cellStyle name="Comma 34 26 3" xfId="7729"/>
    <cellStyle name="Comma 34 27" xfId="7730"/>
    <cellStyle name="Comma 34 27 2" xfId="7731"/>
    <cellStyle name="Comma 34 27 2 2" xfId="7732"/>
    <cellStyle name="Comma 34 27 3" xfId="7733"/>
    <cellStyle name="Comma 34 28" xfId="7734"/>
    <cellStyle name="Comma 34 28 2" xfId="7735"/>
    <cellStyle name="Comma 34 28 2 2" xfId="7736"/>
    <cellStyle name="Comma 34 28 3" xfId="7737"/>
    <cellStyle name="Comma 34 29" xfId="7738"/>
    <cellStyle name="Comma 34 29 2" xfId="7739"/>
    <cellStyle name="Comma 34 3" xfId="552"/>
    <cellStyle name="Comma 34 3 2" xfId="7740"/>
    <cellStyle name="Comma 34 3 2 2" xfId="7741"/>
    <cellStyle name="Comma 34 3 3" xfId="7742"/>
    <cellStyle name="Comma 34 3 3 2" xfId="7743"/>
    <cellStyle name="Comma 34 3 3 2 2" xfId="7744"/>
    <cellStyle name="Comma 34 3 3 3" xfId="7745"/>
    <cellStyle name="Comma 34 3 4" xfId="7746"/>
    <cellStyle name="Comma 34 30" xfId="7747"/>
    <cellStyle name="Comma 34 30 2" xfId="7748"/>
    <cellStyle name="Comma 34 30 2 2" xfId="7749"/>
    <cellStyle name="Comma 34 30 3" xfId="7750"/>
    <cellStyle name="Comma 34 31" xfId="7751"/>
    <cellStyle name="Comma 34 31 2" xfId="7752"/>
    <cellStyle name="Comma 34 32" xfId="7753"/>
    <cellStyle name="Comma 34 33" xfId="7754"/>
    <cellStyle name="Comma 34 34" xfId="16234"/>
    <cellStyle name="Comma 34 4" xfId="553"/>
    <cellStyle name="Comma 34 4 2" xfId="7755"/>
    <cellStyle name="Comma 34 4 2 2" xfId="7756"/>
    <cellStyle name="Comma 34 4 3" xfId="7757"/>
    <cellStyle name="Comma 34 4 3 2" xfId="7758"/>
    <cellStyle name="Comma 34 4 3 2 2" xfId="7759"/>
    <cellStyle name="Comma 34 4 3 3" xfId="7760"/>
    <cellStyle name="Comma 34 4 4" xfId="7761"/>
    <cellStyle name="Comma 34 5" xfId="554"/>
    <cellStyle name="Comma 34 5 2" xfId="7762"/>
    <cellStyle name="Comma 34 5 2 2" xfId="7763"/>
    <cellStyle name="Comma 34 5 3" xfId="7764"/>
    <cellStyle name="Comma 34 5 3 2" xfId="7765"/>
    <cellStyle name="Comma 34 5 3 2 2" xfId="7766"/>
    <cellStyle name="Comma 34 5 3 3" xfId="7767"/>
    <cellStyle name="Comma 34 5 4" xfId="7768"/>
    <cellStyle name="Comma 34 6" xfId="555"/>
    <cellStyle name="Comma 34 6 2" xfId="7769"/>
    <cellStyle name="Comma 34 6 2 2" xfId="7770"/>
    <cellStyle name="Comma 34 6 3" xfId="7771"/>
    <cellStyle name="Comma 34 7" xfId="556"/>
    <cellStyle name="Comma 34 7 2" xfId="7772"/>
    <cellStyle name="Comma 34 7 2 2" xfId="7773"/>
    <cellStyle name="Comma 34 7 3" xfId="7774"/>
    <cellStyle name="Comma 34 8" xfId="557"/>
    <cellStyle name="Comma 34 8 2" xfId="7775"/>
    <cellStyle name="Comma 34 8 2 2" xfId="7776"/>
    <cellStyle name="Comma 34 8 3" xfId="7777"/>
    <cellStyle name="Comma 34 9" xfId="558"/>
    <cellStyle name="Comma 34 9 2" xfId="7778"/>
    <cellStyle name="Comma 34 9 2 2" xfId="7779"/>
    <cellStyle name="Comma 34 9 3" xfId="7780"/>
    <cellStyle name="Comma 340" xfId="19590"/>
    <cellStyle name="Comma 341" xfId="19592"/>
    <cellStyle name="Comma 342" xfId="19597"/>
    <cellStyle name="Comma 343" xfId="19678"/>
    <cellStyle name="Comma 344" xfId="19680"/>
    <cellStyle name="Comma 345" xfId="19683"/>
    <cellStyle name="Comma 346" xfId="19687"/>
    <cellStyle name="Comma 347" xfId="19869"/>
    <cellStyle name="Comma 348" xfId="19872"/>
    <cellStyle name="Comma 349" xfId="19875"/>
    <cellStyle name="Comma 35" xfId="559"/>
    <cellStyle name="Comma 35 10" xfId="560"/>
    <cellStyle name="Comma 35 10 2" xfId="7781"/>
    <cellStyle name="Comma 35 10 2 2" xfId="7782"/>
    <cellStyle name="Comma 35 10 3" xfId="7783"/>
    <cellStyle name="Comma 35 11" xfId="561"/>
    <cellStyle name="Comma 35 11 2" xfId="7784"/>
    <cellStyle name="Comma 35 11 2 2" xfId="7785"/>
    <cellStyle name="Comma 35 11 3" xfId="7786"/>
    <cellStyle name="Comma 35 12" xfId="562"/>
    <cellStyle name="Comma 35 12 2" xfId="7787"/>
    <cellStyle name="Comma 35 12 2 2" xfId="7788"/>
    <cellStyle name="Comma 35 12 3" xfId="7789"/>
    <cellStyle name="Comma 35 13" xfId="563"/>
    <cellStyle name="Comma 35 13 2" xfId="7790"/>
    <cellStyle name="Comma 35 13 2 2" xfId="7791"/>
    <cellStyle name="Comma 35 13 3" xfId="7792"/>
    <cellStyle name="Comma 35 14" xfId="564"/>
    <cellStyle name="Comma 35 14 2" xfId="7793"/>
    <cellStyle name="Comma 35 14 2 2" xfId="7794"/>
    <cellStyle name="Comma 35 14 3" xfId="7795"/>
    <cellStyle name="Comma 35 15" xfId="565"/>
    <cellStyle name="Comma 35 15 2" xfId="7796"/>
    <cellStyle name="Comma 35 15 2 2" xfId="7797"/>
    <cellStyle name="Comma 35 15 3" xfId="7798"/>
    <cellStyle name="Comma 35 16" xfId="7799"/>
    <cellStyle name="Comma 35 16 2" xfId="7800"/>
    <cellStyle name="Comma 35 16 2 2" xfId="7801"/>
    <cellStyle name="Comma 35 16 3" xfId="7802"/>
    <cellStyle name="Comma 35 17" xfId="7803"/>
    <cellStyle name="Comma 35 17 2" xfId="7804"/>
    <cellStyle name="Comma 35 17 2 2" xfId="7805"/>
    <cellStyle name="Comma 35 17 3" xfId="7806"/>
    <cellStyle name="Comma 35 18" xfId="7807"/>
    <cellStyle name="Comma 35 18 2" xfId="7808"/>
    <cellStyle name="Comma 35 18 2 2" xfId="7809"/>
    <cellStyle name="Comma 35 18 3" xfId="7810"/>
    <cellStyle name="Comma 35 19" xfId="7811"/>
    <cellStyle name="Comma 35 19 2" xfId="7812"/>
    <cellStyle name="Comma 35 19 2 2" xfId="7813"/>
    <cellStyle name="Comma 35 19 3" xfId="7814"/>
    <cellStyle name="Comma 35 2" xfId="566"/>
    <cellStyle name="Comma 35 2 2" xfId="7815"/>
    <cellStyle name="Comma 35 2 2 2" xfId="7816"/>
    <cellStyle name="Comma 35 2 3" xfId="7817"/>
    <cellStyle name="Comma 35 2 3 2" xfId="7818"/>
    <cellStyle name="Comma 35 2 3 2 2" xfId="7819"/>
    <cellStyle name="Comma 35 2 3 3" xfId="7820"/>
    <cellStyle name="Comma 35 2 4" xfId="7821"/>
    <cellStyle name="Comma 35 2 5" xfId="17124"/>
    <cellStyle name="Comma 35 20" xfId="7822"/>
    <cellStyle name="Comma 35 20 2" xfId="7823"/>
    <cellStyle name="Comma 35 20 2 2" xfId="7824"/>
    <cellStyle name="Comma 35 20 3" xfId="7825"/>
    <cellStyle name="Comma 35 21" xfId="7826"/>
    <cellStyle name="Comma 35 21 2" xfId="7827"/>
    <cellStyle name="Comma 35 21 2 2" xfId="7828"/>
    <cellStyle name="Comma 35 21 3" xfId="7829"/>
    <cellStyle name="Comma 35 22" xfId="7830"/>
    <cellStyle name="Comma 35 22 2" xfId="7831"/>
    <cellStyle name="Comma 35 22 2 2" xfId="7832"/>
    <cellStyle name="Comma 35 22 3" xfId="7833"/>
    <cellStyle name="Comma 35 23" xfId="7834"/>
    <cellStyle name="Comma 35 23 2" xfId="7835"/>
    <cellStyle name="Comma 35 23 2 2" xfId="7836"/>
    <cellStyle name="Comma 35 23 3" xfId="7837"/>
    <cellStyle name="Comma 35 24" xfId="7838"/>
    <cellStyle name="Comma 35 24 2" xfId="7839"/>
    <cellStyle name="Comma 35 24 2 2" xfId="7840"/>
    <cellStyle name="Comma 35 24 3" xfId="7841"/>
    <cellStyle name="Comma 35 25" xfId="7842"/>
    <cellStyle name="Comma 35 25 2" xfId="7843"/>
    <cellStyle name="Comma 35 25 2 2" xfId="7844"/>
    <cellStyle name="Comma 35 25 3" xfId="7845"/>
    <cellStyle name="Comma 35 26" xfId="7846"/>
    <cellStyle name="Comma 35 26 2" xfId="7847"/>
    <cellStyle name="Comma 35 26 2 2" xfId="7848"/>
    <cellStyle name="Comma 35 26 3" xfId="7849"/>
    <cellStyle name="Comma 35 27" xfId="7850"/>
    <cellStyle name="Comma 35 27 2" xfId="7851"/>
    <cellStyle name="Comma 35 27 2 2" xfId="7852"/>
    <cellStyle name="Comma 35 27 3" xfId="7853"/>
    <cellStyle name="Comma 35 28" xfId="7854"/>
    <cellStyle name="Comma 35 28 2" xfId="7855"/>
    <cellStyle name="Comma 35 28 2 2" xfId="7856"/>
    <cellStyle name="Comma 35 28 3" xfId="7857"/>
    <cellStyle name="Comma 35 29" xfId="7858"/>
    <cellStyle name="Comma 35 29 2" xfId="7859"/>
    <cellStyle name="Comma 35 3" xfId="567"/>
    <cellStyle name="Comma 35 3 2" xfId="7860"/>
    <cellStyle name="Comma 35 3 2 2" xfId="7861"/>
    <cellStyle name="Comma 35 3 3" xfId="7862"/>
    <cellStyle name="Comma 35 3 3 2" xfId="7863"/>
    <cellStyle name="Comma 35 3 3 2 2" xfId="7864"/>
    <cellStyle name="Comma 35 3 3 3" xfId="7865"/>
    <cellStyle name="Comma 35 3 4" xfId="7866"/>
    <cellStyle name="Comma 35 3 5" xfId="17040"/>
    <cellStyle name="Comma 35 30" xfId="7867"/>
    <cellStyle name="Comma 35 30 2" xfId="7868"/>
    <cellStyle name="Comma 35 30 2 2" xfId="7869"/>
    <cellStyle name="Comma 35 30 3" xfId="7870"/>
    <cellStyle name="Comma 35 31" xfId="7871"/>
    <cellStyle name="Comma 35 31 2" xfId="7872"/>
    <cellStyle name="Comma 35 32" xfId="7873"/>
    <cellStyle name="Comma 35 33" xfId="7874"/>
    <cellStyle name="Comma 35 34" xfId="16327"/>
    <cellStyle name="Comma 35 4" xfId="568"/>
    <cellStyle name="Comma 35 4 2" xfId="7875"/>
    <cellStyle name="Comma 35 4 2 2" xfId="7876"/>
    <cellStyle name="Comma 35 4 3" xfId="7877"/>
    <cellStyle name="Comma 35 4 3 2" xfId="7878"/>
    <cellStyle name="Comma 35 4 3 2 2" xfId="7879"/>
    <cellStyle name="Comma 35 4 3 3" xfId="7880"/>
    <cellStyle name="Comma 35 4 4" xfId="7881"/>
    <cellStyle name="Comma 35 4 5" xfId="16880"/>
    <cellStyle name="Comma 35 5" xfId="569"/>
    <cellStyle name="Comma 35 5 2" xfId="7882"/>
    <cellStyle name="Comma 35 5 2 2" xfId="7883"/>
    <cellStyle name="Comma 35 5 3" xfId="7884"/>
    <cellStyle name="Comma 35 5 3 2" xfId="7885"/>
    <cellStyle name="Comma 35 5 3 2 2" xfId="7886"/>
    <cellStyle name="Comma 35 5 3 3" xfId="7887"/>
    <cellStyle name="Comma 35 5 4" xfId="7888"/>
    <cellStyle name="Comma 35 5 5" xfId="16507"/>
    <cellStyle name="Comma 35 6" xfId="570"/>
    <cellStyle name="Comma 35 6 2" xfId="7889"/>
    <cellStyle name="Comma 35 6 2 2" xfId="7890"/>
    <cellStyle name="Comma 35 6 3" xfId="7891"/>
    <cellStyle name="Comma 35 7" xfId="571"/>
    <cellStyle name="Comma 35 7 2" xfId="7892"/>
    <cellStyle name="Comma 35 7 2 2" xfId="7893"/>
    <cellStyle name="Comma 35 7 3" xfId="7894"/>
    <cellStyle name="Comma 35 8" xfId="572"/>
    <cellStyle name="Comma 35 8 2" xfId="7895"/>
    <cellStyle name="Comma 35 8 2 2" xfId="7896"/>
    <cellStyle name="Comma 35 8 3" xfId="7897"/>
    <cellStyle name="Comma 35 9" xfId="573"/>
    <cellStyle name="Comma 35 9 2" xfId="7898"/>
    <cellStyle name="Comma 35 9 2 2" xfId="7899"/>
    <cellStyle name="Comma 35 9 3" xfId="7900"/>
    <cellStyle name="Comma 350" xfId="19878"/>
    <cellStyle name="Comma 351" xfId="19880"/>
    <cellStyle name="Comma 352" xfId="19885"/>
    <cellStyle name="Comma 353" xfId="19888"/>
    <cellStyle name="Comma 354" xfId="19891"/>
    <cellStyle name="Comma 355" xfId="19894"/>
    <cellStyle name="Comma 356" xfId="19897"/>
    <cellStyle name="Comma 357" xfId="19900"/>
    <cellStyle name="Comma 358" xfId="19903"/>
    <cellStyle name="Comma 359" xfId="19906"/>
    <cellStyle name="Comma 36" xfId="574"/>
    <cellStyle name="Comma 36 10" xfId="575"/>
    <cellStyle name="Comma 36 10 2" xfId="7901"/>
    <cellStyle name="Comma 36 10 2 2" xfId="7902"/>
    <cellStyle name="Comma 36 10 3" xfId="7903"/>
    <cellStyle name="Comma 36 11" xfId="576"/>
    <cellStyle name="Comma 36 11 2" xfId="7904"/>
    <cellStyle name="Comma 36 11 2 2" xfId="7905"/>
    <cellStyle name="Comma 36 11 3" xfId="7906"/>
    <cellStyle name="Comma 36 12" xfId="577"/>
    <cellStyle name="Comma 36 12 2" xfId="7907"/>
    <cellStyle name="Comma 36 12 2 2" xfId="7908"/>
    <cellStyle name="Comma 36 12 3" xfId="7909"/>
    <cellStyle name="Comma 36 13" xfId="578"/>
    <cellStyle name="Comma 36 13 2" xfId="7910"/>
    <cellStyle name="Comma 36 13 2 2" xfId="7911"/>
    <cellStyle name="Comma 36 13 3" xfId="7912"/>
    <cellStyle name="Comma 36 14" xfId="579"/>
    <cellStyle name="Comma 36 14 2" xfId="7913"/>
    <cellStyle name="Comma 36 14 2 2" xfId="7914"/>
    <cellStyle name="Comma 36 14 3" xfId="7915"/>
    <cellStyle name="Comma 36 15" xfId="580"/>
    <cellStyle name="Comma 36 15 2" xfId="7916"/>
    <cellStyle name="Comma 36 15 2 2" xfId="7917"/>
    <cellStyle name="Comma 36 15 3" xfId="7918"/>
    <cellStyle name="Comma 36 16" xfId="7919"/>
    <cellStyle name="Comma 36 16 2" xfId="7920"/>
    <cellStyle name="Comma 36 16 2 2" xfId="7921"/>
    <cellStyle name="Comma 36 16 3" xfId="7922"/>
    <cellStyle name="Comma 36 17" xfId="7923"/>
    <cellStyle name="Comma 36 17 2" xfId="7924"/>
    <cellStyle name="Comma 36 17 2 2" xfId="7925"/>
    <cellStyle name="Comma 36 17 3" xfId="7926"/>
    <cellStyle name="Comma 36 18" xfId="7927"/>
    <cellStyle name="Comma 36 18 2" xfId="7928"/>
    <cellStyle name="Comma 36 18 2 2" xfId="7929"/>
    <cellStyle name="Comma 36 18 3" xfId="7930"/>
    <cellStyle name="Comma 36 19" xfId="7931"/>
    <cellStyle name="Comma 36 19 2" xfId="7932"/>
    <cellStyle name="Comma 36 19 2 2" xfId="7933"/>
    <cellStyle name="Comma 36 19 3" xfId="7934"/>
    <cellStyle name="Comma 36 2" xfId="581"/>
    <cellStyle name="Comma 36 2 2" xfId="7935"/>
    <cellStyle name="Comma 36 2 2 2" xfId="7936"/>
    <cellStyle name="Comma 36 2 3" xfId="7937"/>
    <cellStyle name="Comma 36 2 3 2" xfId="7938"/>
    <cellStyle name="Comma 36 2 3 2 2" xfId="7939"/>
    <cellStyle name="Comma 36 2 3 3" xfId="7940"/>
    <cellStyle name="Comma 36 2 4" xfId="7941"/>
    <cellStyle name="Comma 36 2 5" xfId="17134"/>
    <cellStyle name="Comma 36 20" xfId="7942"/>
    <cellStyle name="Comma 36 20 2" xfId="7943"/>
    <cellStyle name="Comma 36 20 2 2" xfId="7944"/>
    <cellStyle name="Comma 36 20 3" xfId="7945"/>
    <cellStyle name="Comma 36 21" xfId="7946"/>
    <cellStyle name="Comma 36 21 2" xfId="7947"/>
    <cellStyle name="Comma 36 21 2 2" xfId="7948"/>
    <cellStyle name="Comma 36 21 3" xfId="7949"/>
    <cellStyle name="Comma 36 22" xfId="7950"/>
    <cellStyle name="Comma 36 22 2" xfId="7951"/>
    <cellStyle name="Comma 36 22 2 2" xfId="7952"/>
    <cellStyle name="Comma 36 22 3" xfId="7953"/>
    <cellStyle name="Comma 36 23" xfId="7954"/>
    <cellStyle name="Comma 36 23 2" xfId="7955"/>
    <cellStyle name="Comma 36 23 2 2" xfId="7956"/>
    <cellStyle name="Comma 36 23 3" xfId="7957"/>
    <cellStyle name="Comma 36 24" xfId="7958"/>
    <cellStyle name="Comma 36 24 2" xfId="7959"/>
    <cellStyle name="Comma 36 24 2 2" xfId="7960"/>
    <cellStyle name="Comma 36 24 3" xfId="7961"/>
    <cellStyle name="Comma 36 25" xfId="7962"/>
    <cellStyle name="Comma 36 25 2" xfId="7963"/>
    <cellStyle name="Comma 36 25 2 2" xfId="7964"/>
    <cellStyle name="Comma 36 25 3" xfId="7965"/>
    <cellStyle name="Comma 36 26" xfId="7966"/>
    <cellStyle name="Comma 36 26 2" xfId="7967"/>
    <cellStyle name="Comma 36 26 2 2" xfId="7968"/>
    <cellStyle name="Comma 36 26 3" xfId="7969"/>
    <cellStyle name="Comma 36 27" xfId="7970"/>
    <cellStyle name="Comma 36 27 2" xfId="7971"/>
    <cellStyle name="Comma 36 27 2 2" xfId="7972"/>
    <cellStyle name="Comma 36 27 3" xfId="7973"/>
    <cellStyle name="Comma 36 28" xfId="7974"/>
    <cellStyle name="Comma 36 28 2" xfId="7975"/>
    <cellStyle name="Comma 36 28 2 2" xfId="7976"/>
    <cellStyle name="Comma 36 28 3" xfId="7977"/>
    <cellStyle name="Comma 36 29" xfId="7978"/>
    <cellStyle name="Comma 36 29 2" xfId="7979"/>
    <cellStyle name="Comma 36 3" xfId="582"/>
    <cellStyle name="Comma 36 3 2" xfId="7980"/>
    <cellStyle name="Comma 36 3 2 2" xfId="7981"/>
    <cellStyle name="Comma 36 3 3" xfId="7982"/>
    <cellStyle name="Comma 36 3 3 2" xfId="7983"/>
    <cellStyle name="Comma 36 3 3 2 2" xfId="7984"/>
    <cellStyle name="Comma 36 3 3 3" xfId="7985"/>
    <cellStyle name="Comma 36 3 4" xfId="7986"/>
    <cellStyle name="Comma 36 3 5" xfId="16895"/>
    <cellStyle name="Comma 36 30" xfId="7987"/>
    <cellStyle name="Comma 36 30 2" xfId="7988"/>
    <cellStyle name="Comma 36 30 2 2" xfId="7989"/>
    <cellStyle name="Comma 36 30 3" xfId="7990"/>
    <cellStyle name="Comma 36 31" xfId="7991"/>
    <cellStyle name="Comma 36 31 2" xfId="7992"/>
    <cellStyle name="Comma 36 32" xfId="7993"/>
    <cellStyle name="Comma 36 33" xfId="7994"/>
    <cellStyle name="Comma 36 34" xfId="16340"/>
    <cellStyle name="Comma 36 4" xfId="583"/>
    <cellStyle name="Comma 36 4 2" xfId="7995"/>
    <cellStyle name="Comma 36 4 2 2" xfId="7996"/>
    <cellStyle name="Comma 36 4 3" xfId="7997"/>
    <cellStyle name="Comma 36 4 3 2" xfId="7998"/>
    <cellStyle name="Comma 36 4 3 2 2" xfId="7999"/>
    <cellStyle name="Comma 36 4 3 3" xfId="8000"/>
    <cellStyle name="Comma 36 4 4" xfId="8001"/>
    <cellStyle name="Comma 36 4 5" xfId="16509"/>
    <cellStyle name="Comma 36 5" xfId="584"/>
    <cellStyle name="Comma 36 5 2" xfId="8002"/>
    <cellStyle name="Comma 36 5 2 2" xfId="8003"/>
    <cellStyle name="Comma 36 5 3" xfId="8004"/>
    <cellStyle name="Comma 36 5 3 2" xfId="8005"/>
    <cellStyle name="Comma 36 5 3 2 2" xfId="8006"/>
    <cellStyle name="Comma 36 5 3 3" xfId="8007"/>
    <cellStyle name="Comma 36 5 4" xfId="8008"/>
    <cellStyle name="Comma 36 6" xfId="585"/>
    <cellStyle name="Comma 36 6 2" xfId="8009"/>
    <cellStyle name="Comma 36 6 2 2" xfId="8010"/>
    <cellStyle name="Comma 36 6 3" xfId="8011"/>
    <cellStyle name="Comma 36 7" xfId="586"/>
    <cellStyle name="Comma 36 7 2" xfId="8012"/>
    <cellStyle name="Comma 36 7 2 2" xfId="8013"/>
    <cellStyle name="Comma 36 7 3" xfId="8014"/>
    <cellStyle name="Comma 36 8" xfId="587"/>
    <cellStyle name="Comma 36 8 2" xfId="8015"/>
    <cellStyle name="Comma 36 8 2 2" xfId="8016"/>
    <cellStyle name="Comma 36 8 3" xfId="8017"/>
    <cellStyle name="Comma 36 9" xfId="588"/>
    <cellStyle name="Comma 36 9 2" xfId="8018"/>
    <cellStyle name="Comma 36 9 2 2" xfId="8019"/>
    <cellStyle name="Comma 36 9 3" xfId="8020"/>
    <cellStyle name="Comma 360" xfId="19909"/>
    <cellStyle name="Comma 361" xfId="19913"/>
    <cellStyle name="Comma 362" xfId="19917"/>
    <cellStyle name="Comma 363" xfId="19920"/>
    <cellStyle name="Comma 364" xfId="19925"/>
    <cellStyle name="Comma 365" xfId="19926"/>
    <cellStyle name="Comma 366" xfId="19927"/>
    <cellStyle name="Comma 367" xfId="19928"/>
    <cellStyle name="Comma 368" xfId="19929"/>
    <cellStyle name="Comma 369" xfId="19930"/>
    <cellStyle name="Comma 37" xfId="589"/>
    <cellStyle name="Comma 37 10" xfId="590"/>
    <cellStyle name="Comma 37 10 2" xfId="8021"/>
    <cellStyle name="Comma 37 10 2 2" xfId="8022"/>
    <cellStyle name="Comma 37 10 3" xfId="8023"/>
    <cellStyle name="Comma 37 11" xfId="591"/>
    <cellStyle name="Comma 37 11 2" xfId="8024"/>
    <cellStyle name="Comma 37 11 2 2" xfId="8025"/>
    <cellStyle name="Comma 37 11 3" xfId="8026"/>
    <cellStyle name="Comma 37 12" xfId="592"/>
    <cellStyle name="Comma 37 12 2" xfId="8027"/>
    <cellStyle name="Comma 37 12 2 2" xfId="8028"/>
    <cellStyle name="Comma 37 12 3" xfId="8029"/>
    <cellStyle name="Comma 37 13" xfId="593"/>
    <cellStyle name="Comma 37 13 2" xfId="8030"/>
    <cellStyle name="Comma 37 13 2 2" xfId="8031"/>
    <cellStyle name="Comma 37 13 3" xfId="8032"/>
    <cellStyle name="Comma 37 14" xfId="594"/>
    <cellStyle name="Comma 37 14 2" xfId="8033"/>
    <cellStyle name="Comma 37 14 2 2" xfId="8034"/>
    <cellStyle name="Comma 37 14 3" xfId="8035"/>
    <cellStyle name="Comma 37 15" xfId="595"/>
    <cellStyle name="Comma 37 15 2" xfId="8036"/>
    <cellStyle name="Comma 37 15 2 2" xfId="8037"/>
    <cellStyle name="Comma 37 15 3" xfId="8038"/>
    <cellStyle name="Comma 37 16" xfId="8039"/>
    <cellStyle name="Comma 37 16 2" xfId="8040"/>
    <cellStyle name="Comma 37 16 2 2" xfId="8041"/>
    <cellStyle name="Comma 37 16 3" xfId="8042"/>
    <cellStyle name="Comma 37 17" xfId="8043"/>
    <cellStyle name="Comma 37 17 2" xfId="8044"/>
    <cellStyle name="Comma 37 17 2 2" xfId="8045"/>
    <cellStyle name="Comma 37 17 3" xfId="8046"/>
    <cellStyle name="Comma 37 18" xfId="8047"/>
    <cellStyle name="Comma 37 18 2" xfId="8048"/>
    <cellStyle name="Comma 37 18 2 2" xfId="8049"/>
    <cellStyle name="Comma 37 18 3" xfId="8050"/>
    <cellStyle name="Comma 37 19" xfId="8051"/>
    <cellStyle name="Comma 37 19 2" xfId="8052"/>
    <cellStyle name="Comma 37 19 2 2" xfId="8053"/>
    <cellStyle name="Comma 37 19 3" xfId="8054"/>
    <cellStyle name="Comma 37 2" xfId="596"/>
    <cellStyle name="Comma 37 2 2" xfId="8055"/>
    <cellStyle name="Comma 37 2 2 2" xfId="8056"/>
    <cellStyle name="Comma 37 2 3" xfId="8057"/>
    <cellStyle name="Comma 37 2 3 2" xfId="8058"/>
    <cellStyle name="Comma 37 2 3 2 2" xfId="8059"/>
    <cellStyle name="Comma 37 2 3 3" xfId="8060"/>
    <cellStyle name="Comma 37 2 4" xfId="8061"/>
    <cellStyle name="Comma 37 2 5" xfId="17136"/>
    <cellStyle name="Comma 37 20" xfId="8062"/>
    <cellStyle name="Comma 37 20 2" xfId="8063"/>
    <cellStyle name="Comma 37 20 2 2" xfId="8064"/>
    <cellStyle name="Comma 37 20 3" xfId="8065"/>
    <cellStyle name="Comma 37 21" xfId="8066"/>
    <cellStyle name="Comma 37 21 2" xfId="8067"/>
    <cellStyle name="Comma 37 21 2 2" xfId="8068"/>
    <cellStyle name="Comma 37 21 3" xfId="8069"/>
    <cellStyle name="Comma 37 22" xfId="8070"/>
    <cellStyle name="Comma 37 22 2" xfId="8071"/>
    <cellStyle name="Comma 37 22 2 2" xfId="8072"/>
    <cellStyle name="Comma 37 22 3" xfId="8073"/>
    <cellStyle name="Comma 37 23" xfId="8074"/>
    <cellStyle name="Comma 37 23 2" xfId="8075"/>
    <cellStyle name="Comma 37 23 2 2" xfId="8076"/>
    <cellStyle name="Comma 37 23 3" xfId="8077"/>
    <cellStyle name="Comma 37 24" xfId="8078"/>
    <cellStyle name="Comma 37 24 2" xfId="8079"/>
    <cellStyle name="Comma 37 24 2 2" xfId="8080"/>
    <cellStyle name="Comma 37 24 3" xfId="8081"/>
    <cellStyle name="Comma 37 25" xfId="8082"/>
    <cellStyle name="Comma 37 25 2" xfId="8083"/>
    <cellStyle name="Comma 37 25 2 2" xfId="8084"/>
    <cellStyle name="Comma 37 25 3" xfId="8085"/>
    <cellStyle name="Comma 37 26" xfId="8086"/>
    <cellStyle name="Comma 37 26 2" xfId="8087"/>
    <cellStyle name="Comma 37 26 2 2" xfId="8088"/>
    <cellStyle name="Comma 37 26 3" xfId="8089"/>
    <cellStyle name="Comma 37 27" xfId="8090"/>
    <cellStyle name="Comma 37 27 2" xfId="8091"/>
    <cellStyle name="Comma 37 27 2 2" xfId="8092"/>
    <cellStyle name="Comma 37 27 3" xfId="8093"/>
    <cellStyle name="Comma 37 28" xfId="8094"/>
    <cellStyle name="Comma 37 28 2" xfId="8095"/>
    <cellStyle name="Comma 37 28 2 2" xfId="8096"/>
    <cellStyle name="Comma 37 28 3" xfId="8097"/>
    <cellStyle name="Comma 37 29" xfId="8098"/>
    <cellStyle name="Comma 37 29 2" xfId="8099"/>
    <cellStyle name="Comma 37 3" xfId="597"/>
    <cellStyle name="Comma 37 3 2" xfId="8100"/>
    <cellStyle name="Comma 37 3 2 2" xfId="8101"/>
    <cellStyle name="Comma 37 3 3" xfId="8102"/>
    <cellStyle name="Comma 37 3 3 2" xfId="8103"/>
    <cellStyle name="Comma 37 3 3 2 2" xfId="8104"/>
    <cellStyle name="Comma 37 3 3 3" xfId="8105"/>
    <cellStyle name="Comma 37 3 4" xfId="8106"/>
    <cellStyle name="Comma 37 3 5" xfId="17286"/>
    <cellStyle name="Comma 37 30" xfId="8107"/>
    <cellStyle name="Comma 37 30 2" xfId="8108"/>
    <cellStyle name="Comma 37 30 2 2" xfId="8109"/>
    <cellStyle name="Comma 37 30 3" xfId="8110"/>
    <cellStyle name="Comma 37 31" xfId="8111"/>
    <cellStyle name="Comma 37 31 2" xfId="8112"/>
    <cellStyle name="Comma 37 32" xfId="8113"/>
    <cellStyle name="Comma 37 33" xfId="8114"/>
    <cellStyle name="Comma 37 34" xfId="16342"/>
    <cellStyle name="Comma 37 35" xfId="19525"/>
    <cellStyle name="Comma 37 4" xfId="598"/>
    <cellStyle name="Comma 37 4 2" xfId="8115"/>
    <cellStyle name="Comma 37 4 2 2" xfId="8116"/>
    <cellStyle name="Comma 37 4 3" xfId="8117"/>
    <cellStyle name="Comma 37 4 3 2" xfId="8118"/>
    <cellStyle name="Comma 37 4 3 2 2" xfId="8119"/>
    <cellStyle name="Comma 37 4 3 3" xfId="8120"/>
    <cellStyle name="Comma 37 4 4" xfId="8121"/>
    <cellStyle name="Comma 37 4 5" xfId="16979"/>
    <cellStyle name="Comma 37 5" xfId="599"/>
    <cellStyle name="Comma 37 5 2" xfId="8122"/>
    <cellStyle name="Comma 37 5 2 2" xfId="8123"/>
    <cellStyle name="Comma 37 5 3" xfId="8124"/>
    <cellStyle name="Comma 37 5 3 2" xfId="8125"/>
    <cellStyle name="Comma 37 5 3 2 2" xfId="8126"/>
    <cellStyle name="Comma 37 5 3 3" xfId="8127"/>
    <cellStyle name="Comma 37 5 4" xfId="8128"/>
    <cellStyle name="Comma 37 6" xfId="600"/>
    <cellStyle name="Comma 37 6 2" xfId="8129"/>
    <cellStyle name="Comma 37 6 2 2" xfId="8130"/>
    <cellStyle name="Comma 37 6 3" xfId="8131"/>
    <cellStyle name="Comma 37 7" xfId="601"/>
    <cellStyle name="Comma 37 7 2" xfId="8132"/>
    <cellStyle name="Comma 37 7 2 2" xfId="8133"/>
    <cellStyle name="Comma 37 7 3" xfId="8134"/>
    <cellStyle name="Comma 37 8" xfId="602"/>
    <cellStyle name="Comma 37 8 2" xfId="8135"/>
    <cellStyle name="Comma 37 8 2 2" xfId="8136"/>
    <cellStyle name="Comma 37 8 3" xfId="8137"/>
    <cellStyle name="Comma 37 9" xfId="603"/>
    <cellStyle name="Comma 37 9 2" xfId="8138"/>
    <cellStyle name="Comma 37 9 2 2" xfId="8139"/>
    <cellStyle name="Comma 37 9 3" xfId="8140"/>
    <cellStyle name="Comma 370" xfId="19931"/>
    <cellStyle name="Comma 371" xfId="19932"/>
    <cellStyle name="Comma 372" xfId="19933"/>
    <cellStyle name="Comma 373" xfId="19934"/>
    <cellStyle name="Comma 374" xfId="19935"/>
    <cellStyle name="Comma 38" xfId="604"/>
    <cellStyle name="Comma 38 10" xfId="605"/>
    <cellStyle name="Comma 38 10 2" xfId="8141"/>
    <cellStyle name="Comma 38 10 2 2" xfId="8142"/>
    <cellStyle name="Comma 38 10 3" xfId="8143"/>
    <cellStyle name="Comma 38 11" xfId="606"/>
    <cellStyle name="Comma 38 11 2" xfId="8144"/>
    <cellStyle name="Comma 38 11 2 2" xfId="8145"/>
    <cellStyle name="Comma 38 11 3" xfId="8146"/>
    <cellStyle name="Comma 38 12" xfId="607"/>
    <cellStyle name="Comma 38 12 2" xfId="8147"/>
    <cellStyle name="Comma 38 12 2 2" xfId="8148"/>
    <cellStyle name="Comma 38 12 3" xfId="8149"/>
    <cellStyle name="Comma 38 13" xfId="608"/>
    <cellStyle name="Comma 38 13 2" xfId="8150"/>
    <cellStyle name="Comma 38 13 2 2" xfId="8151"/>
    <cellStyle name="Comma 38 13 3" xfId="8152"/>
    <cellStyle name="Comma 38 14" xfId="609"/>
    <cellStyle name="Comma 38 14 2" xfId="8153"/>
    <cellStyle name="Comma 38 14 2 2" xfId="8154"/>
    <cellStyle name="Comma 38 14 3" xfId="8155"/>
    <cellStyle name="Comma 38 15" xfId="610"/>
    <cellStyle name="Comma 38 15 2" xfId="8156"/>
    <cellStyle name="Comma 38 15 2 2" xfId="8157"/>
    <cellStyle name="Comma 38 15 3" xfId="8158"/>
    <cellStyle name="Comma 38 16" xfId="8159"/>
    <cellStyle name="Comma 38 16 2" xfId="8160"/>
    <cellStyle name="Comma 38 16 2 2" xfId="8161"/>
    <cellStyle name="Comma 38 16 3" xfId="8162"/>
    <cellStyle name="Comma 38 17" xfId="8163"/>
    <cellStyle name="Comma 38 17 2" xfId="8164"/>
    <cellStyle name="Comma 38 17 2 2" xfId="8165"/>
    <cellStyle name="Comma 38 17 3" xfId="8166"/>
    <cellStyle name="Comma 38 18" xfId="8167"/>
    <cellStyle name="Comma 38 18 2" xfId="8168"/>
    <cellStyle name="Comma 38 18 2 2" xfId="8169"/>
    <cellStyle name="Comma 38 18 3" xfId="8170"/>
    <cellStyle name="Comma 38 19" xfId="8171"/>
    <cellStyle name="Comma 38 19 2" xfId="8172"/>
    <cellStyle name="Comma 38 19 2 2" xfId="8173"/>
    <cellStyle name="Comma 38 19 3" xfId="8174"/>
    <cellStyle name="Comma 38 2" xfId="611"/>
    <cellStyle name="Comma 38 2 2" xfId="8175"/>
    <cellStyle name="Comma 38 2 2 2" xfId="8176"/>
    <cellStyle name="Comma 38 2 3" xfId="8177"/>
    <cellStyle name="Comma 38 2 3 2" xfId="8178"/>
    <cellStyle name="Comma 38 2 3 2 2" xfId="8179"/>
    <cellStyle name="Comma 38 2 3 3" xfId="8180"/>
    <cellStyle name="Comma 38 2 4" xfId="8181"/>
    <cellStyle name="Comma 38 2 5" xfId="17125"/>
    <cellStyle name="Comma 38 20" xfId="8182"/>
    <cellStyle name="Comma 38 20 2" xfId="8183"/>
    <cellStyle name="Comma 38 20 2 2" xfId="8184"/>
    <cellStyle name="Comma 38 20 3" xfId="8185"/>
    <cellStyle name="Comma 38 21" xfId="8186"/>
    <cellStyle name="Comma 38 21 2" xfId="8187"/>
    <cellStyle name="Comma 38 21 2 2" xfId="8188"/>
    <cellStyle name="Comma 38 21 3" xfId="8189"/>
    <cellStyle name="Comma 38 22" xfId="8190"/>
    <cellStyle name="Comma 38 22 2" xfId="8191"/>
    <cellStyle name="Comma 38 22 2 2" xfId="8192"/>
    <cellStyle name="Comma 38 22 3" xfId="8193"/>
    <cellStyle name="Comma 38 23" xfId="8194"/>
    <cellStyle name="Comma 38 23 2" xfId="8195"/>
    <cellStyle name="Comma 38 23 2 2" xfId="8196"/>
    <cellStyle name="Comma 38 23 3" xfId="8197"/>
    <cellStyle name="Comma 38 24" xfId="8198"/>
    <cellStyle name="Comma 38 24 2" xfId="8199"/>
    <cellStyle name="Comma 38 24 2 2" xfId="8200"/>
    <cellStyle name="Comma 38 24 3" xfId="8201"/>
    <cellStyle name="Comma 38 25" xfId="8202"/>
    <cellStyle name="Comma 38 25 2" xfId="8203"/>
    <cellStyle name="Comma 38 25 2 2" xfId="8204"/>
    <cellStyle name="Comma 38 25 3" xfId="8205"/>
    <cellStyle name="Comma 38 26" xfId="8206"/>
    <cellStyle name="Comma 38 26 2" xfId="8207"/>
    <cellStyle name="Comma 38 26 2 2" xfId="8208"/>
    <cellStyle name="Comma 38 26 3" xfId="8209"/>
    <cellStyle name="Comma 38 27" xfId="8210"/>
    <cellStyle name="Comma 38 27 2" xfId="8211"/>
    <cellStyle name="Comma 38 27 2 2" xfId="8212"/>
    <cellStyle name="Comma 38 27 3" xfId="8213"/>
    <cellStyle name="Comma 38 28" xfId="8214"/>
    <cellStyle name="Comma 38 28 2" xfId="8215"/>
    <cellStyle name="Comma 38 28 2 2" xfId="8216"/>
    <cellStyle name="Comma 38 28 3" xfId="8217"/>
    <cellStyle name="Comma 38 29" xfId="8218"/>
    <cellStyle name="Comma 38 29 2" xfId="8219"/>
    <cellStyle name="Comma 38 3" xfId="612"/>
    <cellStyle name="Comma 38 3 2" xfId="8220"/>
    <cellStyle name="Comma 38 3 2 2" xfId="8221"/>
    <cellStyle name="Comma 38 3 3" xfId="8222"/>
    <cellStyle name="Comma 38 3 3 2" xfId="8223"/>
    <cellStyle name="Comma 38 3 3 2 2" xfId="8224"/>
    <cellStyle name="Comma 38 3 3 3" xfId="8225"/>
    <cellStyle name="Comma 38 3 4" xfId="8226"/>
    <cellStyle name="Comma 38 3 5" xfId="17285"/>
    <cellStyle name="Comma 38 30" xfId="8227"/>
    <cellStyle name="Comma 38 30 2" xfId="8228"/>
    <cellStyle name="Comma 38 30 2 2" xfId="8229"/>
    <cellStyle name="Comma 38 30 3" xfId="8230"/>
    <cellStyle name="Comma 38 31" xfId="8231"/>
    <cellStyle name="Comma 38 32" xfId="8232"/>
    <cellStyle name="Comma 38 33" xfId="16328"/>
    <cellStyle name="Comma 38 34" xfId="19526"/>
    <cellStyle name="Comma 38 4" xfId="613"/>
    <cellStyle name="Comma 38 4 2" xfId="8233"/>
    <cellStyle name="Comma 38 4 2 2" xfId="8234"/>
    <cellStyle name="Comma 38 4 3" xfId="8235"/>
    <cellStyle name="Comma 38 4 3 2" xfId="8236"/>
    <cellStyle name="Comma 38 4 3 2 2" xfId="8237"/>
    <cellStyle name="Comma 38 4 3 3" xfId="8238"/>
    <cellStyle name="Comma 38 4 4" xfId="8239"/>
    <cellStyle name="Comma 38 4 5" xfId="16982"/>
    <cellStyle name="Comma 38 5" xfId="614"/>
    <cellStyle name="Comma 38 5 2" xfId="8240"/>
    <cellStyle name="Comma 38 5 2 2" xfId="8241"/>
    <cellStyle name="Comma 38 5 3" xfId="8242"/>
    <cellStyle name="Comma 38 5 3 2" xfId="8243"/>
    <cellStyle name="Comma 38 5 3 2 2" xfId="8244"/>
    <cellStyle name="Comma 38 5 3 3" xfId="8245"/>
    <cellStyle name="Comma 38 5 4" xfId="8246"/>
    <cellStyle name="Comma 38 6" xfId="615"/>
    <cellStyle name="Comma 38 6 2" xfId="8247"/>
    <cellStyle name="Comma 38 6 2 2" xfId="8248"/>
    <cellStyle name="Comma 38 6 3" xfId="8249"/>
    <cellStyle name="Comma 38 7" xfId="616"/>
    <cellStyle name="Comma 38 7 2" xfId="8250"/>
    <cellStyle name="Comma 38 7 2 2" xfId="8251"/>
    <cellStyle name="Comma 38 7 3" xfId="8252"/>
    <cellStyle name="Comma 38 8" xfId="617"/>
    <cellStyle name="Comma 38 8 2" xfId="8253"/>
    <cellStyle name="Comma 38 8 2 2" xfId="8254"/>
    <cellStyle name="Comma 38 8 3" xfId="8255"/>
    <cellStyle name="Comma 38 9" xfId="618"/>
    <cellStyle name="Comma 38 9 2" xfId="8256"/>
    <cellStyle name="Comma 38 9 2 2" xfId="8257"/>
    <cellStyle name="Comma 38 9 3" xfId="8258"/>
    <cellStyle name="Comma 39" xfId="619"/>
    <cellStyle name="Comma 39 10" xfId="620"/>
    <cellStyle name="Comma 39 10 2" xfId="8259"/>
    <cellStyle name="Comma 39 10 2 2" xfId="8260"/>
    <cellStyle name="Comma 39 10 3" xfId="8261"/>
    <cellStyle name="Comma 39 11" xfId="621"/>
    <cellStyle name="Comma 39 11 2" xfId="8262"/>
    <cellStyle name="Comma 39 11 2 2" xfId="8263"/>
    <cellStyle name="Comma 39 11 3" xfId="8264"/>
    <cellStyle name="Comma 39 12" xfId="622"/>
    <cellStyle name="Comma 39 12 2" xfId="8265"/>
    <cellStyle name="Comma 39 12 2 2" xfId="8266"/>
    <cellStyle name="Comma 39 12 3" xfId="8267"/>
    <cellStyle name="Comma 39 13" xfId="623"/>
    <cellStyle name="Comma 39 13 2" xfId="8268"/>
    <cellStyle name="Comma 39 13 2 2" xfId="8269"/>
    <cellStyle name="Comma 39 13 3" xfId="8270"/>
    <cellStyle name="Comma 39 14" xfId="624"/>
    <cellStyle name="Comma 39 14 2" xfId="8271"/>
    <cellStyle name="Comma 39 14 2 2" xfId="8272"/>
    <cellStyle name="Comma 39 14 3" xfId="8273"/>
    <cellStyle name="Comma 39 15" xfId="625"/>
    <cellStyle name="Comma 39 15 2" xfId="8274"/>
    <cellStyle name="Comma 39 15 2 2" xfId="8275"/>
    <cellStyle name="Comma 39 15 3" xfId="8276"/>
    <cellStyle name="Comma 39 16" xfId="8277"/>
    <cellStyle name="Comma 39 16 2" xfId="8278"/>
    <cellStyle name="Comma 39 16 2 2" xfId="8279"/>
    <cellStyle name="Comma 39 16 3" xfId="8280"/>
    <cellStyle name="Comma 39 17" xfId="8281"/>
    <cellStyle name="Comma 39 17 2" xfId="8282"/>
    <cellStyle name="Comma 39 17 2 2" xfId="8283"/>
    <cellStyle name="Comma 39 17 3" xfId="8284"/>
    <cellStyle name="Comma 39 18" xfId="8285"/>
    <cellStyle name="Comma 39 18 2" xfId="8286"/>
    <cellStyle name="Comma 39 18 2 2" xfId="8287"/>
    <cellStyle name="Comma 39 18 3" xfId="8288"/>
    <cellStyle name="Comma 39 19" xfId="8289"/>
    <cellStyle name="Comma 39 19 2" xfId="8290"/>
    <cellStyle name="Comma 39 19 2 2" xfId="8291"/>
    <cellStyle name="Comma 39 19 3" xfId="8292"/>
    <cellStyle name="Comma 39 2" xfId="626"/>
    <cellStyle name="Comma 39 2 2" xfId="8293"/>
    <cellStyle name="Comma 39 2 2 2" xfId="8294"/>
    <cellStyle name="Comma 39 2 3" xfId="8295"/>
    <cellStyle name="Comma 39 2 3 2" xfId="8296"/>
    <cellStyle name="Comma 39 2 3 2 2" xfId="8297"/>
    <cellStyle name="Comma 39 2 3 3" xfId="8298"/>
    <cellStyle name="Comma 39 2 4" xfId="8299"/>
    <cellStyle name="Comma 39 2 5" xfId="17137"/>
    <cellStyle name="Comma 39 20" xfId="8300"/>
    <cellStyle name="Comma 39 20 2" xfId="8301"/>
    <cellStyle name="Comma 39 20 2 2" xfId="8302"/>
    <cellStyle name="Comma 39 20 3" xfId="8303"/>
    <cellStyle name="Comma 39 21" xfId="8304"/>
    <cellStyle name="Comma 39 21 2" xfId="8305"/>
    <cellStyle name="Comma 39 21 2 2" xfId="8306"/>
    <cellStyle name="Comma 39 21 3" xfId="8307"/>
    <cellStyle name="Comma 39 22" xfId="8308"/>
    <cellStyle name="Comma 39 22 2" xfId="8309"/>
    <cellStyle name="Comma 39 22 2 2" xfId="8310"/>
    <cellStyle name="Comma 39 22 3" xfId="8311"/>
    <cellStyle name="Comma 39 23" xfId="8312"/>
    <cellStyle name="Comma 39 23 2" xfId="8313"/>
    <cellStyle name="Comma 39 23 2 2" xfId="8314"/>
    <cellStyle name="Comma 39 23 3" xfId="8315"/>
    <cellStyle name="Comma 39 24" xfId="8316"/>
    <cellStyle name="Comma 39 24 2" xfId="8317"/>
    <cellStyle name="Comma 39 24 2 2" xfId="8318"/>
    <cellStyle name="Comma 39 24 3" xfId="8319"/>
    <cellStyle name="Comma 39 25" xfId="8320"/>
    <cellStyle name="Comma 39 25 2" xfId="8321"/>
    <cellStyle name="Comma 39 25 2 2" xfId="8322"/>
    <cellStyle name="Comma 39 25 3" xfId="8323"/>
    <cellStyle name="Comma 39 26" xfId="8324"/>
    <cellStyle name="Comma 39 26 2" xfId="8325"/>
    <cellStyle name="Comma 39 26 2 2" xfId="8326"/>
    <cellStyle name="Comma 39 26 3" xfId="8327"/>
    <cellStyle name="Comma 39 27" xfId="8328"/>
    <cellStyle name="Comma 39 27 2" xfId="8329"/>
    <cellStyle name="Comma 39 27 2 2" xfId="8330"/>
    <cellStyle name="Comma 39 27 3" xfId="8331"/>
    <cellStyle name="Comma 39 28" xfId="8332"/>
    <cellStyle name="Comma 39 28 2" xfId="8333"/>
    <cellStyle name="Comma 39 28 2 2" xfId="8334"/>
    <cellStyle name="Comma 39 28 3" xfId="8335"/>
    <cellStyle name="Comma 39 29" xfId="8336"/>
    <cellStyle name="Comma 39 29 2" xfId="8337"/>
    <cellStyle name="Comma 39 3" xfId="627"/>
    <cellStyle name="Comma 39 3 2" xfId="8338"/>
    <cellStyle name="Comma 39 3 2 2" xfId="8339"/>
    <cellStyle name="Comma 39 3 3" xfId="8340"/>
    <cellStyle name="Comma 39 3 3 2" xfId="8341"/>
    <cellStyle name="Comma 39 3 3 2 2" xfId="8342"/>
    <cellStyle name="Comma 39 3 3 3" xfId="8343"/>
    <cellStyle name="Comma 39 3 4" xfId="8344"/>
    <cellStyle name="Comma 39 3 5" xfId="16986"/>
    <cellStyle name="Comma 39 30" xfId="8345"/>
    <cellStyle name="Comma 39 30 2" xfId="8346"/>
    <cellStyle name="Comma 39 30 2 2" xfId="8347"/>
    <cellStyle name="Comma 39 30 3" xfId="8348"/>
    <cellStyle name="Comma 39 31" xfId="8349"/>
    <cellStyle name="Comma 39 32" xfId="8350"/>
    <cellStyle name="Comma 39 33" xfId="16343"/>
    <cellStyle name="Comma 39 34" xfId="19527"/>
    <cellStyle name="Comma 39 4" xfId="628"/>
    <cellStyle name="Comma 39 4 2" xfId="8351"/>
    <cellStyle name="Comma 39 4 2 2" xfId="8352"/>
    <cellStyle name="Comma 39 4 3" xfId="8353"/>
    <cellStyle name="Comma 39 4 3 2" xfId="8354"/>
    <cellStyle name="Comma 39 4 3 2 2" xfId="8355"/>
    <cellStyle name="Comma 39 4 3 3" xfId="8356"/>
    <cellStyle name="Comma 39 4 4" xfId="8357"/>
    <cellStyle name="Comma 39 5" xfId="629"/>
    <cellStyle name="Comma 39 5 2" xfId="8358"/>
    <cellStyle name="Comma 39 5 2 2" xfId="8359"/>
    <cellStyle name="Comma 39 5 3" xfId="8360"/>
    <cellStyle name="Comma 39 5 3 2" xfId="8361"/>
    <cellStyle name="Comma 39 5 3 2 2" xfId="8362"/>
    <cellStyle name="Comma 39 5 3 3" xfId="8363"/>
    <cellStyle name="Comma 39 5 4" xfId="8364"/>
    <cellStyle name="Comma 39 6" xfId="630"/>
    <cellStyle name="Comma 39 6 2" xfId="8365"/>
    <cellStyle name="Comma 39 6 2 2" xfId="8366"/>
    <cellStyle name="Comma 39 6 3" xfId="8367"/>
    <cellStyle name="Comma 39 7" xfId="631"/>
    <cellStyle name="Comma 39 7 2" xfId="8368"/>
    <cellStyle name="Comma 39 7 2 2" xfId="8369"/>
    <cellStyle name="Comma 39 7 3" xfId="8370"/>
    <cellStyle name="Comma 39 8" xfId="632"/>
    <cellStyle name="Comma 39 8 2" xfId="8371"/>
    <cellStyle name="Comma 39 8 2 2" xfId="8372"/>
    <cellStyle name="Comma 39 8 3" xfId="8373"/>
    <cellStyle name="Comma 39 9" xfId="633"/>
    <cellStyle name="Comma 39 9 2" xfId="8374"/>
    <cellStyle name="Comma 39 9 2 2" xfId="8375"/>
    <cellStyle name="Comma 39 9 3" xfId="8376"/>
    <cellStyle name="Comma 4" xfId="634"/>
    <cellStyle name="Comma 4 10" xfId="635"/>
    <cellStyle name="Comma 4 11" xfId="636"/>
    <cellStyle name="Comma 4 12" xfId="637"/>
    <cellStyle name="Comma 4 13" xfId="638"/>
    <cellStyle name="Comma 4 14" xfId="639"/>
    <cellStyle name="Comma 4 15" xfId="640"/>
    <cellStyle name="Comma 4 16" xfId="8377"/>
    <cellStyle name="Comma 4 17" xfId="8378"/>
    <cellStyle name="Comma 4 18" xfId="16060"/>
    <cellStyle name="Comma 4 19" xfId="16112"/>
    <cellStyle name="Comma 4 2" xfId="641"/>
    <cellStyle name="Comma 4 2 2" xfId="8379"/>
    <cellStyle name="Comma 4 2 3" xfId="8380"/>
    <cellStyle name="Comma 4 2 4" xfId="16061"/>
    <cellStyle name="Comma 4 2 5" xfId="16928"/>
    <cellStyle name="Comma 4 2 6" xfId="19788"/>
    <cellStyle name="Comma 4 20" xfId="19698"/>
    <cellStyle name="Comma 4 3" xfId="642"/>
    <cellStyle name="Comma 4 3 2" xfId="8381"/>
    <cellStyle name="Comma 4 3 2 2" xfId="8382"/>
    <cellStyle name="Comma 4 3 3" xfId="8383"/>
    <cellStyle name="Comma 4 3 4" xfId="8384"/>
    <cellStyle name="Comma 4 3 5" xfId="16062"/>
    <cellStyle name="Comma 4 4" xfId="643"/>
    <cellStyle name="Comma 4 4 2" xfId="8385"/>
    <cellStyle name="Comma 4 4 3" xfId="8386"/>
    <cellStyle name="Comma 4 5" xfId="644"/>
    <cellStyle name="Comma 4 5 2" xfId="8387"/>
    <cellStyle name="Comma 4 5 3" xfId="8388"/>
    <cellStyle name="Comma 4 6" xfId="645"/>
    <cellStyle name="Comma 4 6 2" xfId="8389"/>
    <cellStyle name="Comma 4 6 3" xfId="8390"/>
    <cellStyle name="Comma 4 7" xfId="646"/>
    <cellStyle name="Comma 4 8" xfId="647"/>
    <cellStyle name="Comma 4 9" xfId="648"/>
    <cellStyle name="Comma 40" xfId="649"/>
    <cellStyle name="Comma 40 10" xfId="650"/>
    <cellStyle name="Comma 40 10 2" xfId="8391"/>
    <cellStyle name="Comma 40 10 2 2" xfId="8392"/>
    <cellStyle name="Comma 40 10 3" xfId="8393"/>
    <cellStyle name="Comma 40 11" xfId="651"/>
    <cellStyle name="Comma 40 11 2" xfId="8394"/>
    <cellStyle name="Comma 40 11 2 2" xfId="8395"/>
    <cellStyle name="Comma 40 11 3" xfId="8396"/>
    <cellStyle name="Comma 40 12" xfId="652"/>
    <cellStyle name="Comma 40 12 2" xfId="8397"/>
    <cellStyle name="Comma 40 12 2 2" xfId="8398"/>
    <cellStyle name="Comma 40 12 3" xfId="8399"/>
    <cellStyle name="Comma 40 13" xfId="653"/>
    <cellStyle name="Comma 40 13 2" xfId="8400"/>
    <cellStyle name="Comma 40 13 2 2" xfId="8401"/>
    <cellStyle name="Comma 40 13 3" xfId="8402"/>
    <cellStyle name="Comma 40 14" xfId="654"/>
    <cellStyle name="Comma 40 14 2" xfId="8403"/>
    <cellStyle name="Comma 40 14 2 2" xfId="8404"/>
    <cellStyle name="Comma 40 14 3" xfId="8405"/>
    <cellStyle name="Comma 40 15" xfId="655"/>
    <cellStyle name="Comma 40 15 2" xfId="8406"/>
    <cellStyle name="Comma 40 15 2 2" xfId="8407"/>
    <cellStyle name="Comma 40 15 3" xfId="8408"/>
    <cellStyle name="Comma 40 16" xfId="8409"/>
    <cellStyle name="Comma 40 16 2" xfId="8410"/>
    <cellStyle name="Comma 40 16 2 2" xfId="8411"/>
    <cellStyle name="Comma 40 16 3" xfId="8412"/>
    <cellStyle name="Comma 40 17" xfId="8413"/>
    <cellStyle name="Comma 40 17 2" xfId="8414"/>
    <cellStyle name="Comma 40 17 2 2" xfId="8415"/>
    <cellStyle name="Comma 40 17 3" xfId="8416"/>
    <cellStyle name="Comma 40 18" xfId="8417"/>
    <cellStyle name="Comma 40 18 2" xfId="8418"/>
    <cellStyle name="Comma 40 18 2 2" xfId="8419"/>
    <cellStyle name="Comma 40 18 3" xfId="8420"/>
    <cellStyle name="Comma 40 19" xfId="8421"/>
    <cellStyle name="Comma 40 19 2" xfId="8422"/>
    <cellStyle name="Comma 40 19 2 2" xfId="8423"/>
    <cellStyle name="Comma 40 19 3" xfId="8424"/>
    <cellStyle name="Comma 40 2" xfId="656"/>
    <cellStyle name="Comma 40 2 2" xfId="8425"/>
    <cellStyle name="Comma 40 2 2 2" xfId="8426"/>
    <cellStyle name="Comma 40 2 3" xfId="8427"/>
    <cellStyle name="Comma 40 2 3 2" xfId="8428"/>
    <cellStyle name="Comma 40 2 3 2 2" xfId="8429"/>
    <cellStyle name="Comma 40 2 3 3" xfId="8430"/>
    <cellStyle name="Comma 40 2 4" xfId="8431"/>
    <cellStyle name="Comma 40 2 5" xfId="17139"/>
    <cellStyle name="Comma 40 20" xfId="8432"/>
    <cellStyle name="Comma 40 20 2" xfId="8433"/>
    <cellStyle name="Comma 40 20 2 2" xfId="8434"/>
    <cellStyle name="Comma 40 20 3" xfId="8435"/>
    <cellStyle name="Comma 40 21" xfId="8436"/>
    <cellStyle name="Comma 40 21 2" xfId="8437"/>
    <cellStyle name="Comma 40 21 2 2" xfId="8438"/>
    <cellStyle name="Comma 40 21 3" xfId="8439"/>
    <cellStyle name="Comma 40 22" xfId="8440"/>
    <cellStyle name="Comma 40 22 2" xfId="8441"/>
    <cellStyle name="Comma 40 22 2 2" xfId="8442"/>
    <cellStyle name="Comma 40 22 3" xfId="8443"/>
    <cellStyle name="Comma 40 23" xfId="8444"/>
    <cellStyle name="Comma 40 23 2" xfId="8445"/>
    <cellStyle name="Comma 40 23 2 2" xfId="8446"/>
    <cellStyle name="Comma 40 23 3" xfId="8447"/>
    <cellStyle name="Comma 40 24" xfId="8448"/>
    <cellStyle name="Comma 40 24 2" xfId="8449"/>
    <cellStyle name="Comma 40 24 2 2" xfId="8450"/>
    <cellStyle name="Comma 40 24 3" xfId="8451"/>
    <cellStyle name="Comma 40 25" xfId="8452"/>
    <cellStyle name="Comma 40 25 2" xfId="8453"/>
    <cellStyle name="Comma 40 25 2 2" xfId="8454"/>
    <cellStyle name="Comma 40 25 3" xfId="8455"/>
    <cellStyle name="Comma 40 26" xfId="8456"/>
    <cellStyle name="Comma 40 26 2" xfId="8457"/>
    <cellStyle name="Comma 40 26 2 2" xfId="8458"/>
    <cellStyle name="Comma 40 26 3" xfId="8459"/>
    <cellStyle name="Comma 40 27" xfId="8460"/>
    <cellStyle name="Comma 40 27 2" xfId="8461"/>
    <cellStyle name="Comma 40 27 2 2" xfId="8462"/>
    <cellStyle name="Comma 40 27 3" xfId="8463"/>
    <cellStyle name="Comma 40 28" xfId="8464"/>
    <cellStyle name="Comma 40 28 2" xfId="8465"/>
    <cellStyle name="Comma 40 28 2 2" xfId="8466"/>
    <cellStyle name="Comma 40 28 3" xfId="8467"/>
    <cellStyle name="Comma 40 29" xfId="8468"/>
    <cellStyle name="Comma 40 29 2" xfId="8469"/>
    <cellStyle name="Comma 40 3" xfId="657"/>
    <cellStyle name="Comma 40 3 2" xfId="8470"/>
    <cellStyle name="Comma 40 3 2 2" xfId="8471"/>
    <cellStyle name="Comma 40 3 3" xfId="8472"/>
    <cellStyle name="Comma 40 3 3 2" xfId="8473"/>
    <cellStyle name="Comma 40 3 3 2 2" xfId="8474"/>
    <cellStyle name="Comma 40 3 3 3" xfId="8475"/>
    <cellStyle name="Comma 40 3 4" xfId="8476"/>
    <cellStyle name="Comma 40 3 5" xfId="17278"/>
    <cellStyle name="Comma 40 30" xfId="8477"/>
    <cellStyle name="Comma 40 30 2" xfId="8478"/>
    <cellStyle name="Comma 40 30 2 2" xfId="8479"/>
    <cellStyle name="Comma 40 30 3" xfId="8480"/>
    <cellStyle name="Comma 40 31" xfId="8481"/>
    <cellStyle name="Comma 40 32" xfId="8482"/>
    <cellStyle name="Comma 40 33" xfId="16345"/>
    <cellStyle name="Comma 40 4" xfId="658"/>
    <cellStyle name="Comma 40 4 2" xfId="8483"/>
    <cellStyle name="Comma 40 4 2 2" xfId="8484"/>
    <cellStyle name="Comma 40 4 3" xfId="8485"/>
    <cellStyle name="Comma 40 4 3 2" xfId="8486"/>
    <cellStyle name="Comma 40 4 3 2 2" xfId="8487"/>
    <cellStyle name="Comma 40 4 3 3" xfId="8488"/>
    <cellStyle name="Comma 40 4 4" xfId="8489"/>
    <cellStyle name="Comma 40 4 5" xfId="16989"/>
    <cellStyle name="Comma 40 5" xfId="659"/>
    <cellStyle name="Comma 40 5 2" xfId="8490"/>
    <cellStyle name="Comma 40 5 2 2" xfId="8491"/>
    <cellStyle name="Comma 40 5 3" xfId="8492"/>
    <cellStyle name="Comma 40 5 3 2" xfId="8493"/>
    <cellStyle name="Comma 40 5 3 2 2" xfId="8494"/>
    <cellStyle name="Comma 40 5 3 3" xfId="8495"/>
    <cellStyle name="Comma 40 5 4" xfId="8496"/>
    <cellStyle name="Comma 40 6" xfId="660"/>
    <cellStyle name="Comma 40 6 2" xfId="8497"/>
    <cellStyle name="Comma 40 6 2 2" xfId="8498"/>
    <cellStyle name="Comma 40 6 3" xfId="8499"/>
    <cellStyle name="Comma 40 7" xfId="661"/>
    <cellStyle name="Comma 40 7 2" xfId="8500"/>
    <cellStyle name="Comma 40 7 2 2" xfId="8501"/>
    <cellStyle name="Comma 40 7 3" xfId="8502"/>
    <cellStyle name="Comma 40 8" xfId="662"/>
    <cellStyle name="Comma 40 8 2" xfId="8503"/>
    <cellStyle name="Comma 40 8 2 2" xfId="8504"/>
    <cellStyle name="Comma 40 8 3" xfId="8505"/>
    <cellStyle name="Comma 40 9" xfId="663"/>
    <cellStyle name="Comma 40 9 2" xfId="8506"/>
    <cellStyle name="Comma 40 9 2 2" xfId="8507"/>
    <cellStyle name="Comma 40 9 3" xfId="8508"/>
    <cellStyle name="Comma 41" xfId="664"/>
    <cellStyle name="Comma 41 10" xfId="665"/>
    <cellStyle name="Comma 41 10 2" xfId="8509"/>
    <cellStyle name="Comma 41 10 2 2" xfId="8510"/>
    <cellStyle name="Comma 41 10 3" xfId="8511"/>
    <cellStyle name="Comma 41 11" xfId="666"/>
    <cellStyle name="Comma 41 11 2" xfId="8512"/>
    <cellStyle name="Comma 41 11 2 2" xfId="8513"/>
    <cellStyle name="Comma 41 11 3" xfId="8514"/>
    <cellStyle name="Comma 41 12" xfId="667"/>
    <cellStyle name="Comma 41 12 2" xfId="8515"/>
    <cellStyle name="Comma 41 12 2 2" xfId="8516"/>
    <cellStyle name="Comma 41 12 3" xfId="8517"/>
    <cellStyle name="Comma 41 13" xfId="668"/>
    <cellStyle name="Comma 41 13 2" xfId="8518"/>
    <cellStyle name="Comma 41 13 2 2" xfId="8519"/>
    <cellStyle name="Comma 41 13 3" xfId="8520"/>
    <cellStyle name="Comma 41 14" xfId="669"/>
    <cellStyle name="Comma 41 14 2" xfId="8521"/>
    <cellStyle name="Comma 41 14 2 2" xfId="8522"/>
    <cellStyle name="Comma 41 14 3" xfId="8523"/>
    <cellStyle name="Comma 41 15" xfId="670"/>
    <cellStyle name="Comma 41 15 2" xfId="8524"/>
    <cellStyle name="Comma 41 15 2 2" xfId="8525"/>
    <cellStyle name="Comma 41 15 3" xfId="8526"/>
    <cellStyle name="Comma 41 16" xfId="8527"/>
    <cellStyle name="Comma 41 16 2" xfId="8528"/>
    <cellStyle name="Comma 41 16 2 2" xfId="8529"/>
    <cellStyle name="Comma 41 16 3" xfId="8530"/>
    <cellStyle name="Comma 41 17" xfId="8531"/>
    <cellStyle name="Comma 41 17 2" xfId="8532"/>
    <cellStyle name="Comma 41 17 2 2" xfId="8533"/>
    <cellStyle name="Comma 41 17 3" xfId="8534"/>
    <cellStyle name="Comma 41 18" xfId="8535"/>
    <cellStyle name="Comma 41 18 2" xfId="8536"/>
    <cellStyle name="Comma 41 18 2 2" xfId="8537"/>
    <cellStyle name="Comma 41 18 3" xfId="8538"/>
    <cellStyle name="Comma 41 19" xfId="8539"/>
    <cellStyle name="Comma 41 19 2" xfId="8540"/>
    <cellStyle name="Comma 41 19 2 2" xfId="8541"/>
    <cellStyle name="Comma 41 19 3" xfId="8542"/>
    <cellStyle name="Comma 41 2" xfId="671"/>
    <cellStyle name="Comma 41 2 2" xfId="8543"/>
    <cellStyle name="Comma 41 2 2 2" xfId="8544"/>
    <cellStyle name="Comma 41 2 3" xfId="8545"/>
    <cellStyle name="Comma 41 2 3 2" xfId="8546"/>
    <cellStyle name="Comma 41 2 3 2 2" xfId="8547"/>
    <cellStyle name="Comma 41 2 3 3" xfId="8548"/>
    <cellStyle name="Comma 41 2 4" xfId="8549"/>
    <cellStyle name="Comma 41 2 5" xfId="17141"/>
    <cellStyle name="Comma 41 20" xfId="8550"/>
    <cellStyle name="Comma 41 20 2" xfId="8551"/>
    <cellStyle name="Comma 41 20 2 2" xfId="8552"/>
    <cellStyle name="Comma 41 20 3" xfId="8553"/>
    <cellStyle name="Comma 41 21" xfId="8554"/>
    <cellStyle name="Comma 41 21 2" xfId="8555"/>
    <cellStyle name="Comma 41 21 2 2" xfId="8556"/>
    <cellStyle name="Comma 41 21 3" xfId="8557"/>
    <cellStyle name="Comma 41 22" xfId="8558"/>
    <cellStyle name="Comma 41 22 2" xfId="8559"/>
    <cellStyle name="Comma 41 22 2 2" xfId="8560"/>
    <cellStyle name="Comma 41 22 3" xfId="8561"/>
    <cellStyle name="Comma 41 23" xfId="8562"/>
    <cellStyle name="Comma 41 23 2" xfId="8563"/>
    <cellStyle name="Comma 41 23 2 2" xfId="8564"/>
    <cellStyle name="Comma 41 23 3" xfId="8565"/>
    <cellStyle name="Comma 41 24" xfId="8566"/>
    <cellStyle name="Comma 41 24 2" xfId="8567"/>
    <cellStyle name="Comma 41 24 2 2" xfId="8568"/>
    <cellStyle name="Comma 41 24 3" xfId="8569"/>
    <cellStyle name="Comma 41 25" xfId="8570"/>
    <cellStyle name="Comma 41 25 2" xfId="8571"/>
    <cellStyle name="Comma 41 25 2 2" xfId="8572"/>
    <cellStyle name="Comma 41 25 3" xfId="8573"/>
    <cellStyle name="Comma 41 26" xfId="8574"/>
    <cellStyle name="Comma 41 26 2" xfId="8575"/>
    <cellStyle name="Comma 41 26 2 2" xfId="8576"/>
    <cellStyle name="Comma 41 26 3" xfId="8577"/>
    <cellStyle name="Comma 41 27" xfId="8578"/>
    <cellStyle name="Comma 41 27 2" xfId="8579"/>
    <cellStyle name="Comma 41 27 2 2" xfId="8580"/>
    <cellStyle name="Comma 41 27 3" xfId="8581"/>
    <cellStyle name="Comma 41 28" xfId="8582"/>
    <cellStyle name="Comma 41 28 2" xfId="8583"/>
    <cellStyle name="Comma 41 28 2 2" xfId="8584"/>
    <cellStyle name="Comma 41 28 3" xfId="8585"/>
    <cellStyle name="Comma 41 29" xfId="8586"/>
    <cellStyle name="Comma 41 29 2" xfId="8587"/>
    <cellStyle name="Comma 41 3" xfId="672"/>
    <cellStyle name="Comma 41 3 2" xfId="8588"/>
    <cellStyle name="Comma 41 3 2 2" xfId="8589"/>
    <cellStyle name="Comma 41 3 3" xfId="8590"/>
    <cellStyle name="Comma 41 3 3 2" xfId="8591"/>
    <cellStyle name="Comma 41 3 3 2 2" xfId="8592"/>
    <cellStyle name="Comma 41 3 3 3" xfId="8593"/>
    <cellStyle name="Comma 41 3 4" xfId="8594"/>
    <cellStyle name="Comma 41 3 5" xfId="17056"/>
    <cellStyle name="Comma 41 30" xfId="8595"/>
    <cellStyle name="Comma 41 30 2" xfId="8596"/>
    <cellStyle name="Comma 41 30 2 2" xfId="8597"/>
    <cellStyle name="Comma 41 30 3" xfId="8598"/>
    <cellStyle name="Comma 41 31" xfId="8599"/>
    <cellStyle name="Comma 41 32" xfId="8600"/>
    <cellStyle name="Comma 41 33" xfId="16347"/>
    <cellStyle name="Comma 41 4" xfId="673"/>
    <cellStyle name="Comma 41 4 2" xfId="8601"/>
    <cellStyle name="Comma 41 4 2 2" xfId="8602"/>
    <cellStyle name="Comma 41 4 3" xfId="8603"/>
    <cellStyle name="Comma 41 4 3 2" xfId="8604"/>
    <cellStyle name="Comma 41 4 3 2 2" xfId="8605"/>
    <cellStyle name="Comma 41 4 3 3" xfId="8606"/>
    <cellStyle name="Comma 41 4 4" xfId="8607"/>
    <cellStyle name="Comma 41 4 5" xfId="16992"/>
    <cellStyle name="Comma 41 5" xfId="674"/>
    <cellStyle name="Comma 41 5 2" xfId="8608"/>
    <cellStyle name="Comma 41 5 2 2" xfId="8609"/>
    <cellStyle name="Comma 41 5 3" xfId="8610"/>
    <cellStyle name="Comma 41 5 3 2" xfId="8611"/>
    <cellStyle name="Comma 41 5 3 2 2" xfId="8612"/>
    <cellStyle name="Comma 41 5 3 3" xfId="8613"/>
    <cellStyle name="Comma 41 5 4" xfId="8614"/>
    <cellStyle name="Comma 41 6" xfId="675"/>
    <cellStyle name="Comma 41 6 2" xfId="8615"/>
    <cellStyle name="Comma 41 6 2 2" xfId="8616"/>
    <cellStyle name="Comma 41 6 3" xfId="8617"/>
    <cellStyle name="Comma 41 7" xfId="676"/>
    <cellStyle name="Comma 41 7 2" xfId="8618"/>
    <cellStyle name="Comma 41 7 2 2" xfId="8619"/>
    <cellStyle name="Comma 41 7 3" xfId="8620"/>
    <cellStyle name="Comma 41 8" xfId="677"/>
    <cellStyle name="Comma 41 8 2" xfId="8621"/>
    <cellStyle name="Comma 41 8 2 2" xfId="8622"/>
    <cellStyle name="Comma 41 8 3" xfId="8623"/>
    <cellStyle name="Comma 41 8 4" xfId="8624"/>
    <cellStyle name="Comma 41 9" xfId="678"/>
    <cellStyle name="Comma 41 9 2" xfId="8625"/>
    <cellStyle name="Comma 41 9 2 2" xfId="8626"/>
    <cellStyle name="Comma 41 9 3" xfId="8627"/>
    <cellStyle name="Comma 41 9 4" xfId="8628"/>
    <cellStyle name="Comma 42" xfId="679"/>
    <cellStyle name="Comma 42 10" xfId="680"/>
    <cellStyle name="Comma 42 10 2" xfId="8629"/>
    <cellStyle name="Comma 42 10 2 2" xfId="8630"/>
    <cellStyle name="Comma 42 10 3" xfId="8631"/>
    <cellStyle name="Comma 42 10 4" xfId="8632"/>
    <cellStyle name="Comma 42 11" xfId="681"/>
    <cellStyle name="Comma 42 11 2" xfId="8633"/>
    <cellStyle name="Comma 42 11 2 2" xfId="8634"/>
    <cellStyle name="Comma 42 11 3" xfId="8635"/>
    <cellStyle name="Comma 42 11 4" xfId="8636"/>
    <cellStyle name="Comma 42 12" xfId="682"/>
    <cellStyle name="Comma 42 12 2" xfId="8637"/>
    <cellStyle name="Comma 42 12 2 2" xfId="8638"/>
    <cellStyle name="Comma 42 12 3" xfId="8639"/>
    <cellStyle name="Comma 42 12 4" xfId="8640"/>
    <cellStyle name="Comma 42 13" xfId="683"/>
    <cellStyle name="Comma 42 13 2" xfId="8641"/>
    <cellStyle name="Comma 42 13 2 2" xfId="8642"/>
    <cellStyle name="Comma 42 13 3" xfId="8643"/>
    <cellStyle name="Comma 42 13 4" xfId="8644"/>
    <cellStyle name="Comma 42 14" xfId="684"/>
    <cellStyle name="Comma 42 14 2" xfId="8645"/>
    <cellStyle name="Comma 42 14 2 2" xfId="8646"/>
    <cellStyle name="Comma 42 14 3" xfId="8647"/>
    <cellStyle name="Comma 42 14 4" xfId="8648"/>
    <cellStyle name="Comma 42 15" xfId="685"/>
    <cellStyle name="Comma 42 15 2" xfId="8649"/>
    <cellStyle name="Comma 42 15 2 2" xfId="8650"/>
    <cellStyle name="Comma 42 15 3" xfId="8651"/>
    <cellStyle name="Comma 42 15 4" xfId="8652"/>
    <cellStyle name="Comma 42 16" xfId="8653"/>
    <cellStyle name="Comma 42 16 2" xfId="8654"/>
    <cellStyle name="Comma 42 16 2 2" xfId="8655"/>
    <cellStyle name="Comma 42 16 3" xfId="8656"/>
    <cellStyle name="Comma 42 17" xfId="8657"/>
    <cellStyle name="Comma 42 17 2" xfId="8658"/>
    <cellStyle name="Comma 42 17 2 2" xfId="8659"/>
    <cellStyle name="Comma 42 17 3" xfId="8660"/>
    <cellStyle name="Comma 42 18" xfId="8661"/>
    <cellStyle name="Comma 42 18 2" xfId="8662"/>
    <cellStyle name="Comma 42 18 2 2" xfId="8663"/>
    <cellStyle name="Comma 42 18 3" xfId="8664"/>
    <cellStyle name="Comma 42 19" xfId="8665"/>
    <cellStyle name="Comma 42 19 2" xfId="8666"/>
    <cellStyle name="Comma 42 19 2 2" xfId="8667"/>
    <cellStyle name="Comma 42 19 3" xfId="8668"/>
    <cellStyle name="Comma 42 2" xfId="686"/>
    <cellStyle name="Comma 42 2 2" xfId="8669"/>
    <cellStyle name="Comma 42 2 2 2" xfId="8670"/>
    <cellStyle name="Comma 42 2 3" xfId="8671"/>
    <cellStyle name="Comma 42 2 3 2" xfId="8672"/>
    <cellStyle name="Comma 42 2 3 2 2" xfId="8673"/>
    <cellStyle name="Comma 42 2 3 3" xfId="8674"/>
    <cellStyle name="Comma 42 2 4" xfId="8675"/>
    <cellStyle name="Comma 42 2 5" xfId="8676"/>
    <cellStyle name="Comma 42 2 6" xfId="17143"/>
    <cellStyle name="Comma 42 20" xfId="8677"/>
    <cellStyle name="Comma 42 20 2" xfId="8678"/>
    <cellStyle name="Comma 42 20 2 2" xfId="8679"/>
    <cellStyle name="Comma 42 20 3" xfId="8680"/>
    <cellStyle name="Comma 42 21" xfId="8681"/>
    <cellStyle name="Comma 42 21 2" xfId="8682"/>
    <cellStyle name="Comma 42 21 2 2" xfId="8683"/>
    <cellStyle name="Comma 42 21 3" xfId="8684"/>
    <cellStyle name="Comma 42 22" xfId="8685"/>
    <cellStyle name="Comma 42 22 2" xfId="8686"/>
    <cellStyle name="Comma 42 22 2 2" xfId="8687"/>
    <cellStyle name="Comma 42 22 3" xfId="8688"/>
    <cellStyle name="Comma 42 23" xfId="8689"/>
    <cellStyle name="Comma 42 23 2" xfId="8690"/>
    <cellStyle name="Comma 42 23 2 2" xfId="8691"/>
    <cellStyle name="Comma 42 23 3" xfId="8692"/>
    <cellStyle name="Comma 42 24" xfId="8693"/>
    <cellStyle name="Comma 42 24 2" xfId="8694"/>
    <cellStyle name="Comma 42 24 2 2" xfId="8695"/>
    <cellStyle name="Comma 42 24 3" xfId="8696"/>
    <cellStyle name="Comma 42 25" xfId="8697"/>
    <cellStyle name="Comma 42 25 2" xfId="8698"/>
    <cellStyle name="Comma 42 25 2 2" xfId="8699"/>
    <cellStyle name="Comma 42 25 3" xfId="8700"/>
    <cellStyle name="Comma 42 26" xfId="8701"/>
    <cellStyle name="Comma 42 26 2" xfId="8702"/>
    <cellStyle name="Comma 42 26 2 2" xfId="8703"/>
    <cellStyle name="Comma 42 26 3" xfId="8704"/>
    <cellStyle name="Comma 42 27" xfId="8705"/>
    <cellStyle name="Comma 42 27 2" xfId="8706"/>
    <cellStyle name="Comma 42 27 2 2" xfId="8707"/>
    <cellStyle name="Comma 42 27 3" xfId="8708"/>
    <cellStyle name="Comma 42 28" xfId="8709"/>
    <cellStyle name="Comma 42 28 2" xfId="8710"/>
    <cellStyle name="Comma 42 28 2 2" xfId="8711"/>
    <cellStyle name="Comma 42 28 3" xfId="8712"/>
    <cellStyle name="Comma 42 29" xfId="8713"/>
    <cellStyle name="Comma 42 29 2" xfId="8714"/>
    <cellStyle name="Comma 42 3" xfId="687"/>
    <cellStyle name="Comma 42 3 2" xfId="8715"/>
    <cellStyle name="Comma 42 3 2 2" xfId="8716"/>
    <cellStyle name="Comma 42 3 3" xfId="8717"/>
    <cellStyle name="Comma 42 3 3 2" xfId="8718"/>
    <cellStyle name="Comma 42 3 3 2 2" xfId="8719"/>
    <cellStyle name="Comma 42 3 3 3" xfId="8720"/>
    <cellStyle name="Comma 42 3 4" xfId="8721"/>
    <cellStyle name="Comma 42 3 5" xfId="8722"/>
    <cellStyle name="Comma 42 3 6" xfId="17283"/>
    <cellStyle name="Comma 42 30" xfId="8723"/>
    <cellStyle name="Comma 42 30 2" xfId="8724"/>
    <cellStyle name="Comma 42 30 2 2" xfId="8725"/>
    <cellStyle name="Comma 42 30 3" xfId="8726"/>
    <cellStyle name="Comma 42 31" xfId="8727"/>
    <cellStyle name="Comma 42 32" xfId="8728"/>
    <cellStyle name="Comma 42 33" xfId="16349"/>
    <cellStyle name="Comma 42 4" xfId="688"/>
    <cellStyle name="Comma 42 4 2" xfId="8729"/>
    <cellStyle name="Comma 42 4 2 2" xfId="8730"/>
    <cellStyle name="Comma 42 4 3" xfId="8731"/>
    <cellStyle name="Comma 42 4 3 2" xfId="8732"/>
    <cellStyle name="Comma 42 4 3 2 2" xfId="8733"/>
    <cellStyle name="Comma 42 4 3 3" xfId="8734"/>
    <cellStyle name="Comma 42 4 4" xfId="8735"/>
    <cellStyle name="Comma 42 4 5" xfId="8736"/>
    <cellStyle name="Comma 42 4 6" xfId="16994"/>
    <cellStyle name="Comma 42 5" xfId="689"/>
    <cellStyle name="Comma 42 5 2" xfId="8737"/>
    <cellStyle name="Comma 42 5 2 2" xfId="8738"/>
    <cellStyle name="Comma 42 5 3" xfId="8739"/>
    <cellStyle name="Comma 42 5 3 2" xfId="8740"/>
    <cellStyle name="Comma 42 5 3 2 2" xfId="8741"/>
    <cellStyle name="Comma 42 5 3 3" xfId="8742"/>
    <cellStyle name="Comma 42 5 4" xfId="8743"/>
    <cellStyle name="Comma 42 5 5" xfId="8744"/>
    <cellStyle name="Comma 42 6" xfId="690"/>
    <cellStyle name="Comma 42 6 2" xfId="8745"/>
    <cellStyle name="Comma 42 6 2 2" xfId="8746"/>
    <cellStyle name="Comma 42 6 3" xfId="8747"/>
    <cellStyle name="Comma 42 6 4" xfId="8748"/>
    <cellStyle name="Comma 42 7" xfId="691"/>
    <cellStyle name="Comma 42 7 2" xfId="8749"/>
    <cellStyle name="Comma 42 7 2 2" xfId="8750"/>
    <cellStyle name="Comma 42 7 3" xfId="8751"/>
    <cellStyle name="Comma 42 7 4" xfId="8752"/>
    <cellStyle name="Comma 42 8" xfId="692"/>
    <cellStyle name="Comma 42 8 2" xfId="8753"/>
    <cellStyle name="Comma 42 8 2 2" xfId="8754"/>
    <cellStyle name="Comma 42 8 3" xfId="8755"/>
    <cellStyle name="Comma 42 8 4" xfId="8756"/>
    <cellStyle name="Comma 42 9" xfId="693"/>
    <cellStyle name="Comma 42 9 2" xfId="8757"/>
    <cellStyle name="Comma 42 9 2 2" xfId="8758"/>
    <cellStyle name="Comma 42 9 3" xfId="8759"/>
    <cellStyle name="Comma 42 9 4" xfId="8760"/>
    <cellStyle name="Comma 43" xfId="694"/>
    <cellStyle name="Comma 43 10" xfId="695"/>
    <cellStyle name="Comma 43 10 2" xfId="8761"/>
    <cellStyle name="Comma 43 10 2 2" xfId="8762"/>
    <cellStyle name="Comma 43 10 3" xfId="8763"/>
    <cellStyle name="Comma 43 10 4" xfId="8764"/>
    <cellStyle name="Comma 43 11" xfId="696"/>
    <cellStyle name="Comma 43 11 2" xfId="8765"/>
    <cellStyle name="Comma 43 11 2 2" xfId="8766"/>
    <cellStyle name="Comma 43 11 3" xfId="8767"/>
    <cellStyle name="Comma 43 11 4" xfId="8768"/>
    <cellStyle name="Comma 43 12" xfId="697"/>
    <cellStyle name="Comma 43 12 2" xfId="8769"/>
    <cellStyle name="Comma 43 12 2 2" xfId="8770"/>
    <cellStyle name="Comma 43 12 3" xfId="8771"/>
    <cellStyle name="Comma 43 12 4" xfId="8772"/>
    <cellStyle name="Comma 43 13" xfId="698"/>
    <cellStyle name="Comma 43 13 2" xfId="8773"/>
    <cellStyle name="Comma 43 13 2 2" xfId="8774"/>
    <cellStyle name="Comma 43 13 3" xfId="8775"/>
    <cellStyle name="Comma 43 13 4" xfId="8776"/>
    <cellStyle name="Comma 43 14" xfId="699"/>
    <cellStyle name="Comma 43 14 2" xfId="8777"/>
    <cellStyle name="Comma 43 14 2 2" xfId="8778"/>
    <cellStyle name="Comma 43 14 3" xfId="8779"/>
    <cellStyle name="Comma 43 14 4" xfId="8780"/>
    <cellStyle name="Comma 43 15" xfId="700"/>
    <cellStyle name="Comma 43 15 2" xfId="8781"/>
    <cellStyle name="Comma 43 15 2 2" xfId="8782"/>
    <cellStyle name="Comma 43 15 3" xfId="8783"/>
    <cellStyle name="Comma 43 15 4" xfId="8784"/>
    <cellStyle name="Comma 43 16" xfId="8785"/>
    <cellStyle name="Comma 43 16 2" xfId="8786"/>
    <cellStyle name="Comma 43 16 2 2" xfId="8787"/>
    <cellStyle name="Comma 43 16 3" xfId="8788"/>
    <cellStyle name="Comma 43 17" xfId="8789"/>
    <cellStyle name="Comma 43 17 2" xfId="8790"/>
    <cellStyle name="Comma 43 17 2 2" xfId="8791"/>
    <cellStyle name="Comma 43 17 3" xfId="8792"/>
    <cellStyle name="Comma 43 18" xfId="8793"/>
    <cellStyle name="Comma 43 18 2" xfId="8794"/>
    <cellStyle name="Comma 43 18 2 2" xfId="8795"/>
    <cellStyle name="Comma 43 18 3" xfId="8796"/>
    <cellStyle name="Comma 43 19" xfId="8797"/>
    <cellStyle name="Comma 43 19 2" xfId="8798"/>
    <cellStyle name="Comma 43 19 2 2" xfId="8799"/>
    <cellStyle name="Comma 43 19 3" xfId="8800"/>
    <cellStyle name="Comma 43 2" xfId="701"/>
    <cellStyle name="Comma 43 2 2" xfId="8801"/>
    <cellStyle name="Comma 43 2 2 2" xfId="8802"/>
    <cellStyle name="Comma 43 2 3" xfId="8803"/>
    <cellStyle name="Comma 43 2 3 2" xfId="8804"/>
    <cellStyle name="Comma 43 2 3 2 2" xfId="8805"/>
    <cellStyle name="Comma 43 2 3 3" xfId="8806"/>
    <cellStyle name="Comma 43 2 4" xfId="8807"/>
    <cellStyle name="Comma 43 2 5" xfId="8808"/>
    <cellStyle name="Comma 43 2 6" xfId="17145"/>
    <cellStyle name="Comma 43 20" xfId="8809"/>
    <cellStyle name="Comma 43 20 2" xfId="8810"/>
    <cellStyle name="Comma 43 20 2 2" xfId="8811"/>
    <cellStyle name="Comma 43 20 3" xfId="8812"/>
    <cellStyle name="Comma 43 21" xfId="8813"/>
    <cellStyle name="Comma 43 21 2" xfId="8814"/>
    <cellStyle name="Comma 43 21 2 2" xfId="8815"/>
    <cellStyle name="Comma 43 21 3" xfId="8816"/>
    <cellStyle name="Comma 43 22" xfId="8817"/>
    <cellStyle name="Comma 43 22 2" xfId="8818"/>
    <cellStyle name="Comma 43 22 2 2" xfId="8819"/>
    <cellStyle name="Comma 43 22 3" xfId="8820"/>
    <cellStyle name="Comma 43 23" xfId="8821"/>
    <cellStyle name="Comma 43 23 2" xfId="8822"/>
    <cellStyle name="Comma 43 23 2 2" xfId="8823"/>
    <cellStyle name="Comma 43 23 3" xfId="8824"/>
    <cellStyle name="Comma 43 24" xfId="8825"/>
    <cellStyle name="Comma 43 24 2" xfId="8826"/>
    <cellStyle name="Comma 43 24 2 2" xfId="8827"/>
    <cellStyle name="Comma 43 24 3" xfId="8828"/>
    <cellStyle name="Comma 43 25" xfId="8829"/>
    <cellStyle name="Comma 43 25 2" xfId="8830"/>
    <cellStyle name="Comma 43 25 2 2" xfId="8831"/>
    <cellStyle name="Comma 43 25 3" xfId="8832"/>
    <cellStyle name="Comma 43 26" xfId="8833"/>
    <cellStyle name="Comma 43 26 2" xfId="8834"/>
    <cellStyle name="Comma 43 26 2 2" xfId="8835"/>
    <cellStyle name="Comma 43 26 3" xfId="8836"/>
    <cellStyle name="Comma 43 27" xfId="8837"/>
    <cellStyle name="Comma 43 27 2" xfId="8838"/>
    <cellStyle name="Comma 43 27 2 2" xfId="8839"/>
    <cellStyle name="Comma 43 27 3" xfId="8840"/>
    <cellStyle name="Comma 43 28" xfId="8841"/>
    <cellStyle name="Comma 43 28 2" xfId="8842"/>
    <cellStyle name="Comma 43 28 2 2" xfId="8843"/>
    <cellStyle name="Comma 43 28 3" xfId="8844"/>
    <cellStyle name="Comma 43 29" xfId="8845"/>
    <cellStyle name="Comma 43 29 2" xfId="8846"/>
    <cellStyle name="Comma 43 3" xfId="702"/>
    <cellStyle name="Comma 43 3 2" xfId="8847"/>
    <cellStyle name="Comma 43 3 2 2" xfId="8848"/>
    <cellStyle name="Comma 43 3 3" xfId="8849"/>
    <cellStyle name="Comma 43 3 3 2" xfId="8850"/>
    <cellStyle name="Comma 43 3 3 2 2" xfId="8851"/>
    <cellStyle name="Comma 43 3 3 3" xfId="8852"/>
    <cellStyle name="Comma 43 3 4" xfId="8853"/>
    <cellStyle name="Comma 43 3 5" xfId="8854"/>
    <cellStyle name="Comma 43 3 6" xfId="16998"/>
    <cellStyle name="Comma 43 30" xfId="8855"/>
    <cellStyle name="Comma 43 30 2" xfId="8856"/>
    <cellStyle name="Comma 43 30 2 2" xfId="8857"/>
    <cellStyle name="Comma 43 30 3" xfId="8858"/>
    <cellStyle name="Comma 43 31" xfId="8859"/>
    <cellStyle name="Comma 43 32" xfId="8860"/>
    <cellStyle name="Comma 43 33" xfId="16351"/>
    <cellStyle name="Comma 43 4" xfId="703"/>
    <cellStyle name="Comma 43 4 2" xfId="8861"/>
    <cellStyle name="Comma 43 4 2 2" xfId="8862"/>
    <cellStyle name="Comma 43 4 3" xfId="8863"/>
    <cellStyle name="Comma 43 4 3 2" xfId="8864"/>
    <cellStyle name="Comma 43 4 3 2 2" xfId="8865"/>
    <cellStyle name="Comma 43 4 3 3" xfId="8866"/>
    <cellStyle name="Comma 43 4 4" xfId="8867"/>
    <cellStyle name="Comma 43 4 5" xfId="8868"/>
    <cellStyle name="Comma 43 5" xfId="704"/>
    <cellStyle name="Comma 43 5 2" xfId="8869"/>
    <cellStyle name="Comma 43 5 2 2" xfId="8870"/>
    <cellStyle name="Comma 43 5 3" xfId="8871"/>
    <cellStyle name="Comma 43 5 3 2" xfId="8872"/>
    <cellStyle name="Comma 43 5 3 2 2" xfId="8873"/>
    <cellStyle name="Comma 43 5 3 3" xfId="8874"/>
    <cellStyle name="Comma 43 5 4" xfId="8875"/>
    <cellStyle name="Comma 43 5 5" xfId="8876"/>
    <cellStyle name="Comma 43 6" xfId="705"/>
    <cellStyle name="Comma 43 6 2" xfId="8877"/>
    <cellStyle name="Comma 43 6 2 2" xfId="8878"/>
    <cellStyle name="Comma 43 6 3" xfId="8879"/>
    <cellStyle name="Comma 43 6 4" xfId="8880"/>
    <cellStyle name="Comma 43 7" xfId="706"/>
    <cellStyle name="Comma 43 7 2" xfId="8881"/>
    <cellStyle name="Comma 43 7 2 2" xfId="8882"/>
    <cellStyle name="Comma 43 7 3" xfId="8883"/>
    <cellStyle name="Comma 43 7 4" xfId="8884"/>
    <cellStyle name="Comma 43 8" xfId="707"/>
    <cellStyle name="Comma 43 8 2" xfId="8885"/>
    <cellStyle name="Comma 43 8 2 2" xfId="8886"/>
    <cellStyle name="Comma 43 8 3" xfId="8887"/>
    <cellStyle name="Comma 43 8 4" xfId="8888"/>
    <cellStyle name="Comma 43 9" xfId="708"/>
    <cellStyle name="Comma 43 9 2" xfId="8889"/>
    <cellStyle name="Comma 43 9 2 2" xfId="8890"/>
    <cellStyle name="Comma 43 9 3" xfId="8891"/>
    <cellStyle name="Comma 43 9 4" xfId="8892"/>
    <cellStyle name="Comma 44" xfId="709"/>
    <cellStyle name="Comma 44 10" xfId="710"/>
    <cellStyle name="Comma 44 10 2" xfId="8893"/>
    <cellStyle name="Comma 44 10 2 2" xfId="8894"/>
    <cellStyle name="Comma 44 10 3" xfId="8895"/>
    <cellStyle name="Comma 44 10 4" xfId="8896"/>
    <cellStyle name="Comma 44 11" xfId="711"/>
    <cellStyle name="Comma 44 11 2" xfId="8897"/>
    <cellStyle name="Comma 44 11 2 2" xfId="8898"/>
    <cellStyle name="Comma 44 11 3" xfId="8899"/>
    <cellStyle name="Comma 44 11 4" xfId="8900"/>
    <cellStyle name="Comma 44 12" xfId="712"/>
    <cellStyle name="Comma 44 12 2" xfId="8901"/>
    <cellStyle name="Comma 44 12 2 2" xfId="8902"/>
    <cellStyle name="Comma 44 12 3" xfId="8903"/>
    <cellStyle name="Comma 44 12 4" xfId="8904"/>
    <cellStyle name="Comma 44 13" xfId="713"/>
    <cellStyle name="Comma 44 13 2" xfId="8905"/>
    <cellStyle name="Comma 44 13 2 2" xfId="8906"/>
    <cellStyle name="Comma 44 13 3" xfId="8907"/>
    <cellStyle name="Comma 44 13 4" xfId="8908"/>
    <cellStyle name="Comma 44 14" xfId="714"/>
    <cellStyle name="Comma 44 14 2" xfId="8909"/>
    <cellStyle name="Comma 44 14 2 2" xfId="8910"/>
    <cellStyle name="Comma 44 14 3" xfId="8911"/>
    <cellStyle name="Comma 44 14 4" xfId="8912"/>
    <cellStyle name="Comma 44 15" xfId="715"/>
    <cellStyle name="Comma 44 15 2" xfId="8913"/>
    <cellStyle name="Comma 44 15 2 2" xfId="8914"/>
    <cellStyle name="Comma 44 15 3" xfId="8915"/>
    <cellStyle name="Comma 44 15 4" xfId="8916"/>
    <cellStyle name="Comma 44 16" xfId="8917"/>
    <cellStyle name="Comma 44 16 2" xfId="8918"/>
    <cellStyle name="Comma 44 16 2 2" xfId="8919"/>
    <cellStyle name="Comma 44 16 3" xfId="8920"/>
    <cellStyle name="Comma 44 17" xfId="8921"/>
    <cellStyle name="Comma 44 17 2" xfId="8922"/>
    <cellStyle name="Comma 44 17 2 2" xfId="8923"/>
    <cellStyle name="Comma 44 17 3" xfId="8924"/>
    <cellStyle name="Comma 44 18" xfId="8925"/>
    <cellStyle name="Comma 44 18 2" xfId="8926"/>
    <cellStyle name="Comma 44 18 2 2" xfId="8927"/>
    <cellStyle name="Comma 44 18 3" xfId="8928"/>
    <cellStyle name="Comma 44 19" xfId="8929"/>
    <cellStyle name="Comma 44 19 2" xfId="8930"/>
    <cellStyle name="Comma 44 19 2 2" xfId="8931"/>
    <cellStyle name="Comma 44 19 3" xfId="8932"/>
    <cellStyle name="Comma 44 2" xfId="716"/>
    <cellStyle name="Comma 44 2 2" xfId="8933"/>
    <cellStyle name="Comma 44 2 2 2" xfId="8934"/>
    <cellStyle name="Comma 44 2 3" xfId="8935"/>
    <cellStyle name="Comma 44 2 3 2" xfId="8936"/>
    <cellStyle name="Comma 44 2 3 2 2" xfId="8937"/>
    <cellStyle name="Comma 44 2 3 3" xfId="8938"/>
    <cellStyle name="Comma 44 2 4" xfId="8939"/>
    <cellStyle name="Comma 44 2 5" xfId="8940"/>
    <cellStyle name="Comma 44 2 6" xfId="17147"/>
    <cellStyle name="Comma 44 20" xfId="8941"/>
    <cellStyle name="Comma 44 20 2" xfId="8942"/>
    <cellStyle name="Comma 44 20 2 2" xfId="8943"/>
    <cellStyle name="Comma 44 20 3" xfId="8944"/>
    <cellStyle name="Comma 44 21" xfId="8945"/>
    <cellStyle name="Comma 44 21 2" xfId="8946"/>
    <cellStyle name="Comma 44 21 2 2" xfId="8947"/>
    <cellStyle name="Comma 44 21 3" xfId="8948"/>
    <cellStyle name="Comma 44 22" xfId="8949"/>
    <cellStyle name="Comma 44 22 2" xfId="8950"/>
    <cellStyle name="Comma 44 22 2 2" xfId="8951"/>
    <cellStyle name="Comma 44 22 3" xfId="8952"/>
    <cellStyle name="Comma 44 23" xfId="8953"/>
    <cellStyle name="Comma 44 23 2" xfId="8954"/>
    <cellStyle name="Comma 44 23 2 2" xfId="8955"/>
    <cellStyle name="Comma 44 23 3" xfId="8956"/>
    <cellStyle name="Comma 44 24" xfId="8957"/>
    <cellStyle name="Comma 44 24 2" xfId="8958"/>
    <cellStyle name="Comma 44 24 2 2" xfId="8959"/>
    <cellStyle name="Comma 44 24 3" xfId="8960"/>
    <cellStyle name="Comma 44 25" xfId="8961"/>
    <cellStyle name="Comma 44 25 2" xfId="8962"/>
    <cellStyle name="Comma 44 25 2 2" xfId="8963"/>
    <cellStyle name="Comma 44 25 3" xfId="8964"/>
    <cellStyle name="Comma 44 26" xfId="8965"/>
    <cellStyle name="Comma 44 26 2" xfId="8966"/>
    <cellStyle name="Comma 44 26 2 2" xfId="8967"/>
    <cellStyle name="Comma 44 26 3" xfId="8968"/>
    <cellStyle name="Comma 44 27" xfId="8969"/>
    <cellStyle name="Comma 44 27 2" xfId="8970"/>
    <cellStyle name="Comma 44 27 2 2" xfId="8971"/>
    <cellStyle name="Comma 44 27 3" xfId="8972"/>
    <cellStyle name="Comma 44 28" xfId="8973"/>
    <cellStyle name="Comma 44 28 2" xfId="8974"/>
    <cellStyle name="Comma 44 28 2 2" xfId="8975"/>
    <cellStyle name="Comma 44 28 3" xfId="8976"/>
    <cellStyle name="Comma 44 29" xfId="8977"/>
    <cellStyle name="Comma 44 29 2" xfId="8978"/>
    <cellStyle name="Comma 44 3" xfId="717"/>
    <cellStyle name="Comma 44 3 2" xfId="8979"/>
    <cellStyle name="Comma 44 3 2 2" xfId="8980"/>
    <cellStyle name="Comma 44 3 3" xfId="8981"/>
    <cellStyle name="Comma 44 3 3 2" xfId="8982"/>
    <cellStyle name="Comma 44 3 3 2 2" xfId="8983"/>
    <cellStyle name="Comma 44 3 3 3" xfId="8984"/>
    <cellStyle name="Comma 44 3 4" xfId="8985"/>
    <cellStyle name="Comma 44 3 5" xfId="8986"/>
    <cellStyle name="Comma 44 3 6" xfId="17002"/>
    <cellStyle name="Comma 44 30" xfId="8987"/>
    <cellStyle name="Comma 44 30 2" xfId="8988"/>
    <cellStyle name="Comma 44 30 2 2" xfId="8989"/>
    <cellStyle name="Comma 44 30 3" xfId="8990"/>
    <cellStyle name="Comma 44 31" xfId="8991"/>
    <cellStyle name="Comma 44 32" xfId="8992"/>
    <cellStyle name="Comma 44 33" xfId="16353"/>
    <cellStyle name="Comma 44 4" xfId="718"/>
    <cellStyle name="Comma 44 4 2" xfId="8993"/>
    <cellStyle name="Comma 44 4 2 2" xfId="8994"/>
    <cellStyle name="Comma 44 4 3" xfId="8995"/>
    <cellStyle name="Comma 44 4 3 2" xfId="8996"/>
    <cellStyle name="Comma 44 4 3 2 2" xfId="8997"/>
    <cellStyle name="Comma 44 4 3 3" xfId="8998"/>
    <cellStyle name="Comma 44 4 4" xfId="8999"/>
    <cellStyle name="Comma 44 4 5" xfId="9000"/>
    <cellStyle name="Comma 44 5" xfId="719"/>
    <cellStyle name="Comma 44 5 2" xfId="9001"/>
    <cellStyle name="Comma 44 5 2 2" xfId="9002"/>
    <cellStyle name="Comma 44 5 3" xfId="9003"/>
    <cellStyle name="Comma 44 5 3 2" xfId="9004"/>
    <cellStyle name="Comma 44 5 3 2 2" xfId="9005"/>
    <cellStyle name="Comma 44 5 3 3" xfId="9006"/>
    <cellStyle name="Comma 44 5 4" xfId="9007"/>
    <cellStyle name="Comma 44 5 5" xfId="9008"/>
    <cellStyle name="Comma 44 6" xfId="720"/>
    <cellStyle name="Comma 44 6 2" xfId="9009"/>
    <cellStyle name="Comma 44 6 2 2" xfId="9010"/>
    <cellStyle name="Comma 44 6 3" xfId="9011"/>
    <cellStyle name="Comma 44 6 4" xfId="9012"/>
    <cellStyle name="Comma 44 7" xfId="721"/>
    <cellStyle name="Comma 44 7 2" xfId="9013"/>
    <cellStyle name="Comma 44 7 2 2" xfId="9014"/>
    <cellStyle name="Comma 44 7 3" xfId="9015"/>
    <cellStyle name="Comma 44 7 4" xfId="9016"/>
    <cellStyle name="Comma 44 8" xfId="722"/>
    <cellStyle name="Comma 44 8 2" xfId="9017"/>
    <cellStyle name="Comma 44 8 2 2" xfId="9018"/>
    <cellStyle name="Comma 44 8 3" xfId="9019"/>
    <cellStyle name="Comma 44 8 4" xfId="9020"/>
    <cellStyle name="Comma 44 9" xfId="723"/>
    <cellStyle name="Comma 44 9 2" xfId="9021"/>
    <cellStyle name="Comma 44 9 2 2" xfId="9022"/>
    <cellStyle name="Comma 44 9 3" xfId="9023"/>
    <cellStyle name="Comma 44 9 4" xfId="9024"/>
    <cellStyle name="Comma 45" xfId="724"/>
    <cellStyle name="Comma 45 10" xfId="725"/>
    <cellStyle name="Comma 45 10 2" xfId="9025"/>
    <cellStyle name="Comma 45 10 2 2" xfId="9026"/>
    <cellStyle name="Comma 45 10 3" xfId="9027"/>
    <cellStyle name="Comma 45 10 4" xfId="9028"/>
    <cellStyle name="Comma 45 11" xfId="726"/>
    <cellStyle name="Comma 45 11 2" xfId="9029"/>
    <cellStyle name="Comma 45 11 2 2" xfId="9030"/>
    <cellStyle name="Comma 45 11 3" xfId="9031"/>
    <cellStyle name="Comma 45 11 4" xfId="9032"/>
    <cellStyle name="Comma 45 12" xfId="727"/>
    <cellStyle name="Comma 45 12 2" xfId="9033"/>
    <cellStyle name="Comma 45 12 2 2" xfId="9034"/>
    <cellStyle name="Comma 45 12 3" xfId="9035"/>
    <cellStyle name="Comma 45 12 4" xfId="9036"/>
    <cellStyle name="Comma 45 13" xfId="728"/>
    <cellStyle name="Comma 45 13 2" xfId="9037"/>
    <cellStyle name="Comma 45 13 2 2" xfId="9038"/>
    <cellStyle name="Comma 45 13 3" xfId="9039"/>
    <cellStyle name="Comma 45 13 4" xfId="9040"/>
    <cellStyle name="Comma 45 14" xfId="729"/>
    <cellStyle name="Comma 45 14 2" xfId="9041"/>
    <cellStyle name="Comma 45 14 2 2" xfId="9042"/>
    <cellStyle name="Comma 45 14 3" xfId="9043"/>
    <cellStyle name="Comma 45 14 4" xfId="9044"/>
    <cellStyle name="Comma 45 15" xfId="730"/>
    <cellStyle name="Comma 45 15 2" xfId="9045"/>
    <cellStyle name="Comma 45 15 2 2" xfId="9046"/>
    <cellStyle name="Comma 45 15 3" xfId="9047"/>
    <cellStyle name="Comma 45 15 4" xfId="9048"/>
    <cellStyle name="Comma 45 16" xfId="9049"/>
    <cellStyle name="Comma 45 16 2" xfId="9050"/>
    <cellStyle name="Comma 45 16 2 2" xfId="9051"/>
    <cellStyle name="Comma 45 16 3" xfId="9052"/>
    <cellStyle name="Comma 45 17" xfId="9053"/>
    <cellStyle name="Comma 45 17 2" xfId="9054"/>
    <cellStyle name="Comma 45 17 2 2" xfId="9055"/>
    <cellStyle name="Comma 45 17 3" xfId="9056"/>
    <cellStyle name="Comma 45 18" xfId="9057"/>
    <cellStyle name="Comma 45 18 2" xfId="9058"/>
    <cellStyle name="Comma 45 18 2 2" xfId="9059"/>
    <cellStyle name="Comma 45 18 3" xfId="9060"/>
    <cellStyle name="Comma 45 19" xfId="9061"/>
    <cellStyle name="Comma 45 19 2" xfId="9062"/>
    <cellStyle name="Comma 45 19 2 2" xfId="9063"/>
    <cellStyle name="Comma 45 19 3" xfId="9064"/>
    <cellStyle name="Comma 45 2" xfId="731"/>
    <cellStyle name="Comma 45 2 2" xfId="9065"/>
    <cellStyle name="Comma 45 2 2 2" xfId="9066"/>
    <cellStyle name="Comma 45 2 3" xfId="9067"/>
    <cellStyle name="Comma 45 2 3 2" xfId="9068"/>
    <cellStyle name="Comma 45 2 3 2 2" xfId="9069"/>
    <cellStyle name="Comma 45 2 3 3" xfId="9070"/>
    <cellStyle name="Comma 45 2 4" xfId="9071"/>
    <cellStyle name="Comma 45 2 5" xfId="9072"/>
    <cellStyle name="Comma 45 2 6" xfId="17149"/>
    <cellStyle name="Comma 45 20" xfId="9073"/>
    <cellStyle name="Comma 45 20 2" xfId="9074"/>
    <cellStyle name="Comma 45 20 2 2" xfId="9075"/>
    <cellStyle name="Comma 45 20 3" xfId="9076"/>
    <cellStyle name="Comma 45 21" xfId="9077"/>
    <cellStyle name="Comma 45 21 2" xfId="9078"/>
    <cellStyle name="Comma 45 21 2 2" xfId="9079"/>
    <cellStyle name="Comma 45 21 3" xfId="9080"/>
    <cellStyle name="Comma 45 22" xfId="9081"/>
    <cellStyle name="Comma 45 22 2" xfId="9082"/>
    <cellStyle name="Comma 45 22 2 2" xfId="9083"/>
    <cellStyle name="Comma 45 22 3" xfId="9084"/>
    <cellStyle name="Comma 45 23" xfId="9085"/>
    <cellStyle name="Comma 45 23 2" xfId="9086"/>
    <cellStyle name="Comma 45 23 2 2" xfId="9087"/>
    <cellStyle name="Comma 45 23 3" xfId="9088"/>
    <cellStyle name="Comma 45 24" xfId="9089"/>
    <cellStyle name="Comma 45 24 2" xfId="9090"/>
    <cellStyle name="Comma 45 24 2 2" xfId="9091"/>
    <cellStyle name="Comma 45 24 3" xfId="9092"/>
    <cellStyle name="Comma 45 25" xfId="9093"/>
    <cellStyle name="Comma 45 25 2" xfId="9094"/>
    <cellStyle name="Comma 45 25 2 2" xfId="9095"/>
    <cellStyle name="Comma 45 25 3" xfId="9096"/>
    <cellStyle name="Comma 45 26" xfId="9097"/>
    <cellStyle name="Comma 45 26 2" xfId="9098"/>
    <cellStyle name="Comma 45 26 2 2" xfId="9099"/>
    <cellStyle name="Comma 45 26 3" xfId="9100"/>
    <cellStyle name="Comma 45 27" xfId="9101"/>
    <cellStyle name="Comma 45 27 2" xfId="9102"/>
    <cellStyle name="Comma 45 27 2 2" xfId="9103"/>
    <cellStyle name="Comma 45 27 3" xfId="9104"/>
    <cellStyle name="Comma 45 28" xfId="9105"/>
    <cellStyle name="Comma 45 28 2" xfId="9106"/>
    <cellStyle name="Comma 45 28 2 2" xfId="9107"/>
    <cellStyle name="Comma 45 28 3" xfId="9108"/>
    <cellStyle name="Comma 45 29" xfId="9109"/>
    <cellStyle name="Comma 45 29 2" xfId="9110"/>
    <cellStyle name="Comma 45 3" xfId="732"/>
    <cellStyle name="Comma 45 3 2" xfId="9111"/>
    <cellStyle name="Comma 45 3 2 2" xfId="9112"/>
    <cellStyle name="Comma 45 3 3" xfId="9113"/>
    <cellStyle name="Comma 45 3 3 2" xfId="9114"/>
    <cellStyle name="Comma 45 3 3 2 2" xfId="9115"/>
    <cellStyle name="Comma 45 3 3 3" xfId="9116"/>
    <cellStyle name="Comma 45 3 4" xfId="9117"/>
    <cellStyle name="Comma 45 3 5" xfId="9118"/>
    <cellStyle name="Comma 45 3 6" xfId="17281"/>
    <cellStyle name="Comma 45 30" xfId="9119"/>
    <cellStyle name="Comma 45 30 2" xfId="9120"/>
    <cellStyle name="Comma 45 30 2 2" xfId="9121"/>
    <cellStyle name="Comma 45 30 3" xfId="9122"/>
    <cellStyle name="Comma 45 31" xfId="9123"/>
    <cellStyle name="Comma 45 32" xfId="9124"/>
    <cellStyle name="Comma 45 33" xfId="16355"/>
    <cellStyle name="Comma 45 4" xfId="733"/>
    <cellStyle name="Comma 45 4 2" xfId="9125"/>
    <cellStyle name="Comma 45 4 2 2" xfId="9126"/>
    <cellStyle name="Comma 45 4 3" xfId="9127"/>
    <cellStyle name="Comma 45 4 3 2" xfId="9128"/>
    <cellStyle name="Comma 45 4 3 2 2" xfId="9129"/>
    <cellStyle name="Comma 45 4 3 3" xfId="9130"/>
    <cellStyle name="Comma 45 4 4" xfId="9131"/>
    <cellStyle name="Comma 45 4 5" xfId="9132"/>
    <cellStyle name="Comma 45 4 6" xfId="16996"/>
    <cellStyle name="Comma 45 5" xfId="734"/>
    <cellStyle name="Comma 45 5 2" xfId="9133"/>
    <cellStyle name="Comma 45 5 2 2" xfId="9134"/>
    <cellStyle name="Comma 45 5 3" xfId="9135"/>
    <cellStyle name="Comma 45 5 3 2" xfId="9136"/>
    <cellStyle name="Comma 45 5 3 2 2" xfId="9137"/>
    <cellStyle name="Comma 45 5 3 3" xfId="9138"/>
    <cellStyle name="Comma 45 5 4" xfId="9139"/>
    <cellStyle name="Comma 45 5 5" xfId="9140"/>
    <cellStyle name="Comma 45 6" xfId="735"/>
    <cellStyle name="Comma 45 6 2" xfId="9141"/>
    <cellStyle name="Comma 45 6 2 2" xfId="9142"/>
    <cellStyle name="Comma 45 6 3" xfId="9143"/>
    <cellStyle name="Comma 45 6 4" xfId="9144"/>
    <cellStyle name="Comma 45 7" xfId="736"/>
    <cellStyle name="Comma 45 7 2" xfId="9145"/>
    <cellStyle name="Comma 45 7 2 2" xfId="9146"/>
    <cellStyle name="Comma 45 7 3" xfId="9147"/>
    <cellStyle name="Comma 45 7 4" xfId="9148"/>
    <cellStyle name="Comma 45 8" xfId="737"/>
    <cellStyle name="Comma 45 8 2" xfId="9149"/>
    <cellStyle name="Comma 45 8 2 2" xfId="9150"/>
    <cellStyle name="Comma 45 8 3" xfId="9151"/>
    <cellStyle name="Comma 45 8 4" xfId="9152"/>
    <cellStyle name="Comma 45 9" xfId="738"/>
    <cellStyle name="Comma 45 9 2" xfId="9153"/>
    <cellStyle name="Comma 45 9 2 2" xfId="9154"/>
    <cellStyle name="Comma 45 9 3" xfId="9155"/>
    <cellStyle name="Comma 45 9 4" xfId="9156"/>
    <cellStyle name="Comma 46" xfId="739"/>
    <cellStyle name="Comma 46 10" xfId="740"/>
    <cellStyle name="Comma 46 11" xfId="741"/>
    <cellStyle name="Comma 46 12" xfId="742"/>
    <cellStyle name="Comma 46 13" xfId="743"/>
    <cellStyle name="Comma 46 14" xfId="744"/>
    <cellStyle name="Comma 46 15" xfId="745"/>
    <cellStyle name="Comma 46 16" xfId="9157"/>
    <cellStyle name="Comma 46 17" xfId="9158"/>
    <cellStyle name="Comma 46 18" xfId="16357"/>
    <cellStyle name="Comma 46 2" xfId="746"/>
    <cellStyle name="Comma 46 2 2" xfId="17151"/>
    <cellStyle name="Comma 46 3" xfId="747"/>
    <cellStyle name="Comma 46 3 2" xfId="17035"/>
    <cellStyle name="Comma 46 4" xfId="748"/>
    <cellStyle name="Comma 46 4 2" xfId="16997"/>
    <cellStyle name="Comma 46 5" xfId="749"/>
    <cellStyle name="Comma 46 6" xfId="750"/>
    <cellStyle name="Comma 46 7" xfId="751"/>
    <cellStyle name="Comma 46 8" xfId="752"/>
    <cellStyle name="Comma 46 9" xfId="753"/>
    <cellStyle name="Comma 47" xfId="754"/>
    <cellStyle name="Comma 47 10" xfId="755"/>
    <cellStyle name="Comma 47 11" xfId="756"/>
    <cellStyle name="Comma 47 12" xfId="757"/>
    <cellStyle name="Comma 47 13" xfId="758"/>
    <cellStyle name="Comma 47 14" xfId="759"/>
    <cellStyle name="Comma 47 15" xfId="760"/>
    <cellStyle name="Comma 47 16" xfId="9159"/>
    <cellStyle name="Comma 47 17" xfId="9160"/>
    <cellStyle name="Comma 47 18" xfId="16359"/>
    <cellStyle name="Comma 47 2" xfId="761"/>
    <cellStyle name="Comma 47 2 2" xfId="17153"/>
    <cellStyle name="Comma 47 3" xfId="762"/>
    <cellStyle name="Comma 47 3 2" xfId="17287"/>
    <cellStyle name="Comma 47 4" xfId="763"/>
    <cellStyle name="Comma 47 4 2" xfId="17004"/>
    <cellStyle name="Comma 47 5" xfId="764"/>
    <cellStyle name="Comma 47 6" xfId="765"/>
    <cellStyle name="Comma 47 7" xfId="766"/>
    <cellStyle name="Comma 47 8" xfId="767"/>
    <cellStyle name="Comma 47 9" xfId="768"/>
    <cellStyle name="Comma 48" xfId="769"/>
    <cellStyle name="Comma 48 10" xfId="770"/>
    <cellStyle name="Comma 48 11" xfId="771"/>
    <cellStyle name="Comma 48 12" xfId="772"/>
    <cellStyle name="Comma 48 13" xfId="773"/>
    <cellStyle name="Comma 48 14" xfId="774"/>
    <cellStyle name="Comma 48 15" xfId="775"/>
    <cellStyle name="Comma 48 16" xfId="9161"/>
    <cellStyle name="Comma 48 17" xfId="9162"/>
    <cellStyle name="Comma 48 18" xfId="16361"/>
    <cellStyle name="Comma 48 2" xfId="776"/>
    <cellStyle name="Comma 48 2 2" xfId="17155"/>
    <cellStyle name="Comma 48 3" xfId="777"/>
    <cellStyle name="Comma 48 3 2" xfId="17006"/>
    <cellStyle name="Comma 48 4" xfId="778"/>
    <cellStyle name="Comma 48 5" xfId="779"/>
    <cellStyle name="Comma 48 6" xfId="780"/>
    <cellStyle name="Comma 48 7" xfId="781"/>
    <cellStyle name="Comma 48 8" xfId="782"/>
    <cellStyle name="Comma 48 9" xfId="783"/>
    <cellStyle name="Comma 49" xfId="784"/>
    <cellStyle name="Comma 49 10" xfId="785"/>
    <cellStyle name="Comma 49 11" xfId="786"/>
    <cellStyle name="Comma 49 12" xfId="787"/>
    <cellStyle name="Comma 49 13" xfId="788"/>
    <cellStyle name="Comma 49 14" xfId="789"/>
    <cellStyle name="Comma 49 15" xfId="790"/>
    <cellStyle name="Comma 49 16" xfId="9163"/>
    <cellStyle name="Comma 49 17" xfId="9164"/>
    <cellStyle name="Comma 49 18" xfId="16363"/>
    <cellStyle name="Comma 49 2" xfId="791"/>
    <cellStyle name="Comma 49 2 2" xfId="17157"/>
    <cellStyle name="Comma 49 3" xfId="792"/>
    <cellStyle name="Comma 49 3 2" xfId="17008"/>
    <cellStyle name="Comma 49 4" xfId="793"/>
    <cellStyle name="Comma 49 5" xfId="794"/>
    <cellStyle name="Comma 49 6" xfId="795"/>
    <cellStyle name="Comma 49 7" xfId="796"/>
    <cellStyle name="Comma 49 8" xfId="797"/>
    <cellStyle name="Comma 49 9" xfId="798"/>
    <cellStyle name="Comma 5" xfId="799"/>
    <cellStyle name="Comma 5 2" xfId="9165"/>
    <cellStyle name="Comma 5 2 2" xfId="9166"/>
    <cellStyle name="Comma 5 2 2 2" xfId="9167"/>
    <cellStyle name="Comma 5 2 3" xfId="9168"/>
    <cellStyle name="Comma 5 2 4" xfId="16063"/>
    <cellStyle name="Comma 5 3" xfId="9169"/>
    <cellStyle name="Comma 5 3 2" xfId="9170"/>
    <cellStyle name="Comma 5 3 2 2" xfId="9171"/>
    <cellStyle name="Comma 5 3 3" xfId="9172"/>
    <cellStyle name="Comma 5 3 4" xfId="16064"/>
    <cellStyle name="Comma 5 4" xfId="9173"/>
    <cellStyle name="Comma 5 4 2" xfId="9174"/>
    <cellStyle name="Comma 5 4 2 2" xfId="9175"/>
    <cellStyle name="Comma 5 4 3" xfId="9176"/>
    <cellStyle name="Comma 5 5" xfId="9177"/>
    <cellStyle name="Comma 5 5 2" xfId="9178"/>
    <cellStyle name="Comma 5 6" xfId="9179"/>
    <cellStyle name="Comma 5 7" xfId="9180"/>
    <cellStyle name="Comma 50" xfId="800"/>
    <cellStyle name="Comma 50 10" xfId="801"/>
    <cellStyle name="Comma 50 11" xfId="802"/>
    <cellStyle name="Comma 50 12" xfId="803"/>
    <cellStyle name="Comma 50 13" xfId="804"/>
    <cellStyle name="Comma 50 14" xfId="805"/>
    <cellStyle name="Comma 50 15" xfId="806"/>
    <cellStyle name="Comma 50 16" xfId="9181"/>
    <cellStyle name="Comma 50 17" xfId="9182"/>
    <cellStyle name="Comma 50 18" xfId="16365"/>
    <cellStyle name="Comma 50 2" xfId="807"/>
    <cellStyle name="Comma 50 2 2" xfId="17159"/>
    <cellStyle name="Comma 50 3" xfId="808"/>
    <cellStyle name="Comma 50 3 2" xfId="17010"/>
    <cellStyle name="Comma 50 4" xfId="809"/>
    <cellStyle name="Comma 50 5" xfId="810"/>
    <cellStyle name="Comma 50 6" xfId="811"/>
    <cellStyle name="Comma 50 7" xfId="812"/>
    <cellStyle name="Comma 50 8" xfId="813"/>
    <cellStyle name="Comma 50 9" xfId="814"/>
    <cellStyle name="Comma 51" xfId="815"/>
    <cellStyle name="Comma 51 10" xfId="816"/>
    <cellStyle name="Comma 51 11" xfId="817"/>
    <cellStyle name="Comma 51 12" xfId="818"/>
    <cellStyle name="Comma 51 13" xfId="819"/>
    <cellStyle name="Comma 51 14" xfId="820"/>
    <cellStyle name="Comma 51 15" xfId="821"/>
    <cellStyle name="Comma 51 16" xfId="9183"/>
    <cellStyle name="Comma 51 17" xfId="9184"/>
    <cellStyle name="Comma 51 18" xfId="16367"/>
    <cellStyle name="Comma 51 2" xfId="822"/>
    <cellStyle name="Comma 51 2 2" xfId="17161"/>
    <cellStyle name="Comma 51 3" xfId="823"/>
    <cellStyle name="Comma 51 3 2" xfId="17012"/>
    <cellStyle name="Comma 51 4" xfId="824"/>
    <cellStyle name="Comma 51 5" xfId="825"/>
    <cellStyle name="Comma 51 6" xfId="826"/>
    <cellStyle name="Comma 51 7" xfId="827"/>
    <cellStyle name="Comma 51 8" xfId="828"/>
    <cellStyle name="Comma 51 9" xfId="829"/>
    <cellStyle name="Comma 52" xfId="830"/>
    <cellStyle name="Comma 52 10" xfId="831"/>
    <cellStyle name="Comma 52 11" xfId="832"/>
    <cellStyle name="Comma 52 12" xfId="833"/>
    <cellStyle name="Comma 52 13" xfId="834"/>
    <cellStyle name="Comma 52 14" xfId="835"/>
    <cellStyle name="Comma 52 15" xfId="836"/>
    <cellStyle name="Comma 52 16" xfId="9185"/>
    <cellStyle name="Comma 52 17" xfId="9186"/>
    <cellStyle name="Comma 52 18" xfId="16369"/>
    <cellStyle name="Comma 52 2" xfId="837"/>
    <cellStyle name="Comma 52 2 2" xfId="17163"/>
    <cellStyle name="Comma 52 3" xfId="838"/>
    <cellStyle name="Comma 52 3 2" xfId="17014"/>
    <cellStyle name="Comma 52 4" xfId="839"/>
    <cellStyle name="Comma 52 5" xfId="840"/>
    <cellStyle name="Comma 52 6" xfId="841"/>
    <cellStyle name="Comma 52 7" xfId="842"/>
    <cellStyle name="Comma 52 8" xfId="843"/>
    <cellStyle name="Comma 52 9" xfId="844"/>
    <cellStyle name="Comma 53" xfId="845"/>
    <cellStyle name="Comma 53 10" xfId="846"/>
    <cellStyle name="Comma 53 11" xfId="847"/>
    <cellStyle name="Comma 53 12" xfId="848"/>
    <cellStyle name="Comma 53 13" xfId="849"/>
    <cellStyle name="Comma 53 14" xfId="850"/>
    <cellStyle name="Comma 53 15" xfId="851"/>
    <cellStyle name="Comma 53 16" xfId="9187"/>
    <cellStyle name="Comma 53 17" xfId="9188"/>
    <cellStyle name="Comma 53 18" xfId="16371"/>
    <cellStyle name="Comma 53 2" xfId="852"/>
    <cellStyle name="Comma 53 2 2" xfId="9189"/>
    <cellStyle name="Comma 53 2 3" xfId="9190"/>
    <cellStyle name="Comma 53 2 4" xfId="17165"/>
    <cellStyle name="Comma 53 3" xfId="853"/>
    <cellStyle name="Comma 53 3 2" xfId="9191"/>
    <cellStyle name="Comma 53 3 3" xfId="9192"/>
    <cellStyle name="Comma 53 3 4" xfId="17016"/>
    <cellStyle name="Comma 53 4" xfId="854"/>
    <cellStyle name="Comma 53 5" xfId="855"/>
    <cellStyle name="Comma 53 6" xfId="856"/>
    <cellStyle name="Comma 53 7" xfId="857"/>
    <cellStyle name="Comma 53 8" xfId="858"/>
    <cellStyle name="Comma 53 9" xfId="859"/>
    <cellStyle name="Comma 54" xfId="860"/>
    <cellStyle name="Comma 54 2" xfId="9193"/>
    <cellStyle name="Comma 54 2 2" xfId="17167"/>
    <cellStyle name="Comma 54 3" xfId="9194"/>
    <cellStyle name="Comma 54 3 2" xfId="17017"/>
    <cellStyle name="Comma 54 4" xfId="16373"/>
    <cellStyle name="Comma 55" xfId="861"/>
    <cellStyle name="Comma 55 2" xfId="9195"/>
    <cellStyle name="Comma 55 2 2" xfId="17169"/>
    <cellStyle name="Comma 55 3" xfId="9196"/>
    <cellStyle name="Comma 55 3 2" xfId="17019"/>
    <cellStyle name="Comma 55 4" xfId="16375"/>
    <cellStyle name="Comma 56" xfId="862"/>
    <cellStyle name="Comma 56 2" xfId="9197"/>
    <cellStyle name="Comma 56 2 2" xfId="17171"/>
    <cellStyle name="Comma 56 3" xfId="9198"/>
    <cellStyle name="Comma 56 3 2" xfId="17021"/>
    <cellStyle name="Comma 56 4" xfId="16377"/>
    <cellStyle name="Comma 57" xfId="863"/>
    <cellStyle name="Comma 57 2" xfId="9199"/>
    <cellStyle name="Comma 57 2 2" xfId="17173"/>
    <cellStyle name="Comma 57 3" xfId="9200"/>
    <cellStyle name="Comma 57 3 2" xfId="17023"/>
    <cellStyle name="Comma 57 4" xfId="16379"/>
    <cellStyle name="Comma 58" xfId="864"/>
    <cellStyle name="Comma 58 2" xfId="9201"/>
    <cellStyle name="Comma 58 2 2" xfId="17175"/>
    <cellStyle name="Comma 58 3" xfId="9202"/>
    <cellStyle name="Comma 58 3 2" xfId="17024"/>
    <cellStyle name="Comma 58 4" xfId="16381"/>
    <cellStyle name="Comma 59" xfId="865"/>
    <cellStyle name="Comma 59 2" xfId="9203"/>
    <cellStyle name="Comma 59 2 2" xfId="17177"/>
    <cellStyle name="Comma 59 3" xfId="9204"/>
    <cellStyle name="Comma 59 3 2" xfId="17025"/>
    <cellStyle name="Comma 59 4" xfId="16383"/>
    <cellStyle name="Comma 6" xfId="866"/>
    <cellStyle name="Comma 6 10" xfId="9205"/>
    <cellStyle name="Comma 6 10 2" xfId="9206"/>
    <cellStyle name="Comma 6 10 2 2" xfId="9207"/>
    <cellStyle name="Comma 6 10 2 2 2" xfId="9208"/>
    <cellStyle name="Comma 6 10 2 2 2 2" xfId="9209"/>
    <cellStyle name="Comma 6 10 2 2 3" xfId="9210"/>
    <cellStyle name="Comma 6 10 2 3" xfId="9211"/>
    <cellStyle name="Comma 6 10 2 3 2" xfId="9212"/>
    <cellStyle name="Comma 6 10 2 4" xfId="9213"/>
    <cellStyle name="Comma 6 10 3" xfId="9214"/>
    <cellStyle name="Comma 6 10 3 2" xfId="9215"/>
    <cellStyle name="Comma 6 10 3 2 2" xfId="9216"/>
    <cellStyle name="Comma 6 10 3 3" xfId="9217"/>
    <cellStyle name="Comma 6 10 4" xfId="9218"/>
    <cellStyle name="Comma 6 10 4 2" xfId="9219"/>
    <cellStyle name="Comma 6 10 5" xfId="9220"/>
    <cellStyle name="Comma 6 11" xfId="9221"/>
    <cellStyle name="Comma 6 11 2" xfId="9222"/>
    <cellStyle name="Comma 6 11 2 2" xfId="9223"/>
    <cellStyle name="Comma 6 11 2 2 2" xfId="9224"/>
    <cellStyle name="Comma 6 11 2 3" xfId="9225"/>
    <cellStyle name="Comma 6 11 3" xfId="9226"/>
    <cellStyle name="Comma 6 11 3 2" xfId="9227"/>
    <cellStyle name="Comma 6 11 4" xfId="9228"/>
    <cellStyle name="Comma 6 12" xfId="9229"/>
    <cellStyle name="Comma 6 12 2" xfId="9230"/>
    <cellStyle name="Comma 6 12 2 2" xfId="9231"/>
    <cellStyle name="Comma 6 12 3" xfId="9232"/>
    <cellStyle name="Comma 6 13" xfId="9233"/>
    <cellStyle name="Comma 6 13 2" xfId="9234"/>
    <cellStyle name="Comma 6 14" xfId="9235"/>
    <cellStyle name="Comma 6 14 2" xfId="9236"/>
    <cellStyle name="Comma 6 15" xfId="9237"/>
    <cellStyle name="Comma 6 15 2" xfId="9238"/>
    <cellStyle name="Comma 6 16" xfId="9239"/>
    <cellStyle name="Comma 6 17" xfId="9240"/>
    <cellStyle name="Comma 6 2" xfId="9241"/>
    <cellStyle name="Comma 6 2 2" xfId="9242"/>
    <cellStyle name="Comma 6 2 2 2" xfId="9243"/>
    <cellStyle name="Comma 6 2 2 2 2" xfId="9244"/>
    <cellStyle name="Comma 6 2 2 2 2 2" xfId="9245"/>
    <cellStyle name="Comma 6 2 2 2 2 2 2" xfId="9246"/>
    <cellStyle name="Comma 6 2 2 2 2 3" xfId="9247"/>
    <cellStyle name="Comma 6 2 2 2 3" xfId="9248"/>
    <cellStyle name="Comma 6 2 2 2 3 2" xfId="9249"/>
    <cellStyle name="Comma 6 2 2 2 4" xfId="9250"/>
    <cellStyle name="Comma 6 2 2 3" xfId="9251"/>
    <cellStyle name="Comma 6 2 2 3 2" xfId="9252"/>
    <cellStyle name="Comma 6 2 2 3 2 2" xfId="9253"/>
    <cellStyle name="Comma 6 2 2 3 3" xfId="9254"/>
    <cellStyle name="Comma 6 2 2 4" xfId="9255"/>
    <cellStyle name="Comma 6 2 2 4 2" xfId="9256"/>
    <cellStyle name="Comma 6 2 2 5" xfId="9257"/>
    <cellStyle name="Comma 6 2 3" xfId="9258"/>
    <cellStyle name="Comma 6 2 3 2" xfId="9259"/>
    <cellStyle name="Comma 6 2 4" xfId="9260"/>
    <cellStyle name="Comma 6 2 5" xfId="16065"/>
    <cellStyle name="Comma 6 2 6" xfId="16967"/>
    <cellStyle name="Comma 6 3" xfId="9261"/>
    <cellStyle name="Comma 6 3 2" xfId="9262"/>
    <cellStyle name="Comma 6 3 2 2" xfId="9263"/>
    <cellStyle name="Comma 6 3 2 2 2" xfId="9264"/>
    <cellStyle name="Comma 6 3 2 2 2 2" xfId="9265"/>
    <cellStyle name="Comma 6 3 2 2 3" xfId="9266"/>
    <cellStyle name="Comma 6 3 2 3" xfId="9267"/>
    <cellStyle name="Comma 6 3 2 3 2" xfId="9268"/>
    <cellStyle name="Comma 6 3 2 4" xfId="9269"/>
    <cellStyle name="Comma 6 3 3" xfId="9270"/>
    <cellStyle name="Comma 6 3 3 2" xfId="9271"/>
    <cellStyle name="Comma 6 3 3 2 2" xfId="9272"/>
    <cellStyle name="Comma 6 3 3 3" xfId="9273"/>
    <cellStyle name="Comma 6 3 4" xfId="9274"/>
    <cellStyle name="Comma 6 3 4 2" xfId="9275"/>
    <cellStyle name="Comma 6 3 5" xfId="9276"/>
    <cellStyle name="Comma 6 3 5 2" xfId="9277"/>
    <cellStyle name="Comma 6 3 6" xfId="9278"/>
    <cellStyle name="Comma 6 3 7" xfId="16929"/>
    <cellStyle name="Comma 6 3 8" xfId="19805"/>
    <cellStyle name="Comma 6 4" xfId="9279"/>
    <cellStyle name="Comma 6 4 2" xfId="9280"/>
    <cellStyle name="Comma 6 4 2 2" xfId="9281"/>
    <cellStyle name="Comma 6 4 2 2 2" xfId="9282"/>
    <cellStyle name="Comma 6 4 2 2 2 2" xfId="9283"/>
    <cellStyle name="Comma 6 4 2 2 3" xfId="9284"/>
    <cellStyle name="Comma 6 4 2 3" xfId="9285"/>
    <cellStyle name="Comma 6 4 2 3 2" xfId="9286"/>
    <cellStyle name="Comma 6 4 2 4" xfId="9287"/>
    <cellStyle name="Comma 6 4 3" xfId="9288"/>
    <cellStyle name="Comma 6 4 3 2" xfId="9289"/>
    <cellStyle name="Comma 6 4 3 2 2" xfId="9290"/>
    <cellStyle name="Comma 6 4 3 3" xfId="9291"/>
    <cellStyle name="Comma 6 4 4" xfId="9292"/>
    <cellStyle name="Comma 6 4 4 2" xfId="9293"/>
    <cellStyle name="Comma 6 4 5" xfId="9294"/>
    <cellStyle name="Comma 6 4 5 2" xfId="9295"/>
    <cellStyle name="Comma 6 4 6" xfId="9296"/>
    <cellStyle name="Comma 6 5" xfId="9297"/>
    <cellStyle name="Comma 6 5 2" xfId="9298"/>
    <cellStyle name="Comma 6 5 2 2" xfId="9299"/>
    <cellStyle name="Comma 6 5 2 2 2" xfId="9300"/>
    <cellStyle name="Comma 6 5 2 2 2 2" xfId="9301"/>
    <cellStyle name="Comma 6 5 2 2 3" xfId="9302"/>
    <cellStyle name="Comma 6 5 2 3" xfId="9303"/>
    <cellStyle name="Comma 6 5 2 3 2" xfId="9304"/>
    <cellStyle name="Comma 6 5 2 4" xfId="9305"/>
    <cellStyle name="Comma 6 5 3" xfId="9306"/>
    <cellStyle name="Comma 6 5 3 2" xfId="9307"/>
    <cellStyle name="Comma 6 5 3 2 2" xfId="9308"/>
    <cellStyle name="Comma 6 5 3 3" xfId="9309"/>
    <cellStyle name="Comma 6 5 4" xfId="9310"/>
    <cellStyle name="Comma 6 5 4 2" xfId="9311"/>
    <cellStyle name="Comma 6 5 5" xfId="9312"/>
    <cellStyle name="Comma 6 6" xfId="9313"/>
    <cellStyle name="Comma 6 6 2" xfId="9314"/>
    <cellStyle name="Comma 6 6 2 2" xfId="9315"/>
    <cellStyle name="Comma 6 6 2 2 2" xfId="9316"/>
    <cellStyle name="Comma 6 6 2 2 2 2" xfId="9317"/>
    <cellStyle name="Comma 6 6 2 2 3" xfId="9318"/>
    <cellStyle name="Comma 6 6 2 3" xfId="9319"/>
    <cellStyle name="Comma 6 6 2 3 2" xfId="9320"/>
    <cellStyle name="Comma 6 6 2 4" xfId="9321"/>
    <cellStyle name="Comma 6 6 3" xfId="9322"/>
    <cellStyle name="Comma 6 6 3 2" xfId="9323"/>
    <cellStyle name="Comma 6 6 3 2 2" xfId="9324"/>
    <cellStyle name="Comma 6 6 3 3" xfId="9325"/>
    <cellStyle name="Comma 6 6 4" xfId="9326"/>
    <cellStyle name="Comma 6 6 4 2" xfId="9327"/>
    <cellStyle name="Comma 6 6 5" xfId="9328"/>
    <cellStyle name="Comma 6 7" xfId="9329"/>
    <cellStyle name="Comma 6 7 2" xfId="9330"/>
    <cellStyle name="Comma 6 7 2 2" xfId="9331"/>
    <cellStyle name="Comma 6 7 2 2 2" xfId="9332"/>
    <cellStyle name="Comma 6 7 2 2 2 2" xfId="9333"/>
    <cellStyle name="Comma 6 7 2 2 3" xfId="9334"/>
    <cellStyle name="Comma 6 7 2 3" xfId="9335"/>
    <cellStyle name="Comma 6 7 2 3 2" xfId="9336"/>
    <cellStyle name="Comma 6 7 2 4" xfId="9337"/>
    <cellStyle name="Comma 6 7 3" xfId="9338"/>
    <cellStyle name="Comma 6 7 3 2" xfId="9339"/>
    <cellStyle name="Comma 6 7 3 2 2" xfId="9340"/>
    <cellStyle name="Comma 6 7 3 3" xfId="9341"/>
    <cellStyle name="Comma 6 7 4" xfId="9342"/>
    <cellStyle name="Comma 6 7 4 2" xfId="9343"/>
    <cellStyle name="Comma 6 7 5" xfId="9344"/>
    <cellStyle name="Comma 6 8" xfId="9345"/>
    <cellStyle name="Comma 6 8 2" xfId="9346"/>
    <cellStyle name="Comma 6 8 2 2" xfId="9347"/>
    <cellStyle name="Comma 6 8 2 2 2" xfId="9348"/>
    <cellStyle name="Comma 6 8 2 2 2 2" xfId="9349"/>
    <cellStyle name="Comma 6 8 2 2 3" xfId="9350"/>
    <cellStyle name="Comma 6 8 2 3" xfId="9351"/>
    <cellStyle name="Comma 6 8 2 3 2" xfId="9352"/>
    <cellStyle name="Comma 6 8 2 4" xfId="9353"/>
    <cellStyle name="Comma 6 8 3" xfId="9354"/>
    <cellStyle name="Comma 6 8 3 2" xfId="9355"/>
    <cellStyle name="Comma 6 8 3 2 2" xfId="9356"/>
    <cellStyle name="Comma 6 8 3 3" xfId="9357"/>
    <cellStyle name="Comma 6 8 4" xfId="9358"/>
    <cellStyle name="Comma 6 8 4 2" xfId="9359"/>
    <cellStyle name="Comma 6 8 5" xfId="9360"/>
    <cellStyle name="Comma 6 9" xfId="9361"/>
    <cellStyle name="Comma 6 9 2" xfId="9362"/>
    <cellStyle name="Comma 6 9 2 2" xfId="9363"/>
    <cellStyle name="Comma 6 9 2 2 2" xfId="9364"/>
    <cellStyle name="Comma 6 9 2 2 2 2" xfId="9365"/>
    <cellStyle name="Comma 6 9 2 2 3" xfId="9366"/>
    <cellStyle name="Comma 6 9 2 3" xfId="9367"/>
    <cellStyle name="Comma 6 9 2 3 2" xfId="9368"/>
    <cellStyle name="Comma 6 9 2 4" xfId="9369"/>
    <cellStyle name="Comma 6 9 3" xfId="9370"/>
    <cellStyle name="Comma 6 9 3 2" xfId="9371"/>
    <cellStyle name="Comma 6 9 3 2 2" xfId="9372"/>
    <cellStyle name="Comma 6 9 3 3" xfId="9373"/>
    <cellStyle name="Comma 6 9 4" xfId="9374"/>
    <cellStyle name="Comma 6 9 4 2" xfId="9375"/>
    <cellStyle name="Comma 6 9 5" xfId="9376"/>
    <cellStyle name="Comma 60" xfId="867"/>
    <cellStyle name="Comma 60 2" xfId="868"/>
    <cellStyle name="Comma 60 2 2" xfId="17179"/>
    <cellStyle name="Comma 60 3" xfId="9377"/>
    <cellStyle name="Comma 60 3 2" xfId="17026"/>
    <cellStyle name="Comma 60 4" xfId="9378"/>
    <cellStyle name="Comma 60 5" xfId="16385"/>
    <cellStyle name="Comma 61" xfId="869"/>
    <cellStyle name="Comma 61 2" xfId="870"/>
    <cellStyle name="Comma 61 2 2" xfId="17181"/>
    <cellStyle name="Comma 61 3" xfId="9379"/>
    <cellStyle name="Comma 61 3 2" xfId="17027"/>
    <cellStyle name="Comma 61 4" xfId="9380"/>
    <cellStyle name="Comma 61 5" xfId="16387"/>
    <cellStyle name="Comma 62" xfId="871"/>
    <cellStyle name="Comma 62 2" xfId="9381"/>
    <cellStyle name="Comma 62 2 2" xfId="17183"/>
    <cellStyle name="Comma 62 3" xfId="9382"/>
    <cellStyle name="Comma 62 3 2" xfId="17028"/>
    <cellStyle name="Comma 62 4" xfId="16389"/>
    <cellStyle name="Comma 63" xfId="872"/>
    <cellStyle name="Comma 63 2" xfId="9383"/>
    <cellStyle name="Comma 63 2 2" xfId="17185"/>
    <cellStyle name="Comma 63 3" xfId="9384"/>
    <cellStyle name="Comma 63 3 2" xfId="17029"/>
    <cellStyle name="Comma 63 4" xfId="16391"/>
    <cellStyle name="Comma 64" xfId="873"/>
    <cellStyle name="Comma 64 2" xfId="9385"/>
    <cellStyle name="Comma 64 2 2" xfId="17187"/>
    <cellStyle name="Comma 64 3" xfId="9386"/>
    <cellStyle name="Comma 64 4" xfId="16393"/>
    <cellStyle name="Comma 65" xfId="874"/>
    <cellStyle name="Comma 65 2" xfId="9387"/>
    <cellStyle name="Comma 65 2 2" xfId="17189"/>
    <cellStyle name="Comma 65 3" xfId="9388"/>
    <cellStyle name="Comma 65 4" xfId="16395"/>
    <cellStyle name="Comma 66" xfId="875"/>
    <cellStyle name="Comma 66 2" xfId="9389"/>
    <cellStyle name="Comma 66 2 2" xfId="17191"/>
    <cellStyle name="Comma 66 3" xfId="9390"/>
    <cellStyle name="Comma 66 4" xfId="16397"/>
    <cellStyle name="Comma 67" xfId="876"/>
    <cellStyle name="Comma 67 2" xfId="9391"/>
    <cellStyle name="Comma 67 2 2" xfId="17193"/>
    <cellStyle name="Comma 67 3" xfId="9392"/>
    <cellStyle name="Comma 67 4" xfId="16399"/>
    <cellStyle name="Comma 68" xfId="877"/>
    <cellStyle name="Comma 68 2" xfId="9393"/>
    <cellStyle name="Comma 68 2 2" xfId="17195"/>
    <cellStyle name="Comma 68 3" xfId="9394"/>
    <cellStyle name="Comma 68 4" xfId="16401"/>
    <cellStyle name="Comma 69" xfId="878"/>
    <cellStyle name="Comma 69 2" xfId="9395"/>
    <cellStyle name="Comma 69 2 2" xfId="17197"/>
    <cellStyle name="Comma 69 3" xfId="9396"/>
    <cellStyle name="Comma 69 4" xfId="16403"/>
    <cellStyle name="Comma 7" xfId="879"/>
    <cellStyle name="Comma 7 2" xfId="880"/>
    <cellStyle name="Comma 7 2 10" xfId="881"/>
    <cellStyle name="Comma 7 2 11" xfId="882"/>
    <cellStyle name="Comma 7 2 12" xfId="883"/>
    <cellStyle name="Comma 7 2 13" xfId="884"/>
    <cellStyle name="Comma 7 2 14" xfId="885"/>
    <cellStyle name="Comma 7 2 15" xfId="886"/>
    <cellStyle name="Comma 7 2 16" xfId="887"/>
    <cellStyle name="Comma 7 2 17" xfId="9397"/>
    <cellStyle name="Comma 7 2 18" xfId="9398"/>
    <cellStyle name="Comma 7 2 19" xfId="16066"/>
    <cellStyle name="Comma 7 2 2" xfId="888"/>
    <cellStyle name="Comma 7 2 2 10" xfId="889"/>
    <cellStyle name="Comma 7 2 2 11" xfId="890"/>
    <cellStyle name="Comma 7 2 2 12" xfId="891"/>
    <cellStyle name="Comma 7 2 2 13" xfId="892"/>
    <cellStyle name="Comma 7 2 2 14" xfId="893"/>
    <cellStyle name="Comma 7 2 2 15" xfId="894"/>
    <cellStyle name="Comma 7 2 2 16" xfId="9399"/>
    <cellStyle name="Comma 7 2 2 17" xfId="9400"/>
    <cellStyle name="Comma 7 2 2 2" xfId="895"/>
    <cellStyle name="Comma 7 2 2 3" xfId="896"/>
    <cellStyle name="Comma 7 2 2 4" xfId="897"/>
    <cellStyle name="Comma 7 2 2 5" xfId="898"/>
    <cellStyle name="Comma 7 2 2 6" xfId="899"/>
    <cellStyle name="Comma 7 2 2 7" xfId="900"/>
    <cellStyle name="Comma 7 2 2 8" xfId="901"/>
    <cellStyle name="Comma 7 2 2 9" xfId="902"/>
    <cellStyle name="Comma 7 2 20" xfId="16934"/>
    <cellStyle name="Comma 7 2 3" xfId="903"/>
    <cellStyle name="Comma 7 2 4" xfId="904"/>
    <cellStyle name="Comma 7 2 5" xfId="905"/>
    <cellStyle name="Comma 7 2 6" xfId="906"/>
    <cellStyle name="Comma 7 2 7" xfId="907"/>
    <cellStyle name="Comma 7 2 8" xfId="908"/>
    <cellStyle name="Comma 7 2 9" xfId="909"/>
    <cellStyle name="Comma 7 3" xfId="9401"/>
    <cellStyle name="Comma 7 3 2" xfId="9402"/>
    <cellStyle name="Comma 7 3 2 2" xfId="9403"/>
    <cellStyle name="Comma 7 3 3" xfId="9404"/>
    <cellStyle name="Comma 7 4" xfId="9405"/>
    <cellStyle name="Comma 7 4 2" xfId="9406"/>
    <cellStyle name="Comma 7 4 2 2" xfId="9407"/>
    <cellStyle name="Comma 7 4 3" xfId="9408"/>
    <cellStyle name="Comma 7 5" xfId="9409"/>
    <cellStyle name="Comma 7 5 2" xfId="9410"/>
    <cellStyle name="Comma 7 6" xfId="9411"/>
    <cellStyle name="Comma 7 7" xfId="9412"/>
    <cellStyle name="Comma 70" xfId="910"/>
    <cellStyle name="Comma 70 2" xfId="9413"/>
    <cellStyle name="Comma 70 2 2" xfId="17199"/>
    <cellStyle name="Comma 70 3" xfId="9414"/>
    <cellStyle name="Comma 70 4" xfId="16405"/>
    <cellStyle name="Comma 71" xfId="911"/>
    <cellStyle name="Comma 71 2" xfId="912"/>
    <cellStyle name="Comma 71 2 2" xfId="17201"/>
    <cellStyle name="Comma 71 3" xfId="9415"/>
    <cellStyle name="Comma 71 4" xfId="9416"/>
    <cellStyle name="Comma 71 5" xfId="16407"/>
    <cellStyle name="Comma 72" xfId="913"/>
    <cellStyle name="Comma 72 2" xfId="914"/>
    <cellStyle name="Comma 72 2 2" xfId="17203"/>
    <cellStyle name="Comma 72 3" xfId="9417"/>
    <cellStyle name="Comma 72 4" xfId="9418"/>
    <cellStyle name="Comma 72 5" xfId="16409"/>
    <cellStyle name="Comma 73" xfId="915"/>
    <cellStyle name="Comma 73 2" xfId="916"/>
    <cellStyle name="Comma 73 2 2" xfId="17205"/>
    <cellStyle name="Comma 73 3" xfId="9419"/>
    <cellStyle name="Comma 73 4" xfId="9420"/>
    <cellStyle name="Comma 73 5" xfId="16411"/>
    <cellStyle name="Comma 74" xfId="917"/>
    <cellStyle name="Comma 74 2" xfId="918"/>
    <cellStyle name="Comma 74 2 2" xfId="17207"/>
    <cellStyle name="Comma 74 3" xfId="9421"/>
    <cellStyle name="Comma 74 4" xfId="9422"/>
    <cellStyle name="Comma 74 5" xfId="16413"/>
    <cellStyle name="Comma 75" xfId="919"/>
    <cellStyle name="Comma 75 2" xfId="920"/>
    <cellStyle name="Comma 75 2 2" xfId="17209"/>
    <cellStyle name="Comma 75 3" xfId="9423"/>
    <cellStyle name="Comma 75 4" xfId="9424"/>
    <cellStyle name="Comma 75 5" xfId="16415"/>
    <cellStyle name="Comma 76" xfId="921"/>
    <cellStyle name="Comma 76 2" xfId="922"/>
    <cellStyle name="Comma 76 2 2" xfId="17211"/>
    <cellStyle name="Comma 76 3" xfId="9425"/>
    <cellStyle name="Comma 76 4" xfId="9426"/>
    <cellStyle name="Comma 76 5" xfId="16417"/>
    <cellStyle name="Comma 77" xfId="923"/>
    <cellStyle name="Comma 77 2" xfId="924"/>
    <cellStyle name="Comma 77 2 2" xfId="17213"/>
    <cellStyle name="Comma 77 3" xfId="9427"/>
    <cellStyle name="Comma 77 4" xfId="9428"/>
    <cellStyle name="Comma 77 5" xfId="16419"/>
    <cellStyle name="Comma 78" xfId="925"/>
    <cellStyle name="Comma 78 2" xfId="926"/>
    <cellStyle name="Comma 78 2 2" xfId="17215"/>
    <cellStyle name="Comma 78 3" xfId="9429"/>
    <cellStyle name="Comma 78 4" xfId="9430"/>
    <cellStyle name="Comma 78 5" xfId="16421"/>
    <cellStyle name="Comma 79" xfId="927"/>
    <cellStyle name="Comma 79 2" xfId="928"/>
    <cellStyle name="Comma 79 2 2" xfId="17217"/>
    <cellStyle name="Comma 79 3" xfId="9431"/>
    <cellStyle name="Comma 79 4" xfId="9432"/>
    <cellStyle name="Comma 79 5" xfId="16423"/>
    <cellStyle name="Comma 8" xfId="929"/>
    <cellStyle name="Comma 8 2" xfId="930"/>
    <cellStyle name="Comma 8 2 10" xfId="931"/>
    <cellStyle name="Comma 8 2 11" xfId="932"/>
    <cellStyle name="Comma 8 2 12" xfId="933"/>
    <cellStyle name="Comma 8 2 13" xfId="934"/>
    <cellStyle name="Comma 8 2 14" xfId="935"/>
    <cellStyle name="Comma 8 2 15" xfId="936"/>
    <cellStyle name="Comma 8 2 16" xfId="937"/>
    <cellStyle name="Comma 8 2 17" xfId="9433"/>
    <cellStyle name="Comma 8 2 18" xfId="9434"/>
    <cellStyle name="Comma 8 2 19" xfId="16973"/>
    <cellStyle name="Comma 8 2 2" xfId="938"/>
    <cellStyle name="Comma 8 2 2 10" xfId="939"/>
    <cellStyle name="Comma 8 2 2 11" xfId="940"/>
    <cellStyle name="Comma 8 2 2 12" xfId="941"/>
    <cellStyle name="Comma 8 2 2 13" xfId="942"/>
    <cellStyle name="Comma 8 2 2 14" xfId="943"/>
    <cellStyle name="Comma 8 2 2 15" xfId="944"/>
    <cellStyle name="Comma 8 2 2 16" xfId="9435"/>
    <cellStyle name="Comma 8 2 2 17" xfId="9436"/>
    <cellStyle name="Comma 8 2 2 18" xfId="17523"/>
    <cellStyle name="Comma 8 2 2 2" xfId="945"/>
    <cellStyle name="Comma 8 2 2 2 2" xfId="9437"/>
    <cellStyle name="Comma 8 2 2 2 3" xfId="9438"/>
    <cellStyle name="Comma 8 2 2 2 4" xfId="18328"/>
    <cellStyle name="Comma 8 2 2 3" xfId="946"/>
    <cellStyle name="Comma 8 2 2 3 2" xfId="19064"/>
    <cellStyle name="Comma 8 2 2 4" xfId="947"/>
    <cellStyle name="Comma 8 2 2 5" xfId="948"/>
    <cellStyle name="Comma 8 2 2 6" xfId="949"/>
    <cellStyle name="Comma 8 2 2 7" xfId="950"/>
    <cellStyle name="Comma 8 2 2 8" xfId="951"/>
    <cellStyle name="Comma 8 2 2 9" xfId="952"/>
    <cellStyle name="Comma 8 2 3" xfId="953"/>
    <cellStyle name="Comma 8 2 3 2" xfId="9439"/>
    <cellStyle name="Comma 8 2 3 3" xfId="9440"/>
    <cellStyle name="Comma 8 2 3 4" xfId="18025"/>
    <cellStyle name="Comma 8 2 4" xfId="954"/>
    <cellStyle name="Comma 8 2 4 2" xfId="9441"/>
    <cellStyle name="Comma 8 2 4 3" xfId="9442"/>
    <cellStyle name="Comma 8 2 4 4" xfId="18784"/>
    <cellStyle name="Comma 8 2 5" xfId="955"/>
    <cellStyle name="Comma 8 2 6" xfId="956"/>
    <cellStyle name="Comma 8 2 7" xfId="957"/>
    <cellStyle name="Comma 8 2 8" xfId="958"/>
    <cellStyle name="Comma 8 2 9" xfId="959"/>
    <cellStyle name="Comma 8 3" xfId="9443"/>
    <cellStyle name="Comma 8 3 2" xfId="9444"/>
    <cellStyle name="Comma 8 3 2 2" xfId="9445"/>
    <cellStyle name="Comma 8 3 2 2 2" xfId="18314"/>
    <cellStyle name="Comma 8 3 2 3" xfId="19050"/>
    <cellStyle name="Comma 8 3 2 4" xfId="17509"/>
    <cellStyle name="Comma 8 3 3" xfId="9446"/>
    <cellStyle name="Comma 8 3 3 2" xfId="9447"/>
    <cellStyle name="Comma 8 3 3 3" xfId="18022"/>
    <cellStyle name="Comma 8 3 4" xfId="9448"/>
    <cellStyle name="Comma 8 3 4 2" xfId="18781"/>
    <cellStyle name="Comma 8 3 5" xfId="16938"/>
    <cellStyle name="Comma 8 4" xfId="9449"/>
    <cellStyle name="Comma 8 4 2" xfId="9450"/>
    <cellStyle name="Comma 8 4 2 2" xfId="9451"/>
    <cellStyle name="Comma 8 4 3" xfId="9452"/>
    <cellStyle name="Comma 8 5" xfId="9453"/>
    <cellStyle name="Comma 8 5 2" xfId="9454"/>
    <cellStyle name="Comma 8 6" xfId="9455"/>
    <cellStyle name="Comma 8 6 2" xfId="9456"/>
    <cellStyle name="Comma 8 7" xfId="9457"/>
    <cellStyle name="Comma 8 8" xfId="9458"/>
    <cellStyle name="Comma 80" xfId="960"/>
    <cellStyle name="Comma 80 2" xfId="961"/>
    <cellStyle name="Comma 80 2 2" xfId="17219"/>
    <cellStyle name="Comma 80 3" xfId="9459"/>
    <cellStyle name="Comma 80 4" xfId="9460"/>
    <cellStyle name="Comma 80 5" xfId="16425"/>
    <cellStyle name="Comma 81" xfId="962"/>
    <cellStyle name="Comma 81 2" xfId="963"/>
    <cellStyle name="Comma 81 2 2" xfId="17221"/>
    <cellStyle name="Comma 81 3" xfId="9461"/>
    <cellStyle name="Comma 81 4" xfId="9462"/>
    <cellStyle name="Comma 81 5" xfId="16427"/>
    <cellStyle name="Comma 82" xfId="964"/>
    <cellStyle name="Comma 82 2" xfId="965"/>
    <cellStyle name="Comma 82 2 2" xfId="17223"/>
    <cellStyle name="Comma 82 3" xfId="9463"/>
    <cellStyle name="Comma 82 4" xfId="9464"/>
    <cellStyle name="Comma 82 5" xfId="16429"/>
    <cellStyle name="Comma 83" xfId="966"/>
    <cellStyle name="Comma 83 2" xfId="967"/>
    <cellStyle name="Comma 83 2 2" xfId="17225"/>
    <cellStyle name="Comma 83 3" xfId="9465"/>
    <cellStyle name="Comma 83 4" xfId="9466"/>
    <cellStyle name="Comma 83 5" xfId="16431"/>
    <cellStyle name="Comma 84" xfId="968"/>
    <cellStyle name="Comma 84 2" xfId="969"/>
    <cellStyle name="Comma 84 2 2" xfId="17227"/>
    <cellStyle name="Comma 84 3" xfId="9467"/>
    <cellStyle name="Comma 84 4" xfId="9468"/>
    <cellStyle name="Comma 84 5" xfId="16433"/>
    <cellStyle name="Comma 85" xfId="970"/>
    <cellStyle name="Comma 85 2" xfId="971"/>
    <cellStyle name="Comma 85 2 2" xfId="17229"/>
    <cellStyle name="Comma 85 3" xfId="9469"/>
    <cellStyle name="Comma 85 4" xfId="9470"/>
    <cellStyle name="Comma 85 5" xfId="16435"/>
    <cellStyle name="Comma 86" xfId="972"/>
    <cellStyle name="Comma 86 2" xfId="973"/>
    <cellStyle name="Comma 86 2 2" xfId="17231"/>
    <cellStyle name="Comma 86 3" xfId="9471"/>
    <cellStyle name="Comma 86 4" xfId="9472"/>
    <cellStyle name="Comma 86 5" xfId="16437"/>
    <cellStyle name="Comma 87" xfId="974"/>
    <cellStyle name="Comma 87 2" xfId="9473"/>
    <cellStyle name="Comma 87 2 2" xfId="17233"/>
    <cellStyle name="Comma 87 3" xfId="9474"/>
    <cellStyle name="Comma 87 4" xfId="16439"/>
    <cellStyle name="Comma 88" xfId="975"/>
    <cellStyle name="Comma 88 2" xfId="9475"/>
    <cellStyle name="Comma 88 2 2" xfId="17235"/>
    <cellStyle name="Comma 88 3" xfId="9476"/>
    <cellStyle name="Comma 88 4" xfId="16441"/>
    <cellStyle name="Comma 89" xfId="976"/>
    <cellStyle name="Comma 89 2" xfId="9477"/>
    <cellStyle name="Comma 89 2 2" xfId="17237"/>
    <cellStyle name="Comma 89 3" xfId="9478"/>
    <cellStyle name="Comma 89 4" xfId="16443"/>
    <cellStyle name="Comma 9" xfId="977"/>
    <cellStyle name="Comma 9 2" xfId="978"/>
    <cellStyle name="Comma 9 2 10" xfId="979"/>
    <cellStyle name="Comma 9 2 11" xfId="980"/>
    <cellStyle name="Comma 9 2 12" xfId="981"/>
    <cellStyle name="Comma 9 2 13" xfId="982"/>
    <cellStyle name="Comma 9 2 14" xfId="983"/>
    <cellStyle name="Comma 9 2 15" xfId="984"/>
    <cellStyle name="Comma 9 2 16" xfId="985"/>
    <cellStyle name="Comma 9 2 17" xfId="9479"/>
    <cellStyle name="Comma 9 2 18" xfId="9480"/>
    <cellStyle name="Comma 9 2 19" xfId="16974"/>
    <cellStyle name="Comma 9 2 2" xfId="986"/>
    <cellStyle name="Comma 9 2 2 10" xfId="987"/>
    <cellStyle name="Comma 9 2 2 11" xfId="988"/>
    <cellStyle name="Comma 9 2 2 12" xfId="989"/>
    <cellStyle name="Comma 9 2 2 13" xfId="990"/>
    <cellStyle name="Comma 9 2 2 14" xfId="991"/>
    <cellStyle name="Comma 9 2 2 15" xfId="992"/>
    <cellStyle name="Comma 9 2 2 16" xfId="9481"/>
    <cellStyle name="Comma 9 2 2 17" xfId="9482"/>
    <cellStyle name="Comma 9 2 2 2" xfId="993"/>
    <cellStyle name="Comma 9 2 2 2 2" xfId="9483"/>
    <cellStyle name="Comma 9 2 2 2 3" xfId="9484"/>
    <cellStyle name="Comma 9 2 2 3" xfId="994"/>
    <cellStyle name="Comma 9 2 2 4" xfId="995"/>
    <cellStyle name="Comma 9 2 2 5" xfId="996"/>
    <cellStyle name="Comma 9 2 2 6" xfId="997"/>
    <cellStyle name="Comma 9 2 2 7" xfId="998"/>
    <cellStyle name="Comma 9 2 2 8" xfId="999"/>
    <cellStyle name="Comma 9 2 2 9" xfId="1000"/>
    <cellStyle name="Comma 9 2 3" xfId="1001"/>
    <cellStyle name="Comma 9 2 3 2" xfId="9485"/>
    <cellStyle name="Comma 9 2 3 3" xfId="9486"/>
    <cellStyle name="Comma 9 2 4" xfId="1002"/>
    <cellStyle name="Comma 9 2 4 2" xfId="9487"/>
    <cellStyle name="Comma 9 2 4 3" xfId="9488"/>
    <cellStyle name="Comma 9 2 5" xfId="1003"/>
    <cellStyle name="Comma 9 2 6" xfId="1004"/>
    <cellStyle name="Comma 9 2 7" xfId="1005"/>
    <cellStyle name="Comma 9 2 8" xfId="1006"/>
    <cellStyle name="Comma 9 2 9" xfId="1007"/>
    <cellStyle name="Comma 9 3" xfId="9489"/>
    <cellStyle name="Comma 9 3 2" xfId="9490"/>
    <cellStyle name="Comma 9 3 2 2" xfId="9491"/>
    <cellStyle name="Comma 9 3 3" xfId="9492"/>
    <cellStyle name="Comma 9 3 3 2" xfId="9493"/>
    <cellStyle name="Comma 9 3 4" xfId="9494"/>
    <cellStyle name="Comma 9 4" xfId="9495"/>
    <cellStyle name="Comma 9 4 2" xfId="9496"/>
    <cellStyle name="Comma 9 4 2 2" xfId="9497"/>
    <cellStyle name="Comma 9 4 3" xfId="9498"/>
    <cellStyle name="Comma 9 5" xfId="9499"/>
    <cellStyle name="Comma 9 5 2" xfId="9500"/>
    <cellStyle name="Comma 9 6" xfId="9501"/>
    <cellStyle name="Comma 9 6 2" xfId="9502"/>
    <cellStyle name="Comma 9 7" xfId="9503"/>
    <cellStyle name="Comma 9 8" xfId="9504"/>
    <cellStyle name="Comma 90" xfId="1008"/>
    <cellStyle name="Comma 90 2" xfId="9505"/>
    <cellStyle name="Comma 90 2 2" xfId="17239"/>
    <cellStyle name="Comma 90 3" xfId="9506"/>
    <cellStyle name="Comma 90 4" xfId="16445"/>
    <cellStyle name="Comma 91" xfId="1009"/>
    <cellStyle name="Comma 91 2" xfId="9507"/>
    <cellStyle name="Comma 91 2 2" xfId="17241"/>
    <cellStyle name="Comma 91 3" xfId="9508"/>
    <cellStyle name="Comma 91 4" xfId="16447"/>
    <cellStyle name="Comma 92" xfId="1010"/>
    <cellStyle name="Comma 92 2" xfId="9509"/>
    <cellStyle name="Comma 92 2 2" xfId="17243"/>
    <cellStyle name="Comma 92 3" xfId="9510"/>
    <cellStyle name="Comma 92 4" xfId="16449"/>
    <cellStyle name="Comma 93" xfId="1011"/>
    <cellStyle name="Comma 93 2" xfId="9511"/>
    <cellStyle name="Comma 93 2 2" xfId="17245"/>
    <cellStyle name="Comma 93 3" xfId="9512"/>
    <cellStyle name="Comma 93 4" xfId="16451"/>
    <cellStyle name="Comma 94" xfId="1012"/>
    <cellStyle name="Comma 94 2" xfId="9513"/>
    <cellStyle name="Comma 94 2 2" xfId="17247"/>
    <cellStyle name="Comma 94 3" xfId="9514"/>
    <cellStyle name="Comma 94 4" xfId="16453"/>
    <cellStyle name="Comma 95" xfId="1013"/>
    <cellStyle name="Comma 95 2" xfId="9515"/>
    <cellStyle name="Comma 95 2 2" xfId="17249"/>
    <cellStyle name="Comma 95 3" xfId="9516"/>
    <cellStyle name="Comma 95 4" xfId="16455"/>
    <cellStyle name="Comma 96" xfId="1014"/>
    <cellStyle name="Comma 96 2" xfId="9517"/>
    <cellStyle name="Comma 96 2 2" xfId="17251"/>
    <cellStyle name="Comma 96 3" xfId="9518"/>
    <cellStyle name="Comma 96 4" xfId="16457"/>
    <cellStyle name="Comma 97" xfId="1015"/>
    <cellStyle name="Comma 97 2" xfId="9519"/>
    <cellStyle name="Comma 97 2 2" xfId="17253"/>
    <cellStyle name="Comma 97 3" xfId="9520"/>
    <cellStyle name="Comma 97 4" xfId="16459"/>
    <cellStyle name="Comma 98" xfId="1016"/>
    <cellStyle name="Comma 98 2" xfId="9521"/>
    <cellStyle name="Comma 98 2 2" xfId="17255"/>
    <cellStyle name="Comma 98 3" xfId="9522"/>
    <cellStyle name="Comma 98 4" xfId="16461"/>
    <cellStyle name="Comma 99" xfId="1017"/>
    <cellStyle name="Comma 99 2" xfId="9523"/>
    <cellStyle name="Comma 99 2 2" xfId="17257"/>
    <cellStyle name="Comma 99 3" xfId="9524"/>
    <cellStyle name="Comma 99 4" xfId="16463"/>
    <cellStyle name="Comma Style (brackets)" xfId="9525"/>
    <cellStyle name="Comma Style (brackets) 2" xfId="9526"/>
    <cellStyle name="Comma0" xfId="1018"/>
    <cellStyle name="Comma0 - Style1" xfId="1019"/>
    <cellStyle name="Comma0 - Style1 2" xfId="9527"/>
    <cellStyle name="Comma0 - Style1 3" xfId="9528"/>
    <cellStyle name="Comma0 - Style2" xfId="9529"/>
    <cellStyle name="Comma0 - Style2 2" xfId="9530"/>
    <cellStyle name="Comma0 - Style5" xfId="1020"/>
    <cellStyle name="Comma0 2" xfId="9531"/>
    <cellStyle name="Comma0 2 2" xfId="19700"/>
    <cellStyle name="Comma0 3" xfId="9532"/>
    <cellStyle name="Comma0 3 2" xfId="19701"/>
    <cellStyle name="Comma0 4" xfId="9533"/>
    <cellStyle name="Comma0 4 2" xfId="19702"/>
    <cellStyle name="Comma0 5" xfId="9534"/>
    <cellStyle name="Comma0 5 2" xfId="19703"/>
    <cellStyle name="Comma0 6" xfId="19704"/>
    <cellStyle name="Comma0 7" xfId="19705"/>
    <cellStyle name="Comma0 8" xfId="19699"/>
    <cellStyle name="Comma0_Output.REC" xfId="2308"/>
    <cellStyle name="Comma1 - Style1" xfId="1021"/>
    <cellStyle name="Copied" xfId="2309"/>
    <cellStyle name="Copied 2" xfId="9535"/>
    <cellStyle name="Copied 3" xfId="9536"/>
    <cellStyle name="Currency ." xfId="9537"/>
    <cellStyle name="Currency . 2" xfId="9538"/>
    <cellStyle name="Currency .00" xfId="9539"/>
    <cellStyle name="Currency .00 2" xfId="9540"/>
    <cellStyle name="Currency .00 2 2" xfId="9541"/>
    <cellStyle name="Currency .00 3" xfId="9542"/>
    <cellStyle name="Currency .00 3 2" xfId="9543"/>
    <cellStyle name="Currency .00 3 2 2" xfId="9544"/>
    <cellStyle name="Currency .00 3 3" xfId="9545"/>
    <cellStyle name="Currency .00 4" xfId="9546"/>
    <cellStyle name="Currency .00 4 2" xfId="9547"/>
    <cellStyle name="Currency .00 4 2 2" xfId="9548"/>
    <cellStyle name="Currency .00 4 3" xfId="9549"/>
    <cellStyle name="Currency .00 5" xfId="9550"/>
    <cellStyle name="Currency .00 5 2" xfId="9551"/>
    <cellStyle name="Currency .00 5 2 2" xfId="9552"/>
    <cellStyle name="Currency .00 5 3" xfId="9553"/>
    <cellStyle name="Currency .00 6" xfId="9554"/>
    <cellStyle name="Currency [$0]" xfId="2310"/>
    <cellStyle name="Currency [$0] 2" xfId="9555"/>
    <cellStyle name="Currency [$0] 3" xfId="9556"/>
    <cellStyle name="Currency [£0]" xfId="2311"/>
    <cellStyle name="Currency [£0] 2" xfId="9557"/>
    <cellStyle name="Currency [£0] 3" xfId="9558"/>
    <cellStyle name="Currency [0.00]" xfId="9559"/>
    <cellStyle name="Currency [0.00] 2" xfId="9560"/>
    <cellStyle name="Currency [0] 10" xfId="9561"/>
    <cellStyle name="Currency [0] 10 2" xfId="9562"/>
    <cellStyle name="Currency [0] 11" xfId="9563"/>
    <cellStyle name="Currency [0] 11 2" xfId="9564"/>
    <cellStyle name="Currency [0] 12" xfId="9565"/>
    <cellStyle name="Currency [0] 12 2" xfId="9566"/>
    <cellStyle name="Currency [0] 13" xfId="9567"/>
    <cellStyle name="Currency [0] 13 2" xfId="9568"/>
    <cellStyle name="Currency [0] 14" xfId="9569"/>
    <cellStyle name="Currency [0] 14 2" xfId="9570"/>
    <cellStyle name="Currency [0] 15" xfId="9571"/>
    <cellStyle name="Currency [0] 15 2" xfId="9572"/>
    <cellStyle name="Currency [0] 16" xfId="9573"/>
    <cellStyle name="Currency [0] 16 2" xfId="9574"/>
    <cellStyle name="Currency [0] 17" xfId="9575"/>
    <cellStyle name="Currency [0] 17 2" xfId="9576"/>
    <cellStyle name="Currency [0] 18" xfId="9577"/>
    <cellStyle name="Currency [0] 18 2" xfId="9578"/>
    <cellStyle name="Currency [0] 19" xfId="9579"/>
    <cellStyle name="Currency [0] 19 2" xfId="9580"/>
    <cellStyle name="Currency [0] 2" xfId="1022"/>
    <cellStyle name="Currency [0] 2 10" xfId="1023"/>
    <cellStyle name="Currency [0] 2 11" xfId="1024"/>
    <cellStyle name="Currency [0] 2 12" xfId="1025"/>
    <cellStyle name="Currency [0] 2 13" xfId="1026"/>
    <cellStyle name="Currency [0] 2 14" xfId="1027"/>
    <cellStyle name="Currency [0] 2 15" xfId="1028"/>
    <cellStyle name="Currency [0] 2 16" xfId="1029"/>
    <cellStyle name="Currency [0] 2 17" xfId="9581"/>
    <cellStyle name="Currency [0] 2 18" xfId="9582"/>
    <cellStyle name="Currency [0] 2 2" xfId="1030"/>
    <cellStyle name="Currency [0] 2 2 10" xfId="1031"/>
    <cellStyle name="Currency [0] 2 2 11" xfId="1032"/>
    <cellStyle name="Currency [0] 2 2 12" xfId="1033"/>
    <cellStyle name="Currency [0] 2 2 13" xfId="1034"/>
    <cellStyle name="Currency [0] 2 2 14" xfId="1035"/>
    <cellStyle name="Currency [0] 2 2 15" xfId="1036"/>
    <cellStyle name="Currency [0] 2 2 2" xfId="1037"/>
    <cellStyle name="Currency [0] 2 2 3" xfId="1038"/>
    <cellStyle name="Currency [0] 2 2 4" xfId="1039"/>
    <cellStyle name="Currency [0] 2 2 5" xfId="1040"/>
    <cellStyle name="Currency [0] 2 2 6" xfId="1041"/>
    <cellStyle name="Currency [0] 2 2 7" xfId="1042"/>
    <cellStyle name="Currency [0] 2 2 8" xfId="1043"/>
    <cellStyle name="Currency [0] 2 2 9" xfId="1044"/>
    <cellStyle name="Currency [0] 2 3" xfId="1045"/>
    <cellStyle name="Currency [0] 2 4" xfId="1046"/>
    <cellStyle name="Currency [0] 2 5" xfId="1047"/>
    <cellStyle name="Currency [0] 2 6" xfId="1048"/>
    <cellStyle name="Currency [0] 2 7" xfId="1049"/>
    <cellStyle name="Currency [0] 2 8" xfId="1050"/>
    <cellStyle name="Currency [0] 2 9" xfId="1051"/>
    <cellStyle name="Currency [0] 20" xfId="9583"/>
    <cellStyle name="Currency [0] 20 2" xfId="9584"/>
    <cellStyle name="Currency [0] 21" xfId="9585"/>
    <cellStyle name="Currency [0] 21 2" xfId="9586"/>
    <cellStyle name="Currency [0] 22" xfId="9587"/>
    <cellStyle name="Currency [0] 22 2" xfId="9588"/>
    <cellStyle name="Currency [0] 23" xfId="9589"/>
    <cellStyle name="Currency [0] 23 2" xfId="9590"/>
    <cellStyle name="Currency [0] 24" xfId="9591"/>
    <cellStyle name="Currency [0] 24 2" xfId="9592"/>
    <cellStyle name="Currency [0] 24 2 2" xfId="9593"/>
    <cellStyle name="Currency [0] 24 3" xfId="9594"/>
    <cellStyle name="Currency [0] 25" xfId="9595"/>
    <cellStyle name="Currency [0] 25 2" xfId="9596"/>
    <cellStyle name="Currency [0] 25 2 2" xfId="9597"/>
    <cellStyle name="Currency [0] 25 3" xfId="9598"/>
    <cellStyle name="Currency [0] 3" xfId="9599"/>
    <cellStyle name="Currency [0] 3 2" xfId="9600"/>
    <cellStyle name="Currency [0] 4" xfId="9601"/>
    <cellStyle name="Currency [0] 4 2" xfId="9602"/>
    <cellStyle name="Currency [0] 5" xfId="9603"/>
    <cellStyle name="Currency [0] 5 2" xfId="9604"/>
    <cellStyle name="Currency [0] 6" xfId="9605"/>
    <cellStyle name="Currency [0] 6 2" xfId="9606"/>
    <cellStyle name="Currency [0] 7" xfId="9607"/>
    <cellStyle name="Currency [0] 7 2" xfId="9608"/>
    <cellStyle name="Currency [0] 8" xfId="9609"/>
    <cellStyle name="Currency [0] 8 2" xfId="9610"/>
    <cellStyle name="Currency [0] 9" xfId="9611"/>
    <cellStyle name="Currency [0] 9 2" xfId="9612"/>
    <cellStyle name="Currency [00]" xfId="1052"/>
    <cellStyle name="Currency 10" xfId="1053"/>
    <cellStyle name="Currency 10 2" xfId="1054"/>
    <cellStyle name="Currency 10 2 10" xfId="1055"/>
    <cellStyle name="Currency 10 2 11" xfId="1056"/>
    <cellStyle name="Currency 10 2 12" xfId="1057"/>
    <cellStyle name="Currency 10 2 13" xfId="1058"/>
    <cellStyle name="Currency 10 2 14" xfId="1059"/>
    <cellStyle name="Currency 10 2 15" xfId="1060"/>
    <cellStyle name="Currency 10 2 16" xfId="1061"/>
    <cellStyle name="Currency 10 2 17" xfId="9613"/>
    <cellStyle name="Currency 10 2 18" xfId="9614"/>
    <cellStyle name="Currency 10 2 2" xfId="1062"/>
    <cellStyle name="Currency 10 2 2 10" xfId="1063"/>
    <cellStyle name="Currency 10 2 2 11" xfId="1064"/>
    <cellStyle name="Currency 10 2 2 12" xfId="1065"/>
    <cellStyle name="Currency 10 2 2 13" xfId="1066"/>
    <cellStyle name="Currency 10 2 2 14" xfId="1067"/>
    <cellStyle name="Currency 10 2 2 15" xfId="1068"/>
    <cellStyle name="Currency 10 2 2 2" xfId="1069"/>
    <cellStyle name="Currency 10 2 2 3" xfId="1070"/>
    <cellStyle name="Currency 10 2 2 4" xfId="1071"/>
    <cellStyle name="Currency 10 2 2 5" xfId="1072"/>
    <cellStyle name="Currency 10 2 2 6" xfId="1073"/>
    <cellStyle name="Currency 10 2 2 7" xfId="1074"/>
    <cellStyle name="Currency 10 2 2 8" xfId="1075"/>
    <cellStyle name="Currency 10 2 2 9" xfId="1076"/>
    <cellStyle name="Currency 10 2 3" xfId="1077"/>
    <cellStyle name="Currency 10 2 4" xfId="1078"/>
    <cellStyle name="Currency 10 2 5" xfId="1079"/>
    <cellStyle name="Currency 10 2 6" xfId="1080"/>
    <cellStyle name="Currency 10 2 7" xfId="1081"/>
    <cellStyle name="Currency 10 2 8" xfId="1082"/>
    <cellStyle name="Currency 10 2 9" xfId="1083"/>
    <cellStyle name="Currency 10 3" xfId="9615"/>
    <cellStyle name="Currency 10 3 2" xfId="9616"/>
    <cellStyle name="Currency 10 4" xfId="9617"/>
    <cellStyle name="Currency 10 4 2" xfId="9618"/>
    <cellStyle name="Currency 10 5" xfId="9619"/>
    <cellStyle name="Currency 10 6" xfId="9620"/>
    <cellStyle name="Currency 11" xfId="1084"/>
    <cellStyle name="Currency 11 2" xfId="1085"/>
    <cellStyle name="Currency 11 2 10" xfId="1086"/>
    <cellStyle name="Currency 11 2 11" xfId="1087"/>
    <cellStyle name="Currency 11 2 12" xfId="1088"/>
    <cellStyle name="Currency 11 2 13" xfId="1089"/>
    <cellStyle name="Currency 11 2 14" xfId="1090"/>
    <cellStyle name="Currency 11 2 15" xfId="1091"/>
    <cellStyle name="Currency 11 2 16" xfId="1092"/>
    <cellStyle name="Currency 11 2 17" xfId="9621"/>
    <cellStyle name="Currency 11 2 18" xfId="9622"/>
    <cellStyle name="Currency 11 2 2" xfId="1093"/>
    <cellStyle name="Currency 11 2 2 10" xfId="1094"/>
    <cellStyle name="Currency 11 2 2 11" xfId="1095"/>
    <cellStyle name="Currency 11 2 2 12" xfId="1096"/>
    <cellStyle name="Currency 11 2 2 13" xfId="1097"/>
    <cellStyle name="Currency 11 2 2 14" xfId="1098"/>
    <cellStyle name="Currency 11 2 2 15" xfId="1099"/>
    <cellStyle name="Currency 11 2 2 2" xfId="1100"/>
    <cellStyle name="Currency 11 2 2 3" xfId="1101"/>
    <cellStyle name="Currency 11 2 2 4" xfId="1102"/>
    <cellStyle name="Currency 11 2 2 5" xfId="1103"/>
    <cellStyle name="Currency 11 2 2 6" xfId="1104"/>
    <cellStyle name="Currency 11 2 2 7" xfId="1105"/>
    <cellStyle name="Currency 11 2 2 8" xfId="1106"/>
    <cellStyle name="Currency 11 2 2 9" xfId="1107"/>
    <cellStyle name="Currency 11 2 3" xfId="1108"/>
    <cellStyle name="Currency 11 2 4" xfId="1109"/>
    <cellStyle name="Currency 11 2 5" xfId="1110"/>
    <cellStyle name="Currency 11 2 6" xfId="1111"/>
    <cellStyle name="Currency 11 2 7" xfId="1112"/>
    <cellStyle name="Currency 11 2 8" xfId="1113"/>
    <cellStyle name="Currency 11 2 9" xfId="1114"/>
    <cellStyle name="Currency 11 3" xfId="9623"/>
    <cellStyle name="Currency 11 3 2" xfId="9624"/>
    <cellStyle name="Currency 11 4" xfId="9625"/>
    <cellStyle name="Currency 11 4 2" xfId="9626"/>
    <cellStyle name="Currency 11 5" xfId="9627"/>
    <cellStyle name="Currency 11 6" xfId="9628"/>
    <cellStyle name="Currency 12" xfId="1115"/>
    <cellStyle name="Currency 12 10" xfId="1116"/>
    <cellStyle name="Currency 12 11" xfId="1117"/>
    <cellStyle name="Currency 12 12" xfId="1118"/>
    <cellStyle name="Currency 12 13" xfId="1119"/>
    <cellStyle name="Currency 12 14" xfId="1120"/>
    <cellStyle name="Currency 12 15" xfId="1121"/>
    <cellStyle name="Currency 12 16" xfId="1122"/>
    <cellStyle name="Currency 12 17" xfId="9629"/>
    <cellStyle name="Currency 12 18" xfId="9630"/>
    <cellStyle name="Currency 12 19" xfId="16113"/>
    <cellStyle name="Currency 12 2" xfId="1123"/>
    <cellStyle name="Currency 12 2 10" xfId="1124"/>
    <cellStyle name="Currency 12 2 11" xfId="1125"/>
    <cellStyle name="Currency 12 2 12" xfId="1126"/>
    <cellStyle name="Currency 12 2 13" xfId="1127"/>
    <cellStyle name="Currency 12 2 14" xfId="1128"/>
    <cellStyle name="Currency 12 2 15" xfId="1129"/>
    <cellStyle name="Currency 12 2 16" xfId="9631"/>
    <cellStyle name="Currency 12 2 17" xfId="9632"/>
    <cellStyle name="Currency 12 2 2" xfId="1130"/>
    <cellStyle name="Currency 12 2 3" xfId="1131"/>
    <cellStyle name="Currency 12 2 4" xfId="1132"/>
    <cellStyle name="Currency 12 2 5" xfId="1133"/>
    <cellStyle name="Currency 12 2 6" xfId="1134"/>
    <cellStyle name="Currency 12 2 7" xfId="1135"/>
    <cellStyle name="Currency 12 2 8" xfId="1136"/>
    <cellStyle name="Currency 12 2 9" xfId="1137"/>
    <cellStyle name="Currency 12 3" xfId="1138"/>
    <cellStyle name="Currency 12 3 2" xfId="9633"/>
    <cellStyle name="Currency 12 3 3" xfId="9634"/>
    <cellStyle name="Currency 12 4" xfId="1139"/>
    <cellStyle name="Currency 12 4 2" xfId="9635"/>
    <cellStyle name="Currency 12 4 3" xfId="9636"/>
    <cellStyle name="Currency 12 5" xfId="1140"/>
    <cellStyle name="Currency 12 6" xfId="1141"/>
    <cellStyle name="Currency 12 7" xfId="1142"/>
    <cellStyle name="Currency 12 8" xfId="1143"/>
    <cellStyle name="Currency 12 9" xfId="1144"/>
    <cellStyle name="Currency 13" xfId="1145"/>
    <cellStyle name="Currency 13 10" xfId="1146"/>
    <cellStyle name="Currency 13 11" xfId="1147"/>
    <cellStyle name="Currency 13 12" xfId="1148"/>
    <cellStyle name="Currency 13 13" xfId="1149"/>
    <cellStyle name="Currency 13 14" xfId="1150"/>
    <cellStyle name="Currency 13 15" xfId="1151"/>
    <cellStyle name="Currency 13 16" xfId="1152"/>
    <cellStyle name="Currency 13 17" xfId="9637"/>
    <cellStyle name="Currency 13 18" xfId="9638"/>
    <cellStyle name="Currency 13 19" xfId="16114"/>
    <cellStyle name="Currency 13 2" xfId="1153"/>
    <cellStyle name="Currency 13 2 10" xfId="1154"/>
    <cellStyle name="Currency 13 2 11" xfId="1155"/>
    <cellStyle name="Currency 13 2 12" xfId="1156"/>
    <cellStyle name="Currency 13 2 13" xfId="1157"/>
    <cellStyle name="Currency 13 2 14" xfId="1158"/>
    <cellStyle name="Currency 13 2 15" xfId="1159"/>
    <cellStyle name="Currency 13 2 16" xfId="9639"/>
    <cellStyle name="Currency 13 2 17" xfId="9640"/>
    <cellStyle name="Currency 13 2 2" xfId="1160"/>
    <cellStyle name="Currency 13 2 3" xfId="1161"/>
    <cellStyle name="Currency 13 2 4" xfId="1162"/>
    <cellStyle name="Currency 13 2 5" xfId="1163"/>
    <cellStyle name="Currency 13 2 6" xfId="1164"/>
    <cellStyle name="Currency 13 2 7" xfId="1165"/>
    <cellStyle name="Currency 13 2 8" xfId="1166"/>
    <cellStyle name="Currency 13 2 9" xfId="1167"/>
    <cellStyle name="Currency 13 3" xfId="1168"/>
    <cellStyle name="Currency 13 3 2" xfId="9641"/>
    <cellStyle name="Currency 13 3 3" xfId="9642"/>
    <cellStyle name="Currency 13 4" xfId="1169"/>
    <cellStyle name="Currency 13 4 2" xfId="9643"/>
    <cellStyle name="Currency 13 4 3" xfId="9644"/>
    <cellStyle name="Currency 13 5" xfId="1170"/>
    <cellStyle name="Currency 13 6" xfId="1171"/>
    <cellStyle name="Currency 13 7" xfId="1172"/>
    <cellStyle name="Currency 13 8" xfId="1173"/>
    <cellStyle name="Currency 13 9" xfId="1174"/>
    <cellStyle name="Currency 14" xfId="1175"/>
    <cellStyle name="Currency 14 2" xfId="9645"/>
    <cellStyle name="Currency 14 2 2" xfId="9646"/>
    <cellStyle name="Currency 14 3" xfId="9647"/>
    <cellStyle name="Currency 14 3 2" xfId="9648"/>
    <cellStyle name="Currency 14 4" xfId="9649"/>
    <cellStyle name="Currency 14 4 2" xfId="9650"/>
    <cellStyle name="Currency 14 5" xfId="9651"/>
    <cellStyle name="Currency 14 6" xfId="9652"/>
    <cellStyle name="Currency 15" xfId="1176"/>
    <cellStyle name="Currency 15 2" xfId="9653"/>
    <cellStyle name="Currency 15 2 2" xfId="9654"/>
    <cellStyle name="Currency 15 3" xfId="9655"/>
    <cellStyle name="Currency 15 3 2" xfId="9656"/>
    <cellStyle name="Currency 15 4" xfId="9657"/>
    <cellStyle name="Currency 15 4 2" xfId="9658"/>
    <cellStyle name="Currency 15 5" xfId="9659"/>
    <cellStyle name="Currency 15 6" xfId="9660"/>
    <cellStyle name="Currency 16" xfId="1177"/>
    <cellStyle name="Currency 16 2" xfId="9661"/>
    <cellStyle name="Currency 16 2 2" xfId="9662"/>
    <cellStyle name="Currency 16 3" xfId="9663"/>
    <cellStyle name="Currency 16 3 2" xfId="9664"/>
    <cellStyle name="Currency 16 4" xfId="9665"/>
    <cellStyle name="Currency 16 4 2" xfId="9666"/>
    <cellStyle name="Currency 16 5" xfId="9667"/>
    <cellStyle name="Currency 16 6" xfId="9668"/>
    <cellStyle name="Currency 17" xfId="1178"/>
    <cellStyle name="Currency 17 2" xfId="9669"/>
    <cellStyle name="Currency 17 2 2" xfId="9670"/>
    <cellStyle name="Currency 17 3" xfId="9671"/>
    <cellStyle name="Currency 17 4" xfId="9672"/>
    <cellStyle name="Currency 18" xfId="1179"/>
    <cellStyle name="Currency 18 2" xfId="1180"/>
    <cellStyle name="Currency 18 2 2" xfId="9673"/>
    <cellStyle name="Currency 18 2 3" xfId="9674"/>
    <cellStyle name="Currency 18 3" xfId="9675"/>
    <cellStyle name="Currency 18 4" xfId="9676"/>
    <cellStyle name="Currency 19" xfId="1181"/>
    <cellStyle name="Currency 19 2" xfId="1182"/>
    <cellStyle name="Currency 19 2 2" xfId="9677"/>
    <cellStyle name="Currency 19 2 3" xfId="9678"/>
    <cellStyle name="Currency 19 3" xfId="9679"/>
    <cellStyle name="Currency 19 4" xfId="9680"/>
    <cellStyle name="Currency 2" xfId="1183"/>
    <cellStyle name="Currency 2 2" xfId="1184"/>
    <cellStyle name="Currency 2 2 2" xfId="9681"/>
    <cellStyle name="Currency 2 2 2 2" xfId="9682"/>
    <cellStyle name="Currency 2 2 2 3" xfId="19771"/>
    <cellStyle name="Currency 2 2 3" xfId="9683"/>
    <cellStyle name="Currency 2 2 4" xfId="9684"/>
    <cellStyle name="Currency 2 2 5" xfId="16067"/>
    <cellStyle name="Currency 2 2 6" xfId="16965"/>
    <cellStyle name="Currency 2 3" xfId="1185"/>
    <cellStyle name="Currency 2 3 10" xfId="1186"/>
    <cellStyle name="Currency 2 3 11" xfId="1187"/>
    <cellStyle name="Currency 2 3 12" xfId="1188"/>
    <cellStyle name="Currency 2 3 13" xfId="1189"/>
    <cellStyle name="Currency 2 3 14" xfId="1190"/>
    <cellStyle name="Currency 2 3 15" xfId="1191"/>
    <cellStyle name="Currency 2 3 16" xfId="1192"/>
    <cellStyle name="Currency 2 3 17" xfId="9685"/>
    <cellStyle name="Currency 2 3 18" xfId="9686"/>
    <cellStyle name="Currency 2 3 19" xfId="16910"/>
    <cellStyle name="Currency 2 3 2" xfId="1193"/>
    <cellStyle name="Currency 2 3 2 10" xfId="1194"/>
    <cellStyle name="Currency 2 3 2 11" xfId="1195"/>
    <cellStyle name="Currency 2 3 2 12" xfId="1196"/>
    <cellStyle name="Currency 2 3 2 13" xfId="1197"/>
    <cellStyle name="Currency 2 3 2 14" xfId="1198"/>
    <cellStyle name="Currency 2 3 2 15" xfId="1199"/>
    <cellStyle name="Currency 2 3 2 16" xfId="9687"/>
    <cellStyle name="Currency 2 3 2 17" xfId="9688"/>
    <cellStyle name="Currency 2 3 2 18" xfId="19789"/>
    <cellStyle name="Currency 2 3 2 2" xfId="1200"/>
    <cellStyle name="Currency 2 3 2 3" xfId="1201"/>
    <cellStyle name="Currency 2 3 2 4" xfId="1202"/>
    <cellStyle name="Currency 2 3 2 5" xfId="1203"/>
    <cellStyle name="Currency 2 3 2 6" xfId="1204"/>
    <cellStyle name="Currency 2 3 2 7" xfId="1205"/>
    <cellStyle name="Currency 2 3 2 8" xfId="1206"/>
    <cellStyle name="Currency 2 3 2 9" xfId="1207"/>
    <cellStyle name="Currency 2 3 3" xfId="1208"/>
    <cellStyle name="Currency 2 3 4" xfId="1209"/>
    <cellStyle name="Currency 2 3 5" xfId="1210"/>
    <cellStyle name="Currency 2 3 6" xfId="1211"/>
    <cellStyle name="Currency 2 3 7" xfId="1212"/>
    <cellStyle name="Currency 2 3 8" xfId="1213"/>
    <cellStyle name="Currency 2 3 9" xfId="1214"/>
    <cellStyle name="Currency 2 4" xfId="9689"/>
    <cellStyle name="Currency 2 4 2" xfId="9690"/>
    <cellStyle name="Currency 2 4 2 2" xfId="9691"/>
    <cellStyle name="Currency 2 4 3" xfId="9692"/>
    <cellStyle name="Currency 2 4 4" xfId="19820"/>
    <cellStyle name="Currency 2 5" xfId="9693"/>
    <cellStyle name="Currency 2 5 2" xfId="9694"/>
    <cellStyle name="Currency 2 5 2 2" xfId="9695"/>
    <cellStyle name="Currency 2 5 3" xfId="9696"/>
    <cellStyle name="Currency 2 6" xfId="9697"/>
    <cellStyle name="Currency 2 7" xfId="9698"/>
    <cellStyle name="Currency 20" xfId="1215"/>
    <cellStyle name="Currency 20 2" xfId="9699"/>
    <cellStyle name="Currency 20 2 2" xfId="9700"/>
    <cellStyle name="Currency 20 3" xfId="9701"/>
    <cellStyle name="Currency 20 4" xfId="9702"/>
    <cellStyle name="Currency 21" xfId="1216"/>
    <cellStyle name="Currency 21 2" xfId="9703"/>
    <cellStyle name="Currency 21 2 2" xfId="9704"/>
    <cellStyle name="Currency 21 3" xfId="9705"/>
    <cellStyle name="Currency 21 4" xfId="9706"/>
    <cellStyle name="Currency 22" xfId="1217"/>
    <cellStyle name="Currency 22 2" xfId="9707"/>
    <cellStyle name="Currency 22 2 2" xfId="9708"/>
    <cellStyle name="Currency 22 3" xfId="9709"/>
    <cellStyle name="Currency 22 4" xfId="9710"/>
    <cellStyle name="Currency 23" xfId="1218"/>
    <cellStyle name="Currency 23 2" xfId="9711"/>
    <cellStyle name="Currency 23 2 2" xfId="9712"/>
    <cellStyle name="Currency 23 3" xfId="9713"/>
    <cellStyle name="Currency 23 4" xfId="9714"/>
    <cellStyle name="Currency 24" xfId="1219"/>
    <cellStyle name="Currency 24 2" xfId="9715"/>
    <cellStyle name="Currency 24 2 2" xfId="9716"/>
    <cellStyle name="Currency 24 3" xfId="9717"/>
    <cellStyle name="Currency 24 3 2" xfId="9718"/>
    <cellStyle name="Currency 24 4" xfId="9719"/>
    <cellStyle name="Currency 24 5" xfId="9720"/>
    <cellStyle name="Currency 25" xfId="1220"/>
    <cellStyle name="Currency 25 2" xfId="9721"/>
    <cellStyle name="Currency 25 2 2" xfId="9722"/>
    <cellStyle name="Currency 25 3" xfId="9723"/>
    <cellStyle name="Currency 25 3 2" xfId="9724"/>
    <cellStyle name="Currency 25 4" xfId="9725"/>
    <cellStyle name="Currency 25 5" xfId="9726"/>
    <cellStyle name="Currency 26" xfId="1221"/>
    <cellStyle name="Currency 26 2" xfId="9727"/>
    <cellStyle name="Currency 26 2 2" xfId="9728"/>
    <cellStyle name="Currency 26 3" xfId="9729"/>
    <cellStyle name="Currency 26 3 2" xfId="9730"/>
    <cellStyle name="Currency 26 4" xfId="9731"/>
    <cellStyle name="Currency 26 5" xfId="9732"/>
    <cellStyle name="Currency 27" xfId="1222"/>
    <cellStyle name="Currency 27 2" xfId="9733"/>
    <cellStyle name="Currency 27 2 2" xfId="9734"/>
    <cellStyle name="Currency 27 3" xfId="9735"/>
    <cellStyle name="Currency 27 3 2" xfId="9736"/>
    <cellStyle name="Currency 27 4" xfId="9737"/>
    <cellStyle name="Currency 27 5" xfId="9738"/>
    <cellStyle name="Currency 28" xfId="1223"/>
    <cellStyle name="Currency 28 2" xfId="9739"/>
    <cellStyle name="Currency 28 3" xfId="9740"/>
    <cellStyle name="Currency 29" xfId="1224"/>
    <cellStyle name="Currency 29 2" xfId="1225"/>
    <cellStyle name="Currency 29 3" xfId="9741"/>
    <cellStyle name="Currency 29 4" xfId="9742"/>
    <cellStyle name="Currency 3" xfId="1226"/>
    <cellStyle name="Currency 3 2" xfId="1227"/>
    <cellStyle name="Currency 3 2 10" xfId="1228"/>
    <cellStyle name="Currency 3 2 11" xfId="1229"/>
    <cellStyle name="Currency 3 2 12" xfId="1230"/>
    <cellStyle name="Currency 3 2 13" xfId="1231"/>
    <cellStyle name="Currency 3 2 14" xfId="1232"/>
    <cellStyle name="Currency 3 2 15" xfId="1233"/>
    <cellStyle name="Currency 3 2 16" xfId="1234"/>
    <cellStyle name="Currency 3 2 17" xfId="9743"/>
    <cellStyle name="Currency 3 2 18" xfId="9744"/>
    <cellStyle name="Currency 3 2 19" xfId="16068"/>
    <cellStyle name="Currency 3 2 2" xfId="1235"/>
    <cellStyle name="Currency 3 2 2 10" xfId="1236"/>
    <cellStyle name="Currency 3 2 2 11" xfId="1237"/>
    <cellStyle name="Currency 3 2 2 12" xfId="1238"/>
    <cellStyle name="Currency 3 2 2 13" xfId="1239"/>
    <cellStyle name="Currency 3 2 2 14" xfId="1240"/>
    <cellStyle name="Currency 3 2 2 15" xfId="1241"/>
    <cellStyle name="Currency 3 2 2 16" xfId="9745"/>
    <cellStyle name="Currency 3 2 2 17" xfId="9746"/>
    <cellStyle name="Currency 3 2 2 2" xfId="1242"/>
    <cellStyle name="Currency 3 2 2 3" xfId="1243"/>
    <cellStyle name="Currency 3 2 2 4" xfId="1244"/>
    <cellStyle name="Currency 3 2 2 5" xfId="1245"/>
    <cellStyle name="Currency 3 2 2 6" xfId="1246"/>
    <cellStyle name="Currency 3 2 2 7" xfId="1247"/>
    <cellStyle name="Currency 3 2 2 8" xfId="1248"/>
    <cellStyle name="Currency 3 2 2 9" xfId="1249"/>
    <cellStyle name="Currency 3 2 20" xfId="16968"/>
    <cellStyle name="Currency 3 2 21" xfId="19767"/>
    <cellStyle name="Currency 3 2 3" xfId="1250"/>
    <cellStyle name="Currency 3 2 3 2" xfId="9747"/>
    <cellStyle name="Currency 3 2 3 3" xfId="9748"/>
    <cellStyle name="Currency 3 2 4" xfId="1251"/>
    <cellStyle name="Currency 3 2 5" xfId="1252"/>
    <cellStyle name="Currency 3 2 6" xfId="1253"/>
    <cellStyle name="Currency 3 2 7" xfId="1254"/>
    <cellStyle name="Currency 3 2 8" xfId="1255"/>
    <cellStyle name="Currency 3 2 9" xfId="1256"/>
    <cellStyle name="Currency 3 3" xfId="9749"/>
    <cellStyle name="Currency 3 3 2" xfId="9750"/>
    <cellStyle name="Currency 3 3 2 2" xfId="9751"/>
    <cellStyle name="Currency 3 3 3" xfId="9752"/>
    <cellStyle name="Currency 3 3 4" xfId="16069"/>
    <cellStyle name="Currency 3 3 5" xfId="16930"/>
    <cellStyle name="Currency 3 4" xfId="9753"/>
    <cellStyle name="Currency 3 4 2" xfId="9754"/>
    <cellStyle name="Currency 3 5" xfId="9755"/>
    <cellStyle name="Currency 3 5 2" xfId="9756"/>
    <cellStyle name="Currency 3 6" xfId="9757"/>
    <cellStyle name="Currency 3 7" xfId="9758"/>
    <cellStyle name="Currency 30" xfId="1257"/>
    <cellStyle name="Currency 30 2" xfId="1258"/>
    <cellStyle name="Currency 30 3" xfId="9759"/>
    <cellStyle name="Currency 30 4" xfId="9760"/>
    <cellStyle name="Currency 31" xfId="1259"/>
    <cellStyle name="Currency 31 2" xfId="1260"/>
    <cellStyle name="Currency 31 2 2" xfId="9761"/>
    <cellStyle name="Currency 31 2 3" xfId="9762"/>
    <cellStyle name="Currency 31 3" xfId="9763"/>
    <cellStyle name="Currency 31 4" xfId="9764"/>
    <cellStyle name="Currency 32" xfId="1261"/>
    <cellStyle name="Currency 32 2" xfId="1262"/>
    <cellStyle name="Currency 32 2 2" xfId="9765"/>
    <cellStyle name="Currency 32 2 3" xfId="9766"/>
    <cellStyle name="Currency 32 3" xfId="9767"/>
    <cellStyle name="Currency 32 4" xfId="9768"/>
    <cellStyle name="Currency 33" xfId="1263"/>
    <cellStyle name="Currency 33 2" xfId="1264"/>
    <cellStyle name="Currency 33 3" xfId="9769"/>
    <cellStyle name="Currency 33 4" xfId="9770"/>
    <cellStyle name="Currency 34" xfId="1265"/>
    <cellStyle name="Currency 34 2" xfId="1266"/>
    <cellStyle name="Currency 34 3" xfId="9771"/>
    <cellStyle name="Currency 34 4" xfId="9772"/>
    <cellStyle name="Currency 35" xfId="1267"/>
    <cellStyle name="Currency 35 2" xfId="1268"/>
    <cellStyle name="Currency 36" xfId="1269"/>
    <cellStyle name="Currency 36 2" xfId="1270"/>
    <cellStyle name="Currency 37" xfId="19594"/>
    <cellStyle name="Currency 38" xfId="19595"/>
    <cellStyle name="Currency 4" xfId="1271"/>
    <cellStyle name="Currency 4 2" xfId="1272"/>
    <cellStyle name="Currency 4 2 10" xfId="1273"/>
    <cellStyle name="Currency 4 2 11" xfId="1274"/>
    <cellStyle name="Currency 4 2 12" xfId="1275"/>
    <cellStyle name="Currency 4 2 13" xfId="1276"/>
    <cellStyle name="Currency 4 2 14" xfId="1277"/>
    <cellStyle name="Currency 4 2 15" xfId="1278"/>
    <cellStyle name="Currency 4 2 16" xfId="1279"/>
    <cellStyle name="Currency 4 2 17" xfId="9773"/>
    <cellStyle name="Currency 4 2 18" xfId="9774"/>
    <cellStyle name="Currency 4 2 19" xfId="16071"/>
    <cellStyle name="Currency 4 2 2" xfId="1280"/>
    <cellStyle name="Currency 4 2 2 10" xfId="1281"/>
    <cellStyle name="Currency 4 2 2 11" xfId="1282"/>
    <cellStyle name="Currency 4 2 2 12" xfId="1283"/>
    <cellStyle name="Currency 4 2 2 13" xfId="1284"/>
    <cellStyle name="Currency 4 2 2 14" xfId="1285"/>
    <cellStyle name="Currency 4 2 2 15" xfId="1286"/>
    <cellStyle name="Currency 4 2 2 16" xfId="9775"/>
    <cellStyle name="Currency 4 2 2 17" xfId="9776"/>
    <cellStyle name="Currency 4 2 2 2" xfId="1287"/>
    <cellStyle name="Currency 4 2 2 3" xfId="1288"/>
    <cellStyle name="Currency 4 2 2 4" xfId="1289"/>
    <cellStyle name="Currency 4 2 2 5" xfId="1290"/>
    <cellStyle name="Currency 4 2 2 6" xfId="1291"/>
    <cellStyle name="Currency 4 2 2 7" xfId="1292"/>
    <cellStyle name="Currency 4 2 2 8" xfId="1293"/>
    <cellStyle name="Currency 4 2 2 9" xfId="1294"/>
    <cellStyle name="Currency 4 2 20" xfId="19790"/>
    <cellStyle name="Currency 4 2 3" xfId="1295"/>
    <cellStyle name="Currency 4 2 3 2" xfId="9777"/>
    <cellStyle name="Currency 4 2 3 3" xfId="9778"/>
    <cellStyle name="Currency 4 2 4" xfId="1296"/>
    <cellStyle name="Currency 4 2 5" xfId="1297"/>
    <cellStyle name="Currency 4 2 6" xfId="1298"/>
    <cellStyle name="Currency 4 2 7" xfId="1299"/>
    <cellStyle name="Currency 4 2 8" xfId="1300"/>
    <cellStyle name="Currency 4 2 9" xfId="1301"/>
    <cellStyle name="Currency 4 3" xfId="9779"/>
    <cellStyle name="Currency 4 3 2" xfId="9780"/>
    <cellStyle name="Currency 4 3 3" xfId="16072"/>
    <cellStyle name="Currency 4 4" xfId="9781"/>
    <cellStyle name="Currency 4 4 2" xfId="9782"/>
    <cellStyle name="Currency 4 5" xfId="9783"/>
    <cellStyle name="Currency 4 6" xfId="9784"/>
    <cellStyle name="Currency 4 7" xfId="16070"/>
    <cellStyle name="Currency 4 8" xfId="19706"/>
    <cellStyle name="Currency 5" xfId="1302"/>
    <cellStyle name="Currency 5 2" xfId="1303"/>
    <cellStyle name="Currency 5 2 10" xfId="1304"/>
    <cellStyle name="Currency 5 2 11" xfId="1305"/>
    <cellStyle name="Currency 5 2 12" xfId="1306"/>
    <cellStyle name="Currency 5 2 13" xfId="1307"/>
    <cellStyle name="Currency 5 2 14" xfId="1308"/>
    <cellStyle name="Currency 5 2 15" xfId="1309"/>
    <cellStyle name="Currency 5 2 16" xfId="1310"/>
    <cellStyle name="Currency 5 2 17" xfId="9785"/>
    <cellStyle name="Currency 5 2 18" xfId="9786"/>
    <cellStyle name="Currency 5 2 19" xfId="16073"/>
    <cellStyle name="Currency 5 2 2" xfId="1311"/>
    <cellStyle name="Currency 5 2 2 10" xfId="1312"/>
    <cellStyle name="Currency 5 2 2 11" xfId="1313"/>
    <cellStyle name="Currency 5 2 2 12" xfId="1314"/>
    <cellStyle name="Currency 5 2 2 13" xfId="1315"/>
    <cellStyle name="Currency 5 2 2 14" xfId="1316"/>
    <cellStyle name="Currency 5 2 2 15" xfId="1317"/>
    <cellStyle name="Currency 5 2 2 16" xfId="9787"/>
    <cellStyle name="Currency 5 2 2 17" xfId="9788"/>
    <cellStyle name="Currency 5 2 2 2" xfId="1318"/>
    <cellStyle name="Currency 5 2 2 3" xfId="1319"/>
    <cellStyle name="Currency 5 2 2 4" xfId="1320"/>
    <cellStyle name="Currency 5 2 2 5" xfId="1321"/>
    <cellStyle name="Currency 5 2 2 6" xfId="1322"/>
    <cellStyle name="Currency 5 2 2 7" xfId="1323"/>
    <cellStyle name="Currency 5 2 2 8" xfId="1324"/>
    <cellStyle name="Currency 5 2 2 9" xfId="1325"/>
    <cellStyle name="Currency 5 2 3" xfId="1326"/>
    <cellStyle name="Currency 5 2 4" xfId="1327"/>
    <cellStyle name="Currency 5 2 5" xfId="1328"/>
    <cellStyle name="Currency 5 2 6" xfId="1329"/>
    <cellStyle name="Currency 5 2 7" xfId="1330"/>
    <cellStyle name="Currency 5 2 8" xfId="1331"/>
    <cellStyle name="Currency 5 2 9" xfId="1332"/>
    <cellStyle name="Currency 5 3" xfId="9789"/>
    <cellStyle name="Currency 5 3 2" xfId="9790"/>
    <cellStyle name="Currency 5 3 3" xfId="16074"/>
    <cellStyle name="Currency 5 4" xfId="9791"/>
    <cellStyle name="Currency 5 4 2" xfId="9792"/>
    <cellStyle name="Currency 5 5" xfId="9793"/>
    <cellStyle name="Currency 5 6" xfId="9794"/>
    <cellStyle name="Currency 5 7" xfId="19803"/>
    <cellStyle name="Currency 6" xfId="1333"/>
    <cellStyle name="Currency 6 2" xfId="1334"/>
    <cellStyle name="Currency 6 2 10" xfId="1335"/>
    <cellStyle name="Currency 6 2 11" xfId="1336"/>
    <cellStyle name="Currency 6 2 12" xfId="1337"/>
    <cellStyle name="Currency 6 2 13" xfId="1338"/>
    <cellStyle name="Currency 6 2 14" xfId="1339"/>
    <cellStyle name="Currency 6 2 15" xfId="1340"/>
    <cellStyle name="Currency 6 2 16" xfId="1341"/>
    <cellStyle name="Currency 6 2 17" xfId="9795"/>
    <cellStyle name="Currency 6 2 18" xfId="9796"/>
    <cellStyle name="Currency 6 2 19" xfId="16075"/>
    <cellStyle name="Currency 6 2 2" xfId="1342"/>
    <cellStyle name="Currency 6 2 2 10" xfId="1343"/>
    <cellStyle name="Currency 6 2 2 11" xfId="1344"/>
    <cellStyle name="Currency 6 2 2 12" xfId="1345"/>
    <cellStyle name="Currency 6 2 2 13" xfId="1346"/>
    <cellStyle name="Currency 6 2 2 14" xfId="1347"/>
    <cellStyle name="Currency 6 2 2 15" xfId="1348"/>
    <cellStyle name="Currency 6 2 2 16" xfId="9797"/>
    <cellStyle name="Currency 6 2 2 17" xfId="9798"/>
    <cellStyle name="Currency 6 2 2 2" xfId="1349"/>
    <cellStyle name="Currency 6 2 2 3" xfId="1350"/>
    <cellStyle name="Currency 6 2 2 4" xfId="1351"/>
    <cellStyle name="Currency 6 2 2 5" xfId="1352"/>
    <cellStyle name="Currency 6 2 2 6" xfId="1353"/>
    <cellStyle name="Currency 6 2 2 7" xfId="1354"/>
    <cellStyle name="Currency 6 2 2 8" xfId="1355"/>
    <cellStyle name="Currency 6 2 2 9" xfId="1356"/>
    <cellStyle name="Currency 6 2 3" xfId="1357"/>
    <cellStyle name="Currency 6 2 4" xfId="1358"/>
    <cellStyle name="Currency 6 2 5" xfId="1359"/>
    <cellStyle name="Currency 6 2 6" xfId="1360"/>
    <cellStyle name="Currency 6 2 7" xfId="1361"/>
    <cellStyle name="Currency 6 2 8" xfId="1362"/>
    <cellStyle name="Currency 6 2 9" xfId="1363"/>
    <cellStyle name="Currency 6 3" xfId="9799"/>
    <cellStyle name="Currency 6 3 2" xfId="9800"/>
    <cellStyle name="Currency 6 4" xfId="9801"/>
    <cellStyle name="Currency 6 4 2" xfId="9802"/>
    <cellStyle name="Currency 6 5" xfId="9803"/>
    <cellStyle name="Currency 6 6" xfId="9804"/>
    <cellStyle name="Currency 7" xfId="1364"/>
    <cellStyle name="Currency 7 2" xfId="1365"/>
    <cellStyle name="Currency 7 2 10" xfId="1366"/>
    <cellStyle name="Currency 7 2 11" xfId="1367"/>
    <cellStyle name="Currency 7 2 12" xfId="1368"/>
    <cellStyle name="Currency 7 2 13" xfId="1369"/>
    <cellStyle name="Currency 7 2 14" xfId="1370"/>
    <cellStyle name="Currency 7 2 15" xfId="1371"/>
    <cellStyle name="Currency 7 2 16" xfId="1372"/>
    <cellStyle name="Currency 7 2 17" xfId="9805"/>
    <cellStyle name="Currency 7 2 18" xfId="9806"/>
    <cellStyle name="Currency 7 2 19" xfId="16076"/>
    <cellStyle name="Currency 7 2 2" xfId="1373"/>
    <cellStyle name="Currency 7 2 2 10" xfId="1374"/>
    <cellStyle name="Currency 7 2 2 11" xfId="1375"/>
    <cellStyle name="Currency 7 2 2 12" xfId="1376"/>
    <cellStyle name="Currency 7 2 2 13" xfId="1377"/>
    <cellStyle name="Currency 7 2 2 14" xfId="1378"/>
    <cellStyle name="Currency 7 2 2 15" xfId="1379"/>
    <cellStyle name="Currency 7 2 2 16" xfId="9807"/>
    <cellStyle name="Currency 7 2 2 17" xfId="9808"/>
    <cellStyle name="Currency 7 2 2 2" xfId="1380"/>
    <cellStyle name="Currency 7 2 2 3" xfId="1381"/>
    <cellStyle name="Currency 7 2 2 4" xfId="1382"/>
    <cellStyle name="Currency 7 2 2 5" xfId="1383"/>
    <cellStyle name="Currency 7 2 2 6" xfId="1384"/>
    <cellStyle name="Currency 7 2 2 7" xfId="1385"/>
    <cellStyle name="Currency 7 2 2 8" xfId="1386"/>
    <cellStyle name="Currency 7 2 2 9" xfId="1387"/>
    <cellStyle name="Currency 7 2 3" xfId="1388"/>
    <cellStyle name="Currency 7 2 4" xfId="1389"/>
    <cellStyle name="Currency 7 2 5" xfId="1390"/>
    <cellStyle name="Currency 7 2 6" xfId="1391"/>
    <cellStyle name="Currency 7 2 7" xfId="1392"/>
    <cellStyle name="Currency 7 2 8" xfId="1393"/>
    <cellStyle name="Currency 7 2 9" xfId="1394"/>
    <cellStyle name="Currency 7 3" xfId="9809"/>
    <cellStyle name="Currency 7 3 2" xfId="9810"/>
    <cellStyle name="Currency 7 4" xfId="9811"/>
    <cellStyle name="Currency 7 4 2" xfId="9812"/>
    <cellStyle name="Currency 7 5" xfId="9813"/>
    <cellStyle name="Currency 7 6" xfId="9814"/>
    <cellStyle name="Currency 8" xfId="1395"/>
    <cellStyle name="Currency 8 2" xfId="1396"/>
    <cellStyle name="Currency 8 2 10" xfId="1397"/>
    <cellStyle name="Currency 8 2 11" xfId="1398"/>
    <cellStyle name="Currency 8 2 12" xfId="1399"/>
    <cellStyle name="Currency 8 2 13" xfId="1400"/>
    <cellStyle name="Currency 8 2 14" xfId="1401"/>
    <cellStyle name="Currency 8 2 15" xfId="1402"/>
    <cellStyle name="Currency 8 2 16" xfId="1403"/>
    <cellStyle name="Currency 8 2 17" xfId="9815"/>
    <cellStyle name="Currency 8 2 18" xfId="9816"/>
    <cellStyle name="Currency 8 2 2" xfId="1404"/>
    <cellStyle name="Currency 8 2 2 10" xfId="1405"/>
    <cellStyle name="Currency 8 2 2 11" xfId="1406"/>
    <cellStyle name="Currency 8 2 2 12" xfId="1407"/>
    <cellStyle name="Currency 8 2 2 13" xfId="1408"/>
    <cellStyle name="Currency 8 2 2 14" xfId="1409"/>
    <cellStyle name="Currency 8 2 2 15" xfId="1410"/>
    <cellStyle name="Currency 8 2 2 2" xfId="1411"/>
    <cellStyle name="Currency 8 2 2 3" xfId="1412"/>
    <cellStyle name="Currency 8 2 2 4" xfId="1413"/>
    <cellStyle name="Currency 8 2 2 5" xfId="1414"/>
    <cellStyle name="Currency 8 2 2 6" xfId="1415"/>
    <cellStyle name="Currency 8 2 2 7" xfId="1416"/>
    <cellStyle name="Currency 8 2 2 8" xfId="1417"/>
    <cellStyle name="Currency 8 2 2 9" xfId="1418"/>
    <cellStyle name="Currency 8 2 3" xfId="1419"/>
    <cellStyle name="Currency 8 2 4" xfId="1420"/>
    <cellStyle name="Currency 8 2 5" xfId="1421"/>
    <cellStyle name="Currency 8 2 6" xfId="1422"/>
    <cellStyle name="Currency 8 2 7" xfId="1423"/>
    <cellStyle name="Currency 8 2 8" xfId="1424"/>
    <cellStyle name="Currency 8 2 9" xfId="1425"/>
    <cellStyle name="Currency 8 3" xfId="9817"/>
    <cellStyle name="Currency 8 3 2" xfId="9818"/>
    <cellStyle name="Currency 8 4" xfId="9819"/>
    <cellStyle name="Currency 8 4 2" xfId="9820"/>
    <cellStyle name="Currency 8 5" xfId="9821"/>
    <cellStyle name="Currency 8 6" xfId="9822"/>
    <cellStyle name="Currency 9" xfId="1426"/>
    <cellStyle name="Currency 9 2" xfId="1427"/>
    <cellStyle name="Currency 9 2 10" xfId="1428"/>
    <cellStyle name="Currency 9 2 11" xfId="1429"/>
    <cellStyle name="Currency 9 2 12" xfId="1430"/>
    <cellStyle name="Currency 9 2 13" xfId="1431"/>
    <cellStyle name="Currency 9 2 14" xfId="1432"/>
    <cellStyle name="Currency 9 2 15" xfId="1433"/>
    <cellStyle name="Currency 9 2 16" xfId="1434"/>
    <cellStyle name="Currency 9 2 17" xfId="9823"/>
    <cellStyle name="Currency 9 2 18" xfId="9824"/>
    <cellStyle name="Currency 9 2 2" xfId="1435"/>
    <cellStyle name="Currency 9 2 2 10" xfId="1436"/>
    <cellStyle name="Currency 9 2 2 11" xfId="1437"/>
    <cellStyle name="Currency 9 2 2 12" xfId="1438"/>
    <cellStyle name="Currency 9 2 2 13" xfId="1439"/>
    <cellStyle name="Currency 9 2 2 14" xfId="1440"/>
    <cellStyle name="Currency 9 2 2 15" xfId="1441"/>
    <cellStyle name="Currency 9 2 2 2" xfId="1442"/>
    <cellStyle name="Currency 9 2 2 3" xfId="1443"/>
    <cellStyle name="Currency 9 2 2 4" xfId="1444"/>
    <cellStyle name="Currency 9 2 2 5" xfId="1445"/>
    <cellStyle name="Currency 9 2 2 6" xfId="1446"/>
    <cellStyle name="Currency 9 2 2 7" xfId="1447"/>
    <cellStyle name="Currency 9 2 2 8" xfId="1448"/>
    <cellStyle name="Currency 9 2 2 9" xfId="1449"/>
    <cellStyle name="Currency 9 2 3" xfId="1450"/>
    <cellStyle name="Currency 9 2 4" xfId="1451"/>
    <cellStyle name="Currency 9 2 5" xfId="1452"/>
    <cellStyle name="Currency 9 2 6" xfId="1453"/>
    <cellStyle name="Currency 9 2 7" xfId="1454"/>
    <cellStyle name="Currency 9 2 8" xfId="1455"/>
    <cellStyle name="Currency 9 2 9" xfId="1456"/>
    <cellStyle name="Currency 9 3" xfId="9825"/>
    <cellStyle name="Currency 9 3 2" xfId="9826"/>
    <cellStyle name="Currency 9 4" xfId="9827"/>
    <cellStyle name="Currency 9 4 2" xfId="9828"/>
    <cellStyle name="Currency 9 5" xfId="9829"/>
    <cellStyle name="Currency 9 6" xfId="9830"/>
    <cellStyle name="Currency0" xfId="1457"/>
    <cellStyle name="Currency0 2" xfId="9831"/>
    <cellStyle name="Currency0 2 2" xfId="19708"/>
    <cellStyle name="Currency0 3" xfId="9832"/>
    <cellStyle name="Currency0 3 2" xfId="19709"/>
    <cellStyle name="Currency0 4" xfId="16115"/>
    <cellStyle name="Currency0 4 2" xfId="19710"/>
    <cellStyle name="Currency0 5" xfId="19711"/>
    <cellStyle name="Currency0 6" xfId="19712"/>
    <cellStyle name="Currency0 7" xfId="19713"/>
    <cellStyle name="Currency0 8" xfId="19707"/>
    <cellStyle name="Daen" xfId="9833"/>
    <cellStyle name="Daen 2" xfId="9834"/>
    <cellStyle name="data inp" xfId="9835"/>
    <cellStyle name="data inp 2" xfId="9836"/>
    <cellStyle name="data input" xfId="9837"/>
    <cellStyle name="data input 2" xfId="9838"/>
    <cellStyle name="Date" xfId="1458"/>
    <cellStyle name="Date 10" xfId="9839"/>
    <cellStyle name="Date 11" xfId="9840"/>
    <cellStyle name="Date 12" xfId="16116"/>
    <cellStyle name="Date 13" xfId="19714"/>
    <cellStyle name="Date 2" xfId="1459"/>
    <cellStyle name="Date 2 2" xfId="9841"/>
    <cellStyle name="Date 2 2 2" xfId="9842"/>
    <cellStyle name="Date 2 3" xfId="9843"/>
    <cellStyle name="Date 2 3 2" xfId="9844"/>
    <cellStyle name="Date 2 4" xfId="9845"/>
    <cellStyle name="Date 2 5" xfId="9846"/>
    <cellStyle name="Date 2 6" xfId="16818"/>
    <cellStyle name="Date 2 7" xfId="19715"/>
    <cellStyle name="Date 3" xfId="1460"/>
    <cellStyle name="Date 3 2" xfId="9847"/>
    <cellStyle name="Date 3 3" xfId="9848"/>
    <cellStyle name="Date 3 4" xfId="19716"/>
    <cellStyle name="Date 4" xfId="9849"/>
    <cellStyle name="Date 4 2" xfId="9850"/>
    <cellStyle name="Date 4 3" xfId="19717"/>
    <cellStyle name="Date 5" xfId="9851"/>
    <cellStyle name="Date 5 2" xfId="9852"/>
    <cellStyle name="Date 5 3" xfId="19718"/>
    <cellStyle name="Date 6" xfId="9853"/>
    <cellStyle name="Date 6 2" xfId="9854"/>
    <cellStyle name="Date 6 3" xfId="19719"/>
    <cellStyle name="Date 7" xfId="9855"/>
    <cellStyle name="Date 7 2" xfId="9856"/>
    <cellStyle name="Date 7 3" xfId="19720"/>
    <cellStyle name="Date 8" xfId="9857"/>
    <cellStyle name="Date 8 2" xfId="9858"/>
    <cellStyle name="Date 9" xfId="9859"/>
    <cellStyle name="Date 9 2" xfId="9860"/>
    <cellStyle name="Date long" xfId="9861"/>
    <cellStyle name="Date long 2" xfId="9862"/>
    <cellStyle name="Date long 2 2" xfId="9863"/>
    <cellStyle name="Date long 2 2 2" xfId="9864"/>
    <cellStyle name="Date long 2 3" xfId="9865"/>
    <cellStyle name="Date Long 3" xfId="9866"/>
    <cellStyle name="Date long 3 2" xfId="9867"/>
    <cellStyle name="Date long 3 2 2" xfId="9868"/>
    <cellStyle name="Date long 3 3" xfId="9869"/>
    <cellStyle name="Date long 3 3 2" xfId="9870"/>
    <cellStyle name="Date Long 3 4" xfId="9871"/>
    <cellStyle name="Date Long 4" xfId="9872"/>
    <cellStyle name="Date long 4 2" xfId="9873"/>
    <cellStyle name="Date long 4 2 2" xfId="9874"/>
    <cellStyle name="Date long 4 3" xfId="9875"/>
    <cellStyle name="Date long 4 3 2" xfId="9876"/>
    <cellStyle name="Date Long 4 4" xfId="9877"/>
    <cellStyle name="Date Long 5" xfId="9878"/>
    <cellStyle name="Date long 5 2" xfId="9879"/>
    <cellStyle name="Date long 5 2 2" xfId="9880"/>
    <cellStyle name="Date long 5 3" xfId="9881"/>
    <cellStyle name="Date long 5 3 2" xfId="9882"/>
    <cellStyle name="Date Long 5 4" xfId="9883"/>
    <cellStyle name="Date long 6" xfId="9884"/>
    <cellStyle name="Date lot_" xfId="9885"/>
    <cellStyle name="Date sho_C" xfId="9886"/>
    <cellStyle name="Date short" xfId="9887"/>
    <cellStyle name="Date short 2" xfId="9888"/>
    <cellStyle name="Date short 2 2" xfId="9889"/>
    <cellStyle name="Date short 2 2 2" xfId="9890"/>
    <cellStyle name="Date short 2 3" xfId="9891"/>
    <cellStyle name="Date Short 3" xfId="9892"/>
    <cellStyle name="Date short 3 2" xfId="9893"/>
    <cellStyle name="Date short 3 2 2" xfId="9894"/>
    <cellStyle name="Date short 3 3" xfId="9895"/>
    <cellStyle name="Date short 3 3 2" xfId="9896"/>
    <cellStyle name="Date Short 3 4" xfId="9897"/>
    <cellStyle name="Date Short 4" xfId="9898"/>
    <cellStyle name="Date short 4 2" xfId="9899"/>
    <cellStyle name="Date short 4 2 2" xfId="9900"/>
    <cellStyle name="Date short 4 3" xfId="9901"/>
    <cellStyle name="Date short 4 3 2" xfId="9902"/>
    <cellStyle name="Date Short 4 4" xfId="9903"/>
    <cellStyle name="Date Short 5" xfId="9904"/>
    <cellStyle name="Date short 5 2" xfId="9905"/>
    <cellStyle name="Date short 5 2 2" xfId="9906"/>
    <cellStyle name="Date short 5 3" xfId="9907"/>
    <cellStyle name="Date short 5 3 2" xfId="9908"/>
    <cellStyle name="Date Short 5 4" xfId="9909"/>
    <cellStyle name="Date short 6" xfId="9910"/>
    <cellStyle name="Date_Certification" xfId="9911"/>
    <cellStyle name="DateTime" xfId="9912"/>
    <cellStyle name="DateTime 2" xfId="9913"/>
    <cellStyle name="Day" xfId="9914"/>
    <cellStyle name="Day 2" xfId="9915"/>
    <cellStyle name="Day 2 2" xfId="9916"/>
    <cellStyle name="Day 3" xfId="9917"/>
    <cellStyle name="Decimal  .0" xfId="9918"/>
    <cellStyle name="Decimal  .0 2" xfId="9919"/>
    <cellStyle name="Decimal  .0 3" xfId="16117"/>
    <cellStyle name="Dezimal [0]_Compiling Utility Macros" xfId="1461"/>
    <cellStyle name="Dezimal_Compiling Utility Macros" xfId="1462"/>
    <cellStyle name="Dollars" xfId="9920"/>
    <cellStyle name="Dollars &amp; Cents" xfId="2312"/>
    <cellStyle name="Dollars &amp; Cents 2" xfId="9921"/>
    <cellStyle name="Dollars &amp; Cents 3" xfId="9922"/>
    <cellStyle name="Dollars 2" xfId="9923"/>
    <cellStyle name="Dollars(0)" xfId="9924"/>
    <cellStyle name="Dollars(0) 2" xfId="9925"/>
    <cellStyle name="Dollars_2003-10-29 JB demo" xfId="9926"/>
    <cellStyle name="Edge" xfId="1463"/>
    <cellStyle name="ellow]" xfId="9927"/>
    <cellStyle name="ellow] 2" xfId="9928"/>
    <cellStyle name="Emphasis 1" xfId="9929"/>
    <cellStyle name="Emphasis 1 2" xfId="9930"/>
    <cellStyle name="Emphasis 2" xfId="9931"/>
    <cellStyle name="Emphasis 2 2" xfId="9932"/>
    <cellStyle name="Emphasis 3" xfId="9933"/>
    <cellStyle name="Emphasis 3 2" xfId="9934"/>
    <cellStyle name="Entered" xfId="2313"/>
    <cellStyle name="Entered 2" xfId="9935"/>
    <cellStyle name="Entered 3" xfId="9936"/>
    <cellStyle name="Euro" xfId="1464"/>
    <cellStyle name="Euro 2" xfId="9937"/>
    <cellStyle name="Euro 2 2" xfId="9938"/>
    <cellStyle name="Euro 3" xfId="9939"/>
    <cellStyle name="Euro 3 2" xfId="9940"/>
    <cellStyle name="Euro 3 2 2" xfId="9941"/>
    <cellStyle name="Euro 3 3" xfId="9942"/>
    <cellStyle name="Euro 4" xfId="9943"/>
    <cellStyle name="Euro 4 2" xfId="9944"/>
    <cellStyle name="Euro 4 2 2" xfId="9945"/>
    <cellStyle name="Euro 4 3" xfId="9946"/>
    <cellStyle name="Euro 5" xfId="9947"/>
    <cellStyle name="Euro 5 2" xfId="9948"/>
    <cellStyle name="Euro 5 2 2" xfId="9949"/>
    <cellStyle name="Euro 5 3" xfId="9950"/>
    <cellStyle name="Euro 6" xfId="9951"/>
    <cellStyle name="Euro 7" xfId="9952"/>
    <cellStyle name="Explanatory Text" xfId="19651" builtinId="53" customBuiltin="1"/>
    <cellStyle name="Explanatory Text 10" xfId="9953"/>
    <cellStyle name="Explanatory Text 11" xfId="15990"/>
    <cellStyle name="Explanatory Text 12" xfId="16195"/>
    <cellStyle name="Explanatory Text 2" xfId="1465"/>
    <cellStyle name="Explanatory Text 2 2" xfId="9954"/>
    <cellStyle name="Explanatory Text 2 2 2" xfId="9955"/>
    <cellStyle name="Explanatory Text 2 2 2 2" xfId="9956"/>
    <cellStyle name="Explanatory Text 2 2 3" xfId="9957"/>
    <cellStyle name="Explanatory Text 2 2 3 2" xfId="9958"/>
    <cellStyle name="Explanatory Text 2 2 4" xfId="9959"/>
    <cellStyle name="Explanatory Text 2 3" xfId="9960"/>
    <cellStyle name="Explanatory Text 2 3 2" xfId="9961"/>
    <cellStyle name="Explanatory Text 2 4" xfId="9962"/>
    <cellStyle name="Explanatory Text 2 4 2" xfId="9963"/>
    <cellStyle name="Explanatory Text 2 5" xfId="9964"/>
    <cellStyle name="Explanatory Text 2 6" xfId="9965"/>
    <cellStyle name="Explanatory Text 2 7" xfId="19835"/>
    <cellStyle name="Explanatory Text 3" xfId="9966"/>
    <cellStyle name="Explanatory Text 3 2" xfId="9967"/>
    <cellStyle name="Explanatory Text 3 2 2" xfId="9968"/>
    <cellStyle name="Explanatory Text 3 2 2 2" xfId="9969"/>
    <cellStyle name="Explanatory Text 3 2 3" xfId="9970"/>
    <cellStyle name="Explanatory Text 3 3" xfId="9971"/>
    <cellStyle name="Explanatory Text 3 4" xfId="16952"/>
    <cellStyle name="Explanatory Text 4" xfId="9972"/>
    <cellStyle name="Explanatory Text 4 2" xfId="9973"/>
    <cellStyle name="Explanatory Text 4 2 2" xfId="9974"/>
    <cellStyle name="Explanatory Text 4 3" xfId="9975"/>
    <cellStyle name="Explanatory Text 4 3 2" xfId="9976"/>
    <cellStyle name="Explanatory Text 4 4" xfId="9977"/>
    <cellStyle name="Explanatory Text 4 5" xfId="16896"/>
    <cellStyle name="Explanatory Text 5" xfId="9978"/>
    <cellStyle name="Explanatory Text 5 2" xfId="9979"/>
    <cellStyle name="Explanatory Text 5 3" xfId="16529"/>
    <cellStyle name="Explanatory Text 6" xfId="9980"/>
    <cellStyle name="Explanatory Text 6 2" xfId="9981"/>
    <cellStyle name="Explanatory Text 7" xfId="9982"/>
    <cellStyle name="Explanatory Text 7 2" xfId="9983"/>
    <cellStyle name="Explanatory Text 8" xfId="9984"/>
    <cellStyle name="Explanatory Text 8 2" xfId="9985"/>
    <cellStyle name="Explanatory Text 9" xfId="9986"/>
    <cellStyle name="Explanatory Text 9 2" xfId="9987"/>
    <cellStyle name="ey" xfId="9988"/>
    <cellStyle name="ey 2" xfId="9989"/>
    <cellStyle name="EY House" xfId="2314"/>
    <cellStyle name="f" xfId="9990"/>
    <cellStyle name="f 2" xfId="9991"/>
    <cellStyle name="F2" xfId="2315"/>
    <cellStyle name="F3" xfId="2316"/>
    <cellStyle name="F4" xfId="2317"/>
    <cellStyle name="F5" xfId="2318"/>
    <cellStyle name="F6" xfId="2319"/>
    <cellStyle name="F7" xfId="2320"/>
    <cellStyle name="F8" xfId="2321"/>
    <cellStyle name="Fixed" xfId="1466"/>
    <cellStyle name="Fixed 0" xfId="9992"/>
    <cellStyle name="Fixed 0 2" xfId="9993"/>
    <cellStyle name="Fixed 0 2 2" xfId="9994"/>
    <cellStyle name="Fixed 0 3" xfId="9995"/>
    <cellStyle name="Fixed 0 3 2" xfId="9996"/>
    <cellStyle name="Fixed 0 3 2 2" xfId="9997"/>
    <cellStyle name="Fixed 0 3 3" xfId="9998"/>
    <cellStyle name="Fixed 0 4" xfId="9999"/>
    <cellStyle name="Fixed 0 4 2" xfId="10000"/>
    <cellStyle name="Fixed 0 4 2 2" xfId="10001"/>
    <cellStyle name="Fixed 0 4 3" xfId="10002"/>
    <cellStyle name="Fixed 0 5" xfId="10003"/>
    <cellStyle name="Fixed 0 5 2" xfId="10004"/>
    <cellStyle name="Fixed 0 5 2 2" xfId="10005"/>
    <cellStyle name="Fixed 0 5 3" xfId="10006"/>
    <cellStyle name="Fixed 0 6" xfId="10007"/>
    <cellStyle name="Fixed 0.00_CCR" xfId="10008"/>
    <cellStyle name="Fixed 0.0000" xfId="10009"/>
    <cellStyle name="Fixed 0.0000 2" xfId="10010"/>
    <cellStyle name="Fixed 0.0000 2 2" xfId="10011"/>
    <cellStyle name="Fixed 0.0000 3" xfId="10012"/>
    <cellStyle name="Fixed 0.0000 3 2" xfId="10013"/>
    <cellStyle name="Fixed 0.0000 3 2 2" xfId="10014"/>
    <cellStyle name="Fixed 0.0000 3 3" xfId="10015"/>
    <cellStyle name="Fixed 0.0000 4" xfId="10016"/>
    <cellStyle name="Fixed 0.0000 4 2" xfId="10017"/>
    <cellStyle name="Fixed 0.0000 4 2 2" xfId="10018"/>
    <cellStyle name="Fixed 0.0000 4 3" xfId="10019"/>
    <cellStyle name="Fixed 0.0000 5" xfId="10020"/>
    <cellStyle name="Fixed 0.0000 5 2" xfId="10021"/>
    <cellStyle name="Fixed 0.0000 5 2 2" xfId="10022"/>
    <cellStyle name="Fixed 0.0000 5 3" xfId="10023"/>
    <cellStyle name="Fixed 0.0000 6" xfId="10024"/>
    <cellStyle name="Fixed 0.00AR" xfId="10025"/>
    <cellStyle name="Fixed 0.00AR 2" xfId="10026"/>
    <cellStyle name="Fixed 10" xfId="10027"/>
    <cellStyle name="Fixed 10 2" xfId="10028"/>
    <cellStyle name="Fixed 11" xfId="10029"/>
    <cellStyle name="Fixed 11 2" xfId="10030"/>
    <cellStyle name="Fixed 12" xfId="10031"/>
    <cellStyle name="Fixed 12 2" xfId="10032"/>
    <cellStyle name="Fixed 13" xfId="10033"/>
    <cellStyle name="Fixed 13 2" xfId="10034"/>
    <cellStyle name="Fixed 14" xfId="10035"/>
    <cellStyle name="Fixed 14 2" xfId="10036"/>
    <cellStyle name="Fixed 15" xfId="10037"/>
    <cellStyle name="Fixed 15 2" xfId="10038"/>
    <cellStyle name="Fixed 16" xfId="10039"/>
    <cellStyle name="Fixed 16 2" xfId="10040"/>
    <cellStyle name="Fixed 17" xfId="10041"/>
    <cellStyle name="Fixed 17 2" xfId="10042"/>
    <cellStyle name="Fixed 18" xfId="10043"/>
    <cellStyle name="Fixed 18 2" xfId="10044"/>
    <cellStyle name="Fixed 19" xfId="10045"/>
    <cellStyle name="Fixed 19 2" xfId="10046"/>
    <cellStyle name="Fixed 2" xfId="1467"/>
    <cellStyle name="Fixed 2 2" xfId="10047"/>
    <cellStyle name="Fixed 2 2 2" xfId="10048"/>
    <cellStyle name="Fixed 2 3" xfId="10049"/>
    <cellStyle name="Fixed 2 4" xfId="10050"/>
    <cellStyle name="Fixed 2 5" xfId="19722"/>
    <cellStyle name="Fixed 20" xfId="10051"/>
    <cellStyle name="Fixed 20 2" xfId="10052"/>
    <cellStyle name="Fixed 21" xfId="10053"/>
    <cellStyle name="Fixed 21 2" xfId="10054"/>
    <cellStyle name="Fixed 22" xfId="10055"/>
    <cellStyle name="Fixed 22 2" xfId="10056"/>
    <cellStyle name="Fixed 23" xfId="10057"/>
    <cellStyle name="Fixed 23 2" xfId="10058"/>
    <cellStyle name="Fixed 24" xfId="10059"/>
    <cellStyle name="Fixed 24 2" xfId="10060"/>
    <cellStyle name="Fixed 25" xfId="10061"/>
    <cellStyle name="Fixed 25 2" xfId="10062"/>
    <cellStyle name="Fixed 26" xfId="10063"/>
    <cellStyle name="Fixed 26 2" xfId="10064"/>
    <cellStyle name="Fixed 27" xfId="10065"/>
    <cellStyle name="Fixed 27 2" xfId="10066"/>
    <cellStyle name="Fixed 28" xfId="10067"/>
    <cellStyle name="Fixed 28 2" xfId="10068"/>
    <cellStyle name="Fixed 29" xfId="10069"/>
    <cellStyle name="Fixed 29 2" xfId="10070"/>
    <cellStyle name="Fixed 3" xfId="1468"/>
    <cellStyle name="Fixed 3 2" xfId="10071"/>
    <cellStyle name="Fixed 3 3" xfId="10072"/>
    <cellStyle name="Fixed 3 4" xfId="19723"/>
    <cellStyle name="Fixed 30" xfId="10073"/>
    <cellStyle name="Fixed 30 2" xfId="10074"/>
    <cellStyle name="Fixed 30 2 2" xfId="10075"/>
    <cellStyle name="Fixed 30 3" xfId="10076"/>
    <cellStyle name="Fixed 31" xfId="10077"/>
    <cellStyle name="Fixed 31 2" xfId="10078"/>
    <cellStyle name="Fixed 32" xfId="10079"/>
    <cellStyle name="Fixed 32 2" xfId="10080"/>
    <cellStyle name="Fixed 33" xfId="10081"/>
    <cellStyle name="Fixed 33 2" xfId="10082"/>
    <cellStyle name="Fixed 33 2 2" xfId="10083"/>
    <cellStyle name="Fixed 33 3" xfId="10084"/>
    <cellStyle name="Fixed 33 3 2" xfId="10085"/>
    <cellStyle name="Fixed 33 4" xfId="10086"/>
    <cellStyle name="Fixed 34" xfId="10087"/>
    <cellStyle name="Fixed 34 2" xfId="10088"/>
    <cellStyle name="Fixed 35" xfId="10089"/>
    <cellStyle name="Fixed 35 2" xfId="10090"/>
    <cellStyle name="Fixed 36" xfId="10091"/>
    <cellStyle name="Fixed 36 2" xfId="10092"/>
    <cellStyle name="Fixed 37" xfId="10093"/>
    <cellStyle name="Fixed 37 2" xfId="10094"/>
    <cellStyle name="Fixed 38" xfId="10095"/>
    <cellStyle name="Fixed 38 2" xfId="10096"/>
    <cellStyle name="Fixed 39" xfId="10097"/>
    <cellStyle name="Fixed 39 2" xfId="10098"/>
    <cellStyle name="Fixed 4" xfId="10099"/>
    <cellStyle name="Fixed 4 2" xfId="10100"/>
    <cellStyle name="Fixed 4 3" xfId="19724"/>
    <cellStyle name="Fixed 40" xfId="10101"/>
    <cellStyle name="Fixed 40 2" xfId="10102"/>
    <cellStyle name="Fixed 41" xfId="10103"/>
    <cellStyle name="Fixed 41 2" xfId="10104"/>
    <cellStyle name="Fixed 42" xfId="10105"/>
    <cellStyle name="Fixed 42 2" xfId="10106"/>
    <cellStyle name="Fixed 43" xfId="10107"/>
    <cellStyle name="Fixed 43 2" xfId="10108"/>
    <cellStyle name="Fixed 44" xfId="10109"/>
    <cellStyle name="Fixed 44 2" xfId="10110"/>
    <cellStyle name="Fixed 45" xfId="10111"/>
    <cellStyle name="Fixed 45 2" xfId="10112"/>
    <cellStyle name="Fixed 46" xfId="10113"/>
    <cellStyle name="Fixed 46 2" xfId="10114"/>
    <cellStyle name="Fixed 47" xfId="10115"/>
    <cellStyle name="Fixed 47 2" xfId="10116"/>
    <cellStyle name="Fixed 48" xfId="10117"/>
    <cellStyle name="Fixed 48 2" xfId="10118"/>
    <cellStyle name="Fixed 49" xfId="10119"/>
    <cellStyle name="Fixed 49 2" xfId="10120"/>
    <cellStyle name="Fixed 5" xfId="10121"/>
    <cellStyle name="Fixed 5 2" xfId="10122"/>
    <cellStyle name="Fixed 5 3" xfId="19725"/>
    <cellStyle name="Fixed 50" xfId="10123"/>
    <cellStyle name="Fixed 50 2" xfId="10124"/>
    <cellStyle name="Fixed 51" xfId="10125"/>
    <cellStyle name="Fixed 51 2" xfId="10126"/>
    <cellStyle name="Fixed 52" xfId="10127"/>
    <cellStyle name="Fixed 52 2" xfId="10128"/>
    <cellStyle name="Fixed 53" xfId="10129"/>
    <cellStyle name="Fixed 53 2" xfId="10130"/>
    <cellStyle name="Fixed 54" xfId="10131"/>
    <cellStyle name="Fixed 54 2" xfId="10132"/>
    <cellStyle name="Fixed 55" xfId="10133"/>
    <cellStyle name="Fixed 55 2" xfId="10134"/>
    <cellStyle name="Fixed 56" xfId="10135"/>
    <cellStyle name="Fixed 56 2" xfId="10136"/>
    <cellStyle name="Fixed 57" xfId="10137"/>
    <cellStyle name="Fixed 57 2" xfId="10138"/>
    <cellStyle name="Fixed 58" xfId="10139"/>
    <cellStyle name="Fixed 58 2" xfId="10140"/>
    <cellStyle name="Fixed 59" xfId="10141"/>
    <cellStyle name="Fixed 6" xfId="10142"/>
    <cellStyle name="Fixed 6 2" xfId="10143"/>
    <cellStyle name="Fixed 6 3" xfId="19726"/>
    <cellStyle name="Fixed 60" xfId="10144"/>
    <cellStyle name="Fixed 61" xfId="19721"/>
    <cellStyle name="Fixed 7" xfId="10145"/>
    <cellStyle name="Fixed 7 2" xfId="10146"/>
    <cellStyle name="Fixed 7 3" xfId="19727"/>
    <cellStyle name="Fixed 8" xfId="10147"/>
    <cellStyle name="Fixed 8 2" xfId="10148"/>
    <cellStyle name="Fixed 8 2 2" xfId="10149"/>
    <cellStyle name="Fixed 8 3" xfId="10150"/>
    <cellStyle name="Fixed 9" xfId="10151"/>
    <cellStyle name="Fixed 9 2" xfId="10152"/>
    <cellStyle name="Fixed_CCR0_" xfId="10153"/>
    <cellStyle name="Fixed1 - Style1" xfId="1469"/>
    <cellStyle name="Fixed1 - Style1 2" xfId="10154"/>
    <cellStyle name="Fixed1 - Style1 3" xfId="10155"/>
    <cellStyle name="fred" xfId="2322"/>
    <cellStyle name="fred 2" xfId="10156"/>
    <cellStyle name="fred 3" xfId="10157"/>
    <cellStyle name="Fred%" xfId="2323"/>
    <cellStyle name="Fred% 2" xfId="10158"/>
    <cellStyle name="Fred% 3" xfId="10159"/>
    <cellStyle name="Good" xfId="19641" builtinId="26" customBuiltin="1"/>
    <cellStyle name="Good 10" xfId="10160"/>
    <cellStyle name="Good 11" xfId="15991"/>
    <cellStyle name="Good 12" xfId="16186"/>
    <cellStyle name="Good 2" xfId="1470"/>
    <cellStyle name="Good 2 2" xfId="10161"/>
    <cellStyle name="Good 2 2 2" xfId="10162"/>
    <cellStyle name="Good 2 2 2 2" xfId="10163"/>
    <cellStyle name="Good 2 2 3" xfId="10164"/>
    <cellStyle name="Good 2 2 3 2" xfId="10165"/>
    <cellStyle name="Good 2 2 4" xfId="10166"/>
    <cellStyle name="Good 2 3" xfId="10167"/>
    <cellStyle name="Good 2 3 2" xfId="10168"/>
    <cellStyle name="Good 2 4" xfId="10169"/>
    <cellStyle name="Good 2 4 2" xfId="10170"/>
    <cellStyle name="Good 2 5" xfId="10171"/>
    <cellStyle name="Good 2 5 2" xfId="10172"/>
    <cellStyle name="Good 2 6" xfId="10173"/>
    <cellStyle name="Good 2 7" xfId="10174"/>
    <cellStyle name="Good 2 8" xfId="19826"/>
    <cellStyle name="Good 3" xfId="10175"/>
    <cellStyle name="Good 3 2" xfId="10176"/>
    <cellStyle name="Good 3 2 2" xfId="10177"/>
    <cellStyle name="Good 3 2 2 2" xfId="10178"/>
    <cellStyle name="Good 3 2 3" xfId="10179"/>
    <cellStyle name="Good 3 3" xfId="10180"/>
    <cellStyle name="Good 3 4" xfId="16953"/>
    <cellStyle name="Good 4" xfId="10181"/>
    <cellStyle name="Good 4 2" xfId="10182"/>
    <cellStyle name="Good 4 2 2" xfId="10183"/>
    <cellStyle name="Good 4 2 2 2" xfId="10184"/>
    <cellStyle name="Good 4 2 3" xfId="10185"/>
    <cellStyle name="Good 4 3" xfId="10186"/>
    <cellStyle name="Good 4 4" xfId="16897"/>
    <cellStyle name="Good 5" xfId="10187"/>
    <cellStyle name="Good 5 2" xfId="10188"/>
    <cellStyle name="Good 5 3" xfId="16520"/>
    <cellStyle name="Good 6" xfId="10189"/>
    <cellStyle name="Good 6 2" xfId="10190"/>
    <cellStyle name="Good 7" xfId="10191"/>
    <cellStyle name="Good 7 2" xfId="10192"/>
    <cellStyle name="Good 8" xfId="10193"/>
    <cellStyle name="Good 8 2" xfId="10194"/>
    <cellStyle name="Good 9" xfId="10195"/>
    <cellStyle name="Good 9 2" xfId="10196"/>
    <cellStyle name="Gr" xfId="10197"/>
    <cellStyle name="Gr 2" xfId="10198"/>
    <cellStyle name="Green" xfId="1471"/>
    <cellStyle name="Grey" xfId="1472"/>
    <cellStyle name="Grey 2" xfId="10199"/>
    <cellStyle name="Grey 2 2" xfId="10200"/>
    <cellStyle name="Grey 2 2 2" xfId="10201"/>
    <cellStyle name="Grey 2 3" xfId="10202"/>
    <cellStyle name="Grey 3" xfId="10203"/>
    <cellStyle name="Grey 3 2" xfId="10204"/>
    <cellStyle name="Grey 3 2 2" xfId="10205"/>
    <cellStyle name="Grey 3 3" xfId="10206"/>
    <cellStyle name="Grey 4" xfId="10207"/>
    <cellStyle name="Grey 4 2" xfId="10208"/>
    <cellStyle name="Grey 4 2 2" xfId="10209"/>
    <cellStyle name="Grey 4 3" xfId="10210"/>
    <cellStyle name="Grey 5" xfId="10211"/>
    <cellStyle name="Grey 5 2" xfId="10212"/>
    <cellStyle name="Grey 6" xfId="10213"/>
    <cellStyle name="Grey 7" xfId="10214"/>
    <cellStyle name="HE" xfId="10215"/>
    <cellStyle name="HE 2" xfId="10216"/>
    <cellStyle name="HEADER" xfId="1473"/>
    <cellStyle name="Header (center)" xfId="10217"/>
    <cellStyle name="Header (center) 2" xfId="10218"/>
    <cellStyle name="Header (left)" xfId="10219"/>
    <cellStyle name="Header (left) 2" xfId="10220"/>
    <cellStyle name="Header (right)" xfId="10221"/>
    <cellStyle name="Header (right) 2" xfId="10222"/>
    <cellStyle name="Header 10" xfId="10223"/>
    <cellStyle name="Header 10 2" xfId="10224"/>
    <cellStyle name="Header 11" xfId="10225"/>
    <cellStyle name="Header 11 2" xfId="10226"/>
    <cellStyle name="Header 12" xfId="10227"/>
    <cellStyle name="Header 12 2" xfId="10228"/>
    <cellStyle name="HEADER 13" xfId="10229"/>
    <cellStyle name="HEADER 13 2" xfId="10230"/>
    <cellStyle name="HEADER 14" xfId="10231"/>
    <cellStyle name="HEADER 14 2" xfId="10232"/>
    <cellStyle name="HEADER 15" xfId="10233"/>
    <cellStyle name="HEADER 15 2" xfId="10234"/>
    <cellStyle name="Header 16" xfId="10235"/>
    <cellStyle name="Header 16 2" xfId="10236"/>
    <cellStyle name="HEADER 17" xfId="10237"/>
    <cellStyle name="HEADER 18" xfId="10238"/>
    <cellStyle name="HEADER 19" xfId="10239"/>
    <cellStyle name="HEADER 2" xfId="10240"/>
    <cellStyle name="HEADER 2 2" xfId="10241"/>
    <cellStyle name="HEADER 2 2 2" xfId="10242"/>
    <cellStyle name="HEADER 2 3" xfId="10243"/>
    <cellStyle name="HEADER 2 3 2" xfId="10244"/>
    <cellStyle name="HEADER 2 4" xfId="10245"/>
    <cellStyle name="HEADER 2 4 2" xfId="10246"/>
    <cellStyle name="Header 2 5" xfId="10247"/>
    <cellStyle name="Header 2 5 2" xfId="10248"/>
    <cellStyle name="Header 2 6" xfId="10249"/>
    <cellStyle name="Header 2 6 2" xfId="10250"/>
    <cellStyle name="HEADER 2 7" xfId="10251"/>
    <cellStyle name="HEADER 20" xfId="10252"/>
    <cellStyle name="Header 3" xfId="10253"/>
    <cellStyle name="Header 3 2" xfId="10254"/>
    <cellStyle name="Header 4" xfId="10255"/>
    <cellStyle name="Header 4 2" xfId="10256"/>
    <cellStyle name="HEADER 5" xfId="10257"/>
    <cellStyle name="HEADER 5 2" xfId="10258"/>
    <cellStyle name="HEADER 6" xfId="10259"/>
    <cellStyle name="HEADER 6 2" xfId="10260"/>
    <cellStyle name="HEADER 7" xfId="10261"/>
    <cellStyle name="HEADER 7 2" xfId="10262"/>
    <cellStyle name="HEADER 8" xfId="10263"/>
    <cellStyle name="HEADER 8 2" xfId="10264"/>
    <cellStyle name="HEADER 9" xfId="10265"/>
    <cellStyle name="HEADER 9 2" xfId="10266"/>
    <cellStyle name="Header_2006 BBP Ops - Cash3" xfId="10267"/>
    <cellStyle name="Header1" xfId="2324"/>
    <cellStyle name="header1 10" xfId="10268"/>
    <cellStyle name="Header1 11" xfId="10269"/>
    <cellStyle name="Header1 11 2" xfId="10270"/>
    <cellStyle name="Header1 12" xfId="10271"/>
    <cellStyle name="Header1 13" xfId="15925"/>
    <cellStyle name="Header1 14" xfId="15926"/>
    <cellStyle name="Header1 15" xfId="15927"/>
    <cellStyle name="Header1 16" xfId="15928"/>
    <cellStyle name="Header1 17" xfId="15929"/>
    <cellStyle name="Header1 18" xfId="15930"/>
    <cellStyle name="Header1 19" xfId="15931"/>
    <cellStyle name="Header1 2" xfId="10272"/>
    <cellStyle name="header1 2 2" xfId="10273"/>
    <cellStyle name="header1 2 2 2" xfId="10274"/>
    <cellStyle name="Header1 2 3" xfId="10275"/>
    <cellStyle name="Header1 20" xfId="15932"/>
    <cellStyle name="Header1 21" xfId="15933"/>
    <cellStyle name="Header1 22" xfId="15934"/>
    <cellStyle name="Header1 23" xfId="15935"/>
    <cellStyle name="Header1 24" xfId="15936"/>
    <cellStyle name="Header1 25" xfId="15937"/>
    <cellStyle name="Header1 26" xfId="15938"/>
    <cellStyle name="Header1 27" xfId="15939"/>
    <cellStyle name="Header1 28" xfId="15940"/>
    <cellStyle name="Header1 29" xfId="15941"/>
    <cellStyle name="Header1 3" xfId="10276"/>
    <cellStyle name="Header1 3 2" xfId="10277"/>
    <cellStyle name="header1 4" xfId="10278"/>
    <cellStyle name="header1 4 2" xfId="10279"/>
    <cellStyle name="header1 5" xfId="10280"/>
    <cellStyle name="header1 5 2" xfId="10281"/>
    <cellStyle name="Header1 6" xfId="10282"/>
    <cellStyle name="Header1 6 2" xfId="10283"/>
    <cellStyle name="header1 7" xfId="10284"/>
    <cellStyle name="header1 7 2" xfId="10285"/>
    <cellStyle name="header1 8" xfId="10286"/>
    <cellStyle name="header1 8 2" xfId="10287"/>
    <cellStyle name="header1 9" xfId="10288"/>
    <cellStyle name="header1 9 2" xfId="10289"/>
    <cellStyle name="Header2" xfId="2325"/>
    <cellStyle name="header2 10" xfId="10290"/>
    <cellStyle name="Header2 11" xfId="10291"/>
    <cellStyle name="Header2 2" xfId="10292"/>
    <cellStyle name="header2 2 2" xfId="10293"/>
    <cellStyle name="header2 2 2 2" xfId="10294"/>
    <cellStyle name="Header2 2 3" xfId="10295"/>
    <cellStyle name="Header2 3" xfId="10296"/>
    <cellStyle name="Header2 3 2" xfId="10297"/>
    <cellStyle name="header2 4" xfId="10298"/>
    <cellStyle name="header2 4 2" xfId="10299"/>
    <cellStyle name="header2 5" xfId="10300"/>
    <cellStyle name="header2 5 2" xfId="10301"/>
    <cellStyle name="Header2 6" xfId="10302"/>
    <cellStyle name="Header2 6 2" xfId="10303"/>
    <cellStyle name="header2 7" xfId="10304"/>
    <cellStyle name="header2 7 2" xfId="10305"/>
    <cellStyle name="header2 8" xfId="10306"/>
    <cellStyle name="header2 8 2" xfId="10307"/>
    <cellStyle name="header2 9" xfId="10308"/>
    <cellStyle name="header2 9 2" xfId="10309"/>
    <cellStyle name="header3" xfId="10310"/>
    <cellStyle name="header3 2" xfId="10311"/>
    <cellStyle name="HEADING" xfId="1474"/>
    <cellStyle name="Heading 1" xfId="19637" builtinId="16" customBuiltin="1"/>
    <cellStyle name="Heading 1 10" xfId="10312"/>
    <cellStyle name="Heading 1 11" xfId="15992"/>
    <cellStyle name="Heading 1 12" xfId="16182"/>
    <cellStyle name="Heading 1 2" xfId="1475"/>
    <cellStyle name="Heading 1 2 10" xfId="19728"/>
    <cellStyle name="Heading 1 2 2" xfId="10313"/>
    <cellStyle name="Heading 1 2 2 2" xfId="10314"/>
    <cellStyle name="Heading 1 2 2 2 2" xfId="10315"/>
    <cellStyle name="Heading 1 2 2 3" xfId="10316"/>
    <cellStyle name="Heading 1 2 2 3 2" xfId="10317"/>
    <cellStyle name="Heading 1 2 2 4" xfId="10318"/>
    <cellStyle name="Heading 1 2 2 5" xfId="19729"/>
    <cellStyle name="Heading 1 2 3" xfId="10319"/>
    <cellStyle name="Heading 1 2 3 2" xfId="10320"/>
    <cellStyle name="Heading 1 2 3 2 2" xfId="10321"/>
    <cellStyle name="Heading 1 2 3 3" xfId="10322"/>
    <cellStyle name="Heading 1 2 4" xfId="10323"/>
    <cellStyle name="Heading 1 2 4 2" xfId="10324"/>
    <cellStyle name="Heading 1 2 4 2 2" xfId="10325"/>
    <cellStyle name="Heading 1 2 4 3" xfId="10326"/>
    <cellStyle name="Heading 1 2 5" xfId="10327"/>
    <cellStyle name="Heading 1 2 5 2" xfId="10328"/>
    <cellStyle name="Heading 1 2 6" xfId="10329"/>
    <cellStyle name="Heading 1 2 6 2" xfId="10330"/>
    <cellStyle name="Heading 1 2 7" xfId="10331"/>
    <cellStyle name="Heading 1 2 7 2" xfId="10332"/>
    <cellStyle name="Heading 1 2 8" xfId="10333"/>
    <cellStyle name="Heading 1 2 9" xfId="10334"/>
    <cellStyle name="Heading 1 3" xfId="10335"/>
    <cellStyle name="Heading 1 3 2" xfId="10336"/>
    <cellStyle name="Heading 1 3 2 2" xfId="10337"/>
    <cellStyle name="Heading 1 3 2 2 2" xfId="10338"/>
    <cellStyle name="Heading 1 3 2 3" xfId="10339"/>
    <cellStyle name="Heading 1 3 3" xfId="10340"/>
    <cellStyle name="Heading 1 3 3 2" xfId="10341"/>
    <cellStyle name="Heading 1 3 4" xfId="10342"/>
    <cellStyle name="Heading 1 3 5" xfId="16954"/>
    <cellStyle name="Heading 1 3 6" xfId="19730"/>
    <cellStyle name="Heading 1 4" xfId="10343"/>
    <cellStyle name="Heading 1 4 2" xfId="10344"/>
    <cellStyle name="Heading 1 4 2 2" xfId="10345"/>
    <cellStyle name="Heading 1 4 2 2 2" xfId="10346"/>
    <cellStyle name="Heading 1 4 2 3" xfId="10347"/>
    <cellStyle name="Heading 1 4 3" xfId="10348"/>
    <cellStyle name="Heading 1 4 3 2" xfId="10349"/>
    <cellStyle name="Heading 1 4 4" xfId="10350"/>
    <cellStyle name="Heading 1 4 5" xfId="16898"/>
    <cellStyle name="Heading 1 4 6" xfId="19731"/>
    <cellStyle name="Heading 1 5" xfId="10351"/>
    <cellStyle name="Heading 1 5 2" xfId="10352"/>
    <cellStyle name="Heading 1 5 3" xfId="16516"/>
    <cellStyle name="Heading 1 5 4" xfId="19732"/>
    <cellStyle name="Heading 1 6" xfId="10353"/>
    <cellStyle name="Heading 1 6 2" xfId="10354"/>
    <cellStyle name="Heading 1 6 3" xfId="19733"/>
    <cellStyle name="Heading 1 7" xfId="10355"/>
    <cellStyle name="Heading 1 7 2" xfId="10356"/>
    <cellStyle name="Heading 1 7 3" xfId="19734"/>
    <cellStyle name="Heading 1 8" xfId="10357"/>
    <cellStyle name="Heading 1 8 2" xfId="10358"/>
    <cellStyle name="Heading 1 8 3" xfId="19735"/>
    <cellStyle name="Heading 1 9" xfId="10359"/>
    <cellStyle name="Heading 1 9 2" xfId="10360"/>
    <cellStyle name="Heading 1 9 3" xfId="19822"/>
    <cellStyle name="Heading 2" xfId="19638" builtinId="17" customBuiltin="1"/>
    <cellStyle name="Heading 2 10" xfId="10361"/>
    <cellStyle name="Heading 2 11" xfId="15993"/>
    <cellStyle name="Heading 2 12" xfId="16183"/>
    <cellStyle name="Heading 2 2" xfId="1476"/>
    <cellStyle name="Heading 2 2 10" xfId="19736"/>
    <cellStyle name="Heading 2 2 2" xfId="10362"/>
    <cellStyle name="Heading 2 2 2 2" xfId="10363"/>
    <cellStyle name="Heading 2 2 2 2 2" xfId="10364"/>
    <cellStyle name="Heading 2 2 2 3" xfId="10365"/>
    <cellStyle name="Heading 2 2 2 3 2" xfId="10366"/>
    <cellStyle name="Heading 2 2 2 4" xfId="10367"/>
    <cellStyle name="Heading 2 2 2 5" xfId="19737"/>
    <cellStyle name="Heading 2 2 3" xfId="10368"/>
    <cellStyle name="Heading 2 2 3 2" xfId="10369"/>
    <cellStyle name="Heading 2 2 3 2 2" xfId="10370"/>
    <cellStyle name="Heading 2 2 3 3" xfId="10371"/>
    <cellStyle name="Heading 2 2 4" xfId="10372"/>
    <cellStyle name="Heading 2 2 4 2" xfId="10373"/>
    <cellStyle name="Heading 2 2 4 2 2" xfId="10374"/>
    <cellStyle name="Heading 2 2 4 3" xfId="10375"/>
    <cellStyle name="Heading 2 2 5" xfId="10376"/>
    <cellStyle name="Heading 2 2 5 2" xfId="10377"/>
    <cellStyle name="Heading 2 2 6" xfId="10378"/>
    <cellStyle name="Heading 2 2 6 2" xfId="10379"/>
    <cellStyle name="Heading 2 2 7" xfId="10380"/>
    <cellStyle name="Heading 2 2 7 2" xfId="10381"/>
    <cellStyle name="Heading 2 2 8" xfId="10382"/>
    <cellStyle name="Heading 2 2 9" xfId="10383"/>
    <cellStyle name="Heading 2 3" xfId="10384"/>
    <cellStyle name="Heading 2 3 2" xfId="10385"/>
    <cellStyle name="Heading 2 3 2 2" xfId="10386"/>
    <cellStyle name="Heading 2 3 2 2 2" xfId="10387"/>
    <cellStyle name="Heading 2 3 2 3" xfId="10388"/>
    <cellStyle name="Heading 2 3 3" xfId="10389"/>
    <cellStyle name="Heading 2 3 3 2" xfId="10390"/>
    <cellStyle name="Heading 2 3 4" xfId="10391"/>
    <cellStyle name="Heading 2 3 5" xfId="16955"/>
    <cellStyle name="Heading 2 3 6" xfId="19738"/>
    <cellStyle name="Heading 2 4" xfId="10392"/>
    <cellStyle name="Heading 2 4 2" xfId="10393"/>
    <cellStyle name="Heading 2 4 2 2" xfId="10394"/>
    <cellStyle name="Heading 2 4 2 2 2" xfId="10395"/>
    <cellStyle name="Heading 2 4 2 3" xfId="10396"/>
    <cellStyle name="Heading 2 4 3" xfId="10397"/>
    <cellStyle name="Heading 2 4 3 2" xfId="10398"/>
    <cellStyle name="Heading 2 4 4" xfId="10399"/>
    <cellStyle name="Heading 2 4 5" xfId="16899"/>
    <cellStyle name="Heading 2 4 6" xfId="19739"/>
    <cellStyle name="Heading 2 5" xfId="10400"/>
    <cellStyle name="Heading 2 5 2" xfId="10401"/>
    <cellStyle name="Heading 2 5 3" xfId="16517"/>
    <cellStyle name="Heading 2 5 4" xfId="19740"/>
    <cellStyle name="Heading 2 6" xfId="10402"/>
    <cellStyle name="Heading 2 6 2" xfId="10403"/>
    <cellStyle name="Heading 2 6 3" xfId="19741"/>
    <cellStyle name="Heading 2 7" xfId="10404"/>
    <cellStyle name="Heading 2 7 2" xfId="10405"/>
    <cellStyle name="Heading 2 7 3" xfId="19742"/>
    <cellStyle name="Heading 2 8" xfId="10406"/>
    <cellStyle name="Heading 2 8 2" xfId="10407"/>
    <cellStyle name="Heading 2 8 3" xfId="19743"/>
    <cellStyle name="Heading 2 9" xfId="10408"/>
    <cellStyle name="Heading 2 9 2" xfId="10409"/>
    <cellStyle name="Heading 2 9 3" xfId="19823"/>
    <cellStyle name="Heading 3" xfId="19639" builtinId="18" customBuiltin="1"/>
    <cellStyle name="Heading 3 10" xfId="10410"/>
    <cellStyle name="Heading 3 11" xfId="15994"/>
    <cellStyle name="Heading 3 12" xfId="16184"/>
    <cellStyle name="Heading 3 2" xfId="1477"/>
    <cellStyle name="Heading 3 2 10" xfId="15942"/>
    <cellStyle name="Heading 3 2 11" xfId="15943"/>
    <cellStyle name="Heading 3 2 12" xfId="15944"/>
    <cellStyle name="Heading 3 2 13" xfId="15945"/>
    <cellStyle name="Heading 3 2 14" xfId="15946"/>
    <cellStyle name="Heading 3 2 15" xfId="15947"/>
    <cellStyle name="Heading 3 2 16" xfId="15948"/>
    <cellStyle name="Heading 3 2 17" xfId="19824"/>
    <cellStyle name="Heading 3 2 2" xfId="10411"/>
    <cellStyle name="Heading 3 2 2 2" xfId="10412"/>
    <cellStyle name="Heading 3 2 2 2 2" xfId="10413"/>
    <cellStyle name="Heading 3 2 2 3" xfId="10414"/>
    <cellStyle name="Heading 3 2 2 3 2" xfId="10415"/>
    <cellStyle name="Heading 3 2 2 4" xfId="10416"/>
    <cellStyle name="Heading 3 2 3" xfId="10417"/>
    <cellStyle name="Heading 3 2 3 2" xfId="10418"/>
    <cellStyle name="Heading 3 2 3 2 2" xfId="10419"/>
    <cellStyle name="Heading 3 2 3 3" xfId="10420"/>
    <cellStyle name="Heading 3 2 4" xfId="10421"/>
    <cellStyle name="Heading 3 2 4 2" xfId="10422"/>
    <cellStyle name="Heading 3 2 5" xfId="10423"/>
    <cellStyle name="Heading 3 2 6" xfId="10424"/>
    <cellStyle name="Heading 3 2 7" xfId="15949"/>
    <cellStyle name="Heading 3 2 8" xfId="15950"/>
    <cellStyle name="Heading 3 2 9" xfId="15951"/>
    <cellStyle name="Heading 3 3" xfId="10425"/>
    <cellStyle name="Heading 3 3 2" xfId="10426"/>
    <cellStyle name="Heading 3 3 2 2" xfId="10427"/>
    <cellStyle name="Heading 3 3 2 2 2" xfId="10428"/>
    <cellStyle name="Heading 3 3 2 3" xfId="10429"/>
    <cellStyle name="Heading 3 3 3" xfId="10430"/>
    <cellStyle name="Heading 3 3 3 2" xfId="10431"/>
    <cellStyle name="Heading 3 3 4" xfId="10432"/>
    <cellStyle name="Heading 3 3 5" xfId="16956"/>
    <cellStyle name="Heading 3 4" xfId="10433"/>
    <cellStyle name="Heading 3 4 2" xfId="10434"/>
    <cellStyle name="Heading 3 4 2 2" xfId="10435"/>
    <cellStyle name="Heading 3 4 2 2 2" xfId="10436"/>
    <cellStyle name="Heading 3 4 2 3" xfId="10437"/>
    <cellStyle name="Heading 3 4 3" xfId="10438"/>
    <cellStyle name="Heading 3 4 3 2" xfId="10439"/>
    <cellStyle name="Heading 3 4 4" xfId="10440"/>
    <cellStyle name="Heading 3 4 5" xfId="16900"/>
    <cellStyle name="Heading 3 5" xfId="10441"/>
    <cellStyle name="Heading 3 5 2" xfId="10442"/>
    <cellStyle name="Heading 3 5 3" xfId="16518"/>
    <cellStyle name="Heading 3 6" xfId="10443"/>
    <cellStyle name="Heading 3 6 2" xfId="10444"/>
    <cellStyle name="Heading 3 7" xfId="10445"/>
    <cellStyle name="Heading 3 7 2" xfId="10446"/>
    <cellStyle name="Heading 3 8" xfId="10447"/>
    <cellStyle name="Heading 3 8 2" xfId="10448"/>
    <cellStyle name="Heading 3 9" xfId="10449"/>
    <cellStyle name="Heading 3 9 2" xfId="10450"/>
    <cellStyle name="Heading 4" xfId="19640" builtinId="19" customBuiltin="1"/>
    <cellStyle name="Heading 4 10" xfId="10451"/>
    <cellStyle name="Heading 4 11" xfId="15995"/>
    <cellStyle name="Heading 4 12" xfId="16185"/>
    <cellStyle name="Heading 4 2" xfId="1478"/>
    <cellStyle name="Heading 4 2 2" xfId="10452"/>
    <cellStyle name="Heading 4 2 2 2" xfId="10453"/>
    <cellStyle name="Heading 4 2 2 2 2" xfId="10454"/>
    <cellStyle name="Heading 4 2 2 3" xfId="10455"/>
    <cellStyle name="Heading 4 2 2 3 2" xfId="10456"/>
    <cellStyle name="Heading 4 2 2 4" xfId="10457"/>
    <cellStyle name="Heading 4 2 3" xfId="10458"/>
    <cellStyle name="Heading 4 2 3 2" xfId="10459"/>
    <cellStyle name="Heading 4 2 3 2 2" xfId="10460"/>
    <cellStyle name="Heading 4 2 3 3" xfId="10461"/>
    <cellStyle name="Heading 4 2 4" xfId="10462"/>
    <cellStyle name="Heading 4 2 4 2" xfId="10463"/>
    <cellStyle name="Heading 4 2 5" xfId="10464"/>
    <cellStyle name="Heading 4 2 6" xfId="10465"/>
    <cellStyle name="Heading 4 2 7" xfId="19825"/>
    <cellStyle name="Heading 4 3" xfId="10466"/>
    <cellStyle name="Heading 4 3 2" xfId="10467"/>
    <cellStyle name="Heading 4 3 2 2" xfId="10468"/>
    <cellStyle name="Heading 4 3 2 2 2" xfId="10469"/>
    <cellStyle name="Heading 4 3 2 3" xfId="10470"/>
    <cellStyle name="Heading 4 3 3" xfId="10471"/>
    <cellStyle name="Heading 4 3 3 2" xfId="10472"/>
    <cellStyle name="Heading 4 3 4" xfId="10473"/>
    <cellStyle name="Heading 4 3 5" xfId="16957"/>
    <cellStyle name="Heading 4 4" xfId="10474"/>
    <cellStyle name="Heading 4 4 2" xfId="10475"/>
    <cellStyle name="Heading 4 4 2 2" xfId="10476"/>
    <cellStyle name="Heading 4 4 2 2 2" xfId="10477"/>
    <cellStyle name="Heading 4 4 2 3" xfId="10478"/>
    <cellStyle name="Heading 4 4 3" xfId="10479"/>
    <cellStyle name="Heading 4 4 3 2" xfId="10480"/>
    <cellStyle name="Heading 4 4 4" xfId="10481"/>
    <cellStyle name="Heading 4 4 5" xfId="16901"/>
    <cellStyle name="Heading 4 5" xfId="10482"/>
    <cellStyle name="Heading 4 5 2" xfId="10483"/>
    <cellStyle name="Heading 4 5 3" xfId="16519"/>
    <cellStyle name="Heading 4 6" xfId="10484"/>
    <cellStyle name="Heading 4 6 2" xfId="10485"/>
    <cellStyle name="Heading 4 7" xfId="10486"/>
    <cellStyle name="Heading 4 7 2" xfId="10487"/>
    <cellStyle name="Heading 4 8" xfId="10488"/>
    <cellStyle name="Heading 4 8 2" xfId="10489"/>
    <cellStyle name="Heading 4 9" xfId="10490"/>
    <cellStyle name="Heading 4 9 2" xfId="10491"/>
    <cellStyle name="Heading1" xfId="1479"/>
    <cellStyle name="Heading1 10" xfId="10492"/>
    <cellStyle name="Heading1 10 2" xfId="10493"/>
    <cellStyle name="Heading1 11" xfId="10494"/>
    <cellStyle name="Heading1 11 2" xfId="10495"/>
    <cellStyle name="Heading1 12" xfId="10496"/>
    <cellStyle name="Heading1 12 2" xfId="10497"/>
    <cellStyle name="Heading1 13" xfId="10498"/>
    <cellStyle name="Heading1 13 2" xfId="10499"/>
    <cellStyle name="Heading1 14" xfId="10500"/>
    <cellStyle name="Heading1 14 2" xfId="10501"/>
    <cellStyle name="Heading1 15" xfId="10502"/>
    <cellStyle name="Heading1 15 2" xfId="10503"/>
    <cellStyle name="Heading1 16" xfId="10504"/>
    <cellStyle name="Heading1 16 2" xfId="10505"/>
    <cellStyle name="Heading1 17" xfId="10506"/>
    <cellStyle name="Heading1 17 2" xfId="10507"/>
    <cellStyle name="Heading1 18" xfId="10508"/>
    <cellStyle name="Heading1 18 2" xfId="10509"/>
    <cellStyle name="Heading1 19" xfId="10510"/>
    <cellStyle name="Heading1 19 2" xfId="10511"/>
    <cellStyle name="Heading1 2" xfId="10512"/>
    <cellStyle name="Heading1 2 2" xfId="10513"/>
    <cellStyle name="Heading1 2 2 2" xfId="10514"/>
    <cellStyle name="Heading1 2 3" xfId="10515"/>
    <cellStyle name="Heading1 20" xfId="10516"/>
    <cellStyle name="Heading1 20 2" xfId="10517"/>
    <cellStyle name="Heading1 21" xfId="10518"/>
    <cellStyle name="Heading1 21 2" xfId="10519"/>
    <cellStyle name="Heading1 22" xfId="10520"/>
    <cellStyle name="Heading1 22 2" xfId="10521"/>
    <cellStyle name="Heading1 23" xfId="10522"/>
    <cellStyle name="Heading1 23 2" xfId="10523"/>
    <cellStyle name="Heading1 24" xfId="10524"/>
    <cellStyle name="Heading1 24 2" xfId="10525"/>
    <cellStyle name="Heading1 25" xfId="10526"/>
    <cellStyle name="Heading1 25 2" xfId="10527"/>
    <cellStyle name="Heading1 26" xfId="10528"/>
    <cellStyle name="Heading1 26 2" xfId="10529"/>
    <cellStyle name="Heading1 27" xfId="10530"/>
    <cellStyle name="Heading1 27 2" xfId="10531"/>
    <cellStyle name="Heading1 28" xfId="10532"/>
    <cellStyle name="Heading1 28 2" xfId="10533"/>
    <cellStyle name="Heading1 29" xfId="10534"/>
    <cellStyle name="Heading1 29 2" xfId="10535"/>
    <cellStyle name="Heading1 3" xfId="10536"/>
    <cellStyle name="Heading1 3 2" xfId="10537"/>
    <cellStyle name="Heading1 3 2 2" xfId="10538"/>
    <cellStyle name="Heading1 3 3" xfId="10539"/>
    <cellStyle name="Heading1 3 3 2" xfId="10540"/>
    <cellStyle name="Heading1 3 4" xfId="10541"/>
    <cellStyle name="Heading1 3 4 2" xfId="10542"/>
    <cellStyle name="Heading1 3 5" xfId="10543"/>
    <cellStyle name="Heading1 30" xfId="10544"/>
    <cellStyle name="Heading1 30 2" xfId="10545"/>
    <cellStyle name="Heading1 31" xfId="10546"/>
    <cellStyle name="Heading1 31 2" xfId="10547"/>
    <cellStyle name="Heading1 32" xfId="10548"/>
    <cellStyle name="Heading1 32 2" xfId="10549"/>
    <cellStyle name="Heading1 32 2 2" xfId="10550"/>
    <cellStyle name="Heading1 32 3" xfId="10551"/>
    <cellStyle name="Heading1 32 3 2" xfId="10552"/>
    <cellStyle name="Heading1 32 4" xfId="10553"/>
    <cellStyle name="Heading1 33" xfId="10554"/>
    <cellStyle name="Heading1 33 2" xfId="10555"/>
    <cellStyle name="Heading1 34" xfId="10556"/>
    <cellStyle name="Heading1 34 2" xfId="10557"/>
    <cellStyle name="Heading1 35" xfId="10558"/>
    <cellStyle name="Heading1 36" xfId="10559"/>
    <cellStyle name="Heading1 4" xfId="10560"/>
    <cellStyle name="Heading1 4 2" xfId="10561"/>
    <cellStyle name="Heading1 5" xfId="10562"/>
    <cellStyle name="Heading1 5 2" xfId="10563"/>
    <cellStyle name="Heading1 6" xfId="10564"/>
    <cellStyle name="Heading1 6 2" xfId="10565"/>
    <cellStyle name="Heading1 7" xfId="10566"/>
    <cellStyle name="Heading1 7 2" xfId="10567"/>
    <cellStyle name="Heading1 8" xfId="10568"/>
    <cellStyle name="Heading1 8 2" xfId="10569"/>
    <cellStyle name="Heading1 8 2 2" xfId="10570"/>
    <cellStyle name="Heading1 8 3" xfId="10571"/>
    <cellStyle name="Heading1 9" xfId="10572"/>
    <cellStyle name="Heading1 9 2" xfId="10573"/>
    <cellStyle name="Heading2" xfId="1480"/>
    <cellStyle name="Heading2 10" xfId="10574"/>
    <cellStyle name="Heading2 10 2" xfId="10575"/>
    <cellStyle name="Heading2 11" xfId="10576"/>
    <cellStyle name="Heading2 11 2" xfId="10577"/>
    <cellStyle name="Heading2 12" xfId="10578"/>
    <cellStyle name="Heading2 12 2" xfId="10579"/>
    <cellStyle name="Heading2 13" xfId="10580"/>
    <cellStyle name="Heading2 13 2" xfId="10581"/>
    <cellStyle name="Heading2 14" xfId="10582"/>
    <cellStyle name="Heading2 14 2" xfId="10583"/>
    <cellStyle name="Heading2 15" xfId="10584"/>
    <cellStyle name="Heading2 15 2" xfId="10585"/>
    <cellStyle name="Heading2 16" xfId="10586"/>
    <cellStyle name="Heading2 16 2" xfId="10587"/>
    <cellStyle name="Heading2 17" xfId="10588"/>
    <cellStyle name="Heading2 17 2" xfId="10589"/>
    <cellStyle name="Heading2 18" xfId="10590"/>
    <cellStyle name="Heading2 18 2" xfId="10591"/>
    <cellStyle name="Heading2 19" xfId="10592"/>
    <cellStyle name="Heading2 19 2" xfId="10593"/>
    <cellStyle name="Heading2 2" xfId="10594"/>
    <cellStyle name="Heading2 2 2" xfId="10595"/>
    <cellStyle name="Heading2 2 2 2" xfId="10596"/>
    <cellStyle name="Heading2 2 3" xfId="10597"/>
    <cellStyle name="Heading2 20" xfId="10598"/>
    <cellStyle name="Heading2 20 2" xfId="10599"/>
    <cellStyle name="Heading2 21" xfId="10600"/>
    <cellStyle name="Heading2 21 2" xfId="10601"/>
    <cellStyle name="Heading2 22" xfId="10602"/>
    <cellStyle name="Heading2 22 2" xfId="10603"/>
    <cellStyle name="Heading2 23" xfId="10604"/>
    <cellStyle name="Heading2 23 2" xfId="10605"/>
    <cellStyle name="Heading2 24" xfId="10606"/>
    <cellStyle name="Heading2 24 2" xfId="10607"/>
    <cellStyle name="Heading2 25" xfId="10608"/>
    <cellStyle name="Heading2 25 2" xfId="10609"/>
    <cellStyle name="Heading2 26" xfId="10610"/>
    <cellStyle name="Heading2 26 2" xfId="10611"/>
    <cellStyle name="Heading2 27" xfId="10612"/>
    <cellStyle name="Heading2 27 2" xfId="10613"/>
    <cellStyle name="Heading2 28" xfId="10614"/>
    <cellStyle name="Heading2 28 2" xfId="10615"/>
    <cellStyle name="Heading2 29" xfId="10616"/>
    <cellStyle name="Heading2 29 2" xfId="10617"/>
    <cellStyle name="Heading2 3" xfId="10618"/>
    <cellStyle name="Heading2 3 2" xfId="10619"/>
    <cellStyle name="Heading2 3 2 2" xfId="10620"/>
    <cellStyle name="Heading2 3 3" xfId="10621"/>
    <cellStyle name="Heading2 3 3 2" xfId="10622"/>
    <cellStyle name="Heading2 3 4" xfId="10623"/>
    <cellStyle name="Heading2 3 4 2" xfId="10624"/>
    <cellStyle name="Heading2 3 5" xfId="10625"/>
    <cellStyle name="Heading2 30" xfId="10626"/>
    <cellStyle name="Heading2 30 2" xfId="10627"/>
    <cellStyle name="Heading2 31" xfId="10628"/>
    <cellStyle name="Heading2 31 2" xfId="10629"/>
    <cellStyle name="Heading2 32" xfId="10630"/>
    <cellStyle name="Heading2 32 2" xfId="10631"/>
    <cellStyle name="Heading2 32 2 2" xfId="10632"/>
    <cellStyle name="Heading2 32 3" xfId="10633"/>
    <cellStyle name="Heading2 32 3 2" xfId="10634"/>
    <cellStyle name="Heading2 32 4" xfId="10635"/>
    <cellStyle name="Heading2 33" xfId="10636"/>
    <cellStyle name="Heading2 33 2" xfId="10637"/>
    <cellStyle name="Heading2 34" xfId="10638"/>
    <cellStyle name="Heading2 34 2" xfId="10639"/>
    <cellStyle name="Heading2 35" xfId="10640"/>
    <cellStyle name="Heading2 36" xfId="10641"/>
    <cellStyle name="Heading2 4" xfId="10642"/>
    <cellStyle name="Heading2 4 2" xfId="10643"/>
    <cellStyle name="Heading2 5" xfId="10644"/>
    <cellStyle name="Heading2 5 2" xfId="10645"/>
    <cellStyle name="Heading2 6" xfId="10646"/>
    <cellStyle name="Heading2 6 2" xfId="10647"/>
    <cellStyle name="Heading2 7" xfId="10648"/>
    <cellStyle name="Heading2 7 2" xfId="10649"/>
    <cellStyle name="Heading2 8" xfId="10650"/>
    <cellStyle name="Heading2 8 2" xfId="10651"/>
    <cellStyle name="Heading2 8 2 2" xfId="10652"/>
    <cellStyle name="Heading2 8 3" xfId="10653"/>
    <cellStyle name="Heading2 9" xfId="10654"/>
    <cellStyle name="Heading2 9 2" xfId="10655"/>
    <cellStyle name="HeadlineStyle" xfId="2326"/>
    <cellStyle name="HeadlineStyleJustified" xfId="2327"/>
    <cellStyle name="HELast" xfId="10656"/>
    <cellStyle name="HELast 2" xfId="10657"/>
    <cellStyle name="HEtomorrow" xfId="10658"/>
    <cellStyle name="HEtomorrow 2" xfId="10659"/>
    <cellStyle name="HEtomorrowLast" xfId="10660"/>
    <cellStyle name="HEtomorrowLast 2" xfId="10661"/>
    <cellStyle name="HEyesterday" xfId="10662"/>
    <cellStyle name="HEyesterday 2" xfId="10663"/>
    <cellStyle name="HEyesterdayLast" xfId="10664"/>
    <cellStyle name="HEyesterdayLast 2" xfId="10665"/>
    <cellStyle name="HIGHLIGHT" xfId="1481"/>
    <cellStyle name="HIGHLIGHT 2" xfId="10666"/>
    <cellStyle name="HIGHLIGHT 2 2" xfId="10667"/>
    <cellStyle name="HIGHLIGHT 3" xfId="10668"/>
    <cellStyle name="HIGHLIGHT 4" xfId="10669"/>
    <cellStyle name="hilite" xfId="10670"/>
    <cellStyle name="hilite 2" xfId="10671"/>
    <cellStyle name="hilite 3" xfId="16119"/>
    <cellStyle name="Hyperlink 2" xfId="10672"/>
    <cellStyle name="Hyperlink 2 10" xfId="10673"/>
    <cellStyle name="Hyperlink 2 11" xfId="16077"/>
    <cellStyle name="Hyperlink 2 12" xfId="16120"/>
    <cellStyle name="Hyperlink 2 13" xfId="19911"/>
    <cellStyle name="Hyperlink 2 2" xfId="1482"/>
    <cellStyle name="Hyperlink 2 2 2" xfId="10674"/>
    <cellStyle name="Hyperlink 2 2 3" xfId="10675"/>
    <cellStyle name="Hyperlink 2 2 4" xfId="16078"/>
    <cellStyle name="Hyperlink 2 2 5" xfId="16329"/>
    <cellStyle name="Hyperlink 2 3" xfId="1483"/>
    <cellStyle name="Hyperlink 2 3 2" xfId="10676"/>
    <cellStyle name="Hyperlink 2 3 3" xfId="10677"/>
    <cellStyle name="Hyperlink 2 4" xfId="1484"/>
    <cellStyle name="Hyperlink 2 4 2" xfId="10678"/>
    <cellStyle name="Hyperlink 2 4 3" xfId="10679"/>
    <cellStyle name="Hyperlink 2 5" xfId="1485"/>
    <cellStyle name="Hyperlink 2 5 2" xfId="10680"/>
    <cellStyle name="Hyperlink 2 5 3" xfId="10681"/>
    <cellStyle name="Hyperlink 2 6" xfId="1486"/>
    <cellStyle name="Hyperlink 2 6 2" xfId="10682"/>
    <cellStyle name="Hyperlink 2 6 3" xfId="10683"/>
    <cellStyle name="Hyperlink 2 7" xfId="1487"/>
    <cellStyle name="Hyperlink 2 7 2" xfId="10684"/>
    <cellStyle name="Hyperlink 2 7 3" xfId="10685"/>
    <cellStyle name="Hyperlink 2 8" xfId="10686"/>
    <cellStyle name="Hyperlink 2 8 2" xfId="10687"/>
    <cellStyle name="Hyperlink 2 9" xfId="10688"/>
    <cellStyle name="Hyperlink 2 9 2" xfId="10689"/>
    <cellStyle name="Hyperlink 3" xfId="10690"/>
    <cellStyle name="Hyperlink 3 2" xfId="10691"/>
    <cellStyle name="Hyperlink 3 2 2" xfId="10692"/>
    <cellStyle name="Hyperlink 3 3" xfId="10693"/>
    <cellStyle name="Hyperlink 3 3 2" xfId="10694"/>
    <cellStyle name="Hyperlink 3 4" xfId="10695"/>
    <cellStyle name="Hyperlink 3 4 2" xfId="10696"/>
    <cellStyle name="Hyperlink 3 5" xfId="10697"/>
    <cellStyle name="Hyperlink 3 5 2" xfId="10698"/>
    <cellStyle name="Hyperlink 3 6" xfId="10699"/>
    <cellStyle name="Hyperlink 3 7" xfId="16121"/>
    <cellStyle name="Hyperlink 4" xfId="10700"/>
    <cellStyle name="Hyperlink 4 2" xfId="10701"/>
    <cellStyle name="Hyperlink 4 2 2" xfId="17127"/>
    <cellStyle name="Hyperlink 4 3" xfId="16791"/>
    <cellStyle name="Hyperlink 4 4" xfId="16331"/>
    <cellStyle name="Hyperlink 4 5" xfId="19915"/>
    <cellStyle name="Hyperlink 5" xfId="10702"/>
    <cellStyle name="Hyperlink 5 2" xfId="10703"/>
    <cellStyle name="Hyperlink 8" xfId="19744"/>
    <cellStyle name="Import" xfId="10704"/>
    <cellStyle name="Import 2" xfId="10705"/>
    <cellStyle name="Import 2 2" xfId="10706"/>
    <cellStyle name="Import 3" xfId="10707"/>
    <cellStyle name="Import 3 2" xfId="10708"/>
    <cellStyle name="Import 3 2 2" xfId="10709"/>
    <cellStyle name="Import 3 3" xfId="10710"/>
    <cellStyle name="Import 4" xfId="10711"/>
    <cellStyle name="Import 4 2" xfId="10712"/>
    <cellStyle name="Import 4 2 2" xfId="10713"/>
    <cellStyle name="Import 4 3" xfId="10714"/>
    <cellStyle name="Import 5" xfId="10715"/>
    <cellStyle name="Import 5 2" xfId="10716"/>
    <cellStyle name="Import 5 2 2" xfId="10717"/>
    <cellStyle name="Import 5 3" xfId="10718"/>
    <cellStyle name="Import 6" xfId="10719"/>
    <cellStyle name="Input" xfId="19644" builtinId="20" customBuiltin="1"/>
    <cellStyle name="Input [yello" xfId="10720"/>
    <cellStyle name="Input [yello 2" xfId="10721"/>
    <cellStyle name="Input [yellow]" xfId="1488"/>
    <cellStyle name="Input [yellow] 2" xfId="10722"/>
    <cellStyle name="Input [yellow] 2 2" xfId="10723"/>
    <cellStyle name="Input [yellow] 2 2 2" xfId="10724"/>
    <cellStyle name="Input [yellow] 2 3" xfId="10725"/>
    <cellStyle name="Input [yellow] 3" xfId="10726"/>
    <cellStyle name="Input [yellow] 3 2" xfId="10727"/>
    <cellStyle name="Input [yellow] 3 2 2" xfId="10728"/>
    <cellStyle name="Input [yellow] 3 3" xfId="10729"/>
    <cellStyle name="Input [yellow] 4" xfId="10730"/>
    <cellStyle name="Input [yellow] 4 2" xfId="10731"/>
    <cellStyle name="Input [yellow] 4 2 2" xfId="10732"/>
    <cellStyle name="Input [yellow] 4 3" xfId="10733"/>
    <cellStyle name="Input [yellow] 5" xfId="10734"/>
    <cellStyle name="Input [yellow] 5 2" xfId="10735"/>
    <cellStyle name="Input [yellow] 6" xfId="10736"/>
    <cellStyle name="Input [yellow] 7" xfId="10737"/>
    <cellStyle name="Input 10" xfId="10738"/>
    <cellStyle name="Input 10 2" xfId="10739"/>
    <cellStyle name="Input 10 3" xfId="19332"/>
    <cellStyle name="Input 11" xfId="10740"/>
    <cellStyle name="Input 11 2" xfId="10741"/>
    <cellStyle name="Input 11 3" xfId="19364"/>
    <cellStyle name="Input 12" xfId="10742"/>
    <cellStyle name="Input 12 2" xfId="10743"/>
    <cellStyle name="Input 12 3" xfId="19329"/>
    <cellStyle name="Input 13" xfId="10744"/>
    <cellStyle name="Input 13 2" xfId="10745"/>
    <cellStyle name="Input 13 3" xfId="19390"/>
    <cellStyle name="Input 14" xfId="10746"/>
    <cellStyle name="Input 14 2" xfId="10747"/>
    <cellStyle name="Input 14 3" xfId="19358"/>
    <cellStyle name="Input 15" xfId="10748"/>
    <cellStyle name="Input 15 2" xfId="10749"/>
    <cellStyle name="Input 15 3" xfId="19386"/>
    <cellStyle name="Input 16" xfId="10750"/>
    <cellStyle name="Input 16 2" xfId="10751"/>
    <cellStyle name="Input 16 3" xfId="19374"/>
    <cellStyle name="Input 17" xfId="10752"/>
    <cellStyle name="Input 17 2" xfId="10753"/>
    <cellStyle name="Input 17 3" xfId="19384"/>
    <cellStyle name="Input 18" xfId="10754"/>
    <cellStyle name="Input 18 2" xfId="10755"/>
    <cellStyle name="Input 18 3" xfId="19383"/>
    <cellStyle name="Input 19" xfId="10756"/>
    <cellStyle name="Input 19 2" xfId="10757"/>
    <cellStyle name="Input 19 3" xfId="19347"/>
    <cellStyle name="Input 2" xfId="1489"/>
    <cellStyle name="Input 2 2" xfId="10758"/>
    <cellStyle name="Input 2 2 2" xfId="10759"/>
    <cellStyle name="Input 2 2 2 2" xfId="10760"/>
    <cellStyle name="Input 2 2 3" xfId="10761"/>
    <cellStyle name="Input 2 2 3 2" xfId="10762"/>
    <cellStyle name="Input 2 2 4" xfId="10763"/>
    <cellStyle name="Input 2 3" xfId="10764"/>
    <cellStyle name="Input 2 3 2" xfId="10765"/>
    <cellStyle name="Input 2 4" xfId="10766"/>
    <cellStyle name="Input 2 4 2" xfId="10767"/>
    <cellStyle name="Input 2 5" xfId="10768"/>
    <cellStyle name="Input 2 5 2" xfId="10769"/>
    <cellStyle name="Input 2 6" xfId="10770"/>
    <cellStyle name="Input 2 7" xfId="10771"/>
    <cellStyle name="Input 2 8" xfId="19829"/>
    <cellStyle name="Input 20" xfId="10772"/>
    <cellStyle name="Input 20 2" xfId="10773"/>
    <cellStyle name="Input 20 3" xfId="19373"/>
    <cellStyle name="Input 21" xfId="10774"/>
    <cellStyle name="Input 21 2" xfId="19375"/>
    <cellStyle name="Input 22" xfId="10775"/>
    <cellStyle name="Input 22 2" xfId="19316"/>
    <cellStyle name="Input 23" xfId="10776"/>
    <cellStyle name="Input 23 2" xfId="19335"/>
    <cellStyle name="Input 24" xfId="15996"/>
    <cellStyle name="Input 24 2" xfId="19328"/>
    <cellStyle name="Input 25" xfId="16026"/>
    <cellStyle name="Input 26" xfId="16028"/>
    <cellStyle name="Input 27" xfId="16030"/>
    <cellStyle name="Input 28" xfId="16189"/>
    <cellStyle name="Input 29" xfId="16836"/>
    <cellStyle name="Input 3" xfId="1490"/>
    <cellStyle name="Input 3 2" xfId="10777"/>
    <cellStyle name="Input 3 2 2" xfId="10778"/>
    <cellStyle name="Input 3 2 2 2" xfId="10779"/>
    <cellStyle name="Input 3 2 3" xfId="10780"/>
    <cellStyle name="Input 3 3" xfId="10781"/>
    <cellStyle name="Input 3 4" xfId="10782"/>
    <cellStyle name="Input 4" xfId="1491"/>
    <cellStyle name="Input 4 2" xfId="10783"/>
    <cellStyle name="Input 4 2 2" xfId="10784"/>
    <cellStyle name="Input 4 2 2 2" xfId="10785"/>
    <cellStyle name="Input 4 2 3" xfId="10786"/>
    <cellStyle name="Input 4 3" xfId="10787"/>
    <cellStyle name="Input 4 4" xfId="10788"/>
    <cellStyle name="Input 5" xfId="1492"/>
    <cellStyle name="Input 5 2" xfId="10789"/>
    <cellStyle name="Input 5 2 2" xfId="10790"/>
    <cellStyle name="Input 5 3" xfId="10791"/>
    <cellStyle name="Input 5 4" xfId="10792"/>
    <cellStyle name="Input 6" xfId="1493"/>
    <cellStyle name="Input 6 2" xfId="10793"/>
    <cellStyle name="Input 6 2 2" xfId="10794"/>
    <cellStyle name="Input 6 3" xfId="10795"/>
    <cellStyle name="Input 6 4" xfId="10796"/>
    <cellStyle name="Input 7" xfId="1494"/>
    <cellStyle name="Input 7 2" xfId="10797"/>
    <cellStyle name="Input 7 2 2" xfId="10798"/>
    <cellStyle name="Input 7 3" xfId="10799"/>
    <cellStyle name="Input 7 4" xfId="10800"/>
    <cellStyle name="Input 7 5" xfId="16523"/>
    <cellStyle name="Input 8" xfId="10801"/>
    <cellStyle name="Input 8 2" xfId="10802"/>
    <cellStyle name="Input 8 2 2" xfId="10803"/>
    <cellStyle name="Input 8 3" xfId="10804"/>
    <cellStyle name="Input 8 4" xfId="19314"/>
    <cellStyle name="Input 9" xfId="10805"/>
    <cellStyle name="Input 9 2" xfId="10806"/>
    <cellStyle name="Input 9 2 2" xfId="10807"/>
    <cellStyle name="Input 9 3" xfId="10808"/>
    <cellStyle name="Input 9 4" xfId="19361"/>
    <cellStyle name="Item" xfId="10809"/>
    <cellStyle name="Item (boxed)" xfId="10810"/>
    <cellStyle name="Item (boxed) 2" xfId="10811"/>
    <cellStyle name="Item (boxed) 2 2" xfId="10812"/>
    <cellStyle name="Item (boxed) 3" xfId="10813"/>
    <cellStyle name="Item (boxed) 3 2" xfId="10814"/>
    <cellStyle name="Item (boxed) 3 2 2" xfId="10815"/>
    <cellStyle name="Item (boxed) 3 3" xfId="10816"/>
    <cellStyle name="Item (boxed) 4" xfId="10817"/>
    <cellStyle name="Item (boxed) 4 2" xfId="10818"/>
    <cellStyle name="Item (boxed) 4 2 2" xfId="10819"/>
    <cellStyle name="Item (boxed) 4 3" xfId="10820"/>
    <cellStyle name="Item (boxed) 5" xfId="10821"/>
    <cellStyle name="Item (boxed) 5 2" xfId="10822"/>
    <cellStyle name="Item (boxed) 5 2 2" xfId="10823"/>
    <cellStyle name="Item (boxed) 5 3" xfId="10824"/>
    <cellStyle name="Item (boxed) 6" xfId="10825"/>
    <cellStyle name="Item 2" xfId="10826"/>
    <cellStyle name="Item 2 2" xfId="10827"/>
    <cellStyle name="Item 3" xfId="10828"/>
    <cellStyle name="Item 3 2" xfId="10829"/>
    <cellStyle name="Item 3 2 2" xfId="10830"/>
    <cellStyle name="Item 3 3" xfId="10831"/>
    <cellStyle name="Item 4" xfId="10832"/>
    <cellStyle name="Item 4 2" xfId="10833"/>
    <cellStyle name="Item 4 2 2" xfId="10834"/>
    <cellStyle name="Item 4 3" xfId="10835"/>
    <cellStyle name="Item 5" xfId="10836"/>
    <cellStyle name="Item 5 2" xfId="10837"/>
    <cellStyle name="Item 5 2 2" xfId="10838"/>
    <cellStyle name="Item 5 3" xfId="10839"/>
    <cellStyle name="Item 6" xfId="10840"/>
    <cellStyle name="Item 6 2" xfId="10841"/>
    <cellStyle name="Item 6 2 2" xfId="10842"/>
    <cellStyle name="Item 6 3" xfId="10843"/>
    <cellStyle name="Item 7" xfId="10844"/>
    <cellStyle name="Item 7 2" xfId="10845"/>
    <cellStyle name="Item 7 2 2" xfId="10846"/>
    <cellStyle name="Item 7 3" xfId="10847"/>
    <cellStyle name="Item 8" xfId="10848"/>
    <cellStyle name="Item 8 2" xfId="10849"/>
    <cellStyle name="Item 9" xfId="10850"/>
    <cellStyle name="Item_PnL Summary" xfId="10851"/>
    <cellStyle name="ItemLast" xfId="10852"/>
    <cellStyle name="ItemLast 2" xfId="10853"/>
    <cellStyle name="ItemLast 2 2" xfId="10854"/>
    <cellStyle name="ItemLast 3" xfId="10855"/>
    <cellStyle name="ItemLast 3 2" xfId="10856"/>
    <cellStyle name="ItemLast 3 2 2" xfId="10857"/>
    <cellStyle name="ItemLast 3 3" xfId="10858"/>
    <cellStyle name="ItemLast 4" xfId="10859"/>
    <cellStyle name="ItemLast 4 2" xfId="10860"/>
    <cellStyle name="ItemLast 4 2 2" xfId="10861"/>
    <cellStyle name="ItemLast 4 3" xfId="10862"/>
    <cellStyle name="ItemLast 5" xfId="10863"/>
    <cellStyle name="ItemLast 5 2" xfId="10864"/>
    <cellStyle name="ItemLast 5 2 2" xfId="10865"/>
    <cellStyle name="ItemLast 5 3" xfId="10866"/>
    <cellStyle name="ItemLast 6" xfId="10867"/>
    <cellStyle name="ItemLastRO" xfId="10868"/>
    <cellStyle name="ItemLastRO 2" xfId="10869"/>
    <cellStyle name="ItemLastRO 2 2" xfId="10870"/>
    <cellStyle name="ItemLastRO 3" xfId="10871"/>
    <cellStyle name="ItemLastRO 3 2" xfId="10872"/>
    <cellStyle name="ItemLastRO 3 2 2" xfId="10873"/>
    <cellStyle name="ItemLastRO 3 3" xfId="10874"/>
    <cellStyle name="ItemLastRO 4" xfId="10875"/>
    <cellStyle name="ItemLastRO 4 2" xfId="10876"/>
    <cellStyle name="ItemLastRO 4 2 2" xfId="10877"/>
    <cellStyle name="ItemLastRO 4 3" xfId="10878"/>
    <cellStyle name="ItemLastRO 5" xfId="10879"/>
    <cellStyle name="ItemLastRO 5 2" xfId="10880"/>
    <cellStyle name="ItemLastRO 5 2 2" xfId="10881"/>
    <cellStyle name="ItemLastRO 5 3" xfId="10882"/>
    <cellStyle name="ItemLastRO 6" xfId="10883"/>
    <cellStyle name="ItemRO" xfId="10884"/>
    <cellStyle name="ItemRO 2" xfId="10885"/>
    <cellStyle name="Itemtomorrow" xfId="10886"/>
    <cellStyle name="Itemtomorrow 2" xfId="10887"/>
    <cellStyle name="ItemtomorrowLast" xfId="10888"/>
    <cellStyle name="ItemtomorrowLast 2" xfId="10889"/>
    <cellStyle name="ItemtomorrowLastRO" xfId="10890"/>
    <cellStyle name="ItemtomorrowLastRO 2" xfId="10891"/>
    <cellStyle name="ItemtomorrowRO" xfId="10892"/>
    <cellStyle name="ItemtomorrowRO 2" xfId="10893"/>
    <cellStyle name="Itemyesterday" xfId="10894"/>
    <cellStyle name="Itemyesterday 2" xfId="10895"/>
    <cellStyle name="ItemyesterdayLast" xfId="10896"/>
    <cellStyle name="ItemyesterdayLast 2" xfId="10897"/>
    <cellStyle name="LeapYears" xfId="1495"/>
    <cellStyle name="Link" xfId="10898"/>
    <cellStyle name="Link 2" xfId="10899"/>
    <cellStyle name="Linked Cell" xfId="19647" builtinId="24" customBuiltin="1"/>
    <cellStyle name="Linked Cell 10" xfId="10900"/>
    <cellStyle name="Linked Cell 11" xfId="15997"/>
    <cellStyle name="Linked Cell 12" xfId="16192"/>
    <cellStyle name="Linked Cell 2" xfId="1496"/>
    <cellStyle name="Linked Cell 2 2" xfId="10901"/>
    <cellStyle name="Linked Cell 2 2 2" xfId="10902"/>
    <cellStyle name="Linked Cell 2 2 2 2" xfId="10903"/>
    <cellStyle name="Linked Cell 2 2 3" xfId="10904"/>
    <cellStyle name="Linked Cell 2 2 3 2" xfId="10905"/>
    <cellStyle name="Linked Cell 2 2 4" xfId="10906"/>
    <cellStyle name="Linked Cell 2 3" xfId="10907"/>
    <cellStyle name="Linked Cell 2 3 2" xfId="10908"/>
    <cellStyle name="Linked Cell 2 4" xfId="10909"/>
    <cellStyle name="Linked Cell 2 4 2" xfId="10910"/>
    <cellStyle name="Linked Cell 2 5" xfId="10911"/>
    <cellStyle name="Linked Cell 2 6" xfId="10912"/>
    <cellStyle name="Linked Cell 2 7" xfId="19832"/>
    <cellStyle name="Linked Cell 3" xfId="10913"/>
    <cellStyle name="Linked Cell 3 2" xfId="10914"/>
    <cellStyle name="Linked Cell 3 2 2" xfId="10915"/>
    <cellStyle name="Linked Cell 3 2 2 2" xfId="10916"/>
    <cellStyle name="Linked Cell 3 2 3" xfId="10917"/>
    <cellStyle name="Linked Cell 3 3" xfId="10918"/>
    <cellStyle name="Linked Cell 3 4" xfId="16958"/>
    <cellStyle name="Linked Cell 4" xfId="10919"/>
    <cellStyle name="Linked Cell 4 2" xfId="10920"/>
    <cellStyle name="Linked Cell 4 2 2" xfId="10921"/>
    <cellStyle name="Linked Cell 4 3" xfId="10922"/>
    <cellStyle name="Linked Cell 4 3 2" xfId="10923"/>
    <cellStyle name="Linked Cell 4 4" xfId="10924"/>
    <cellStyle name="Linked Cell 4 5" xfId="16902"/>
    <cellStyle name="Linked Cell 5" xfId="10925"/>
    <cellStyle name="Linked Cell 5 2" xfId="10926"/>
    <cellStyle name="Linked Cell 5 3" xfId="16526"/>
    <cellStyle name="Linked Cell 6" xfId="10927"/>
    <cellStyle name="Linked Cell 6 2" xfId="10928"/>
    <cellStyle name="Linked Cell 7" xfId="10929"/>
    <cellStyle name="Linked Cell 7 2" xfId="10930"/>
    <cellStyle name="Linked Cell 8" xfId="10931"/>
    <cellStyle name="Linked Cell 8 2" xfId="10932"/>
    <cellStyle name="Linked Cell 9" xfId="10933"/>
    <cellStyle name="Linked Cell 9 2" xfId="10934"/>
    <cellStyle name="Maintenance" xfId="1497"/>
    <cellStyle name="Milliers [0]_Open&amp;Close" xfId="2328"/>
    <cellStyle name="Milliers_Open&amp;Close" xfId="2329"/>
    <cellStyle name="Moneda [0]_Mex-Braz-Arg" xfId="1498"/>
    <cellStyle name="Moneda_Mex-Braz-Arg" xfId="1499"/>
    <cellStyle name="Monétaire [0]_Open&amp;Close" xfId="2330"/>
    <cellStyle name="Monétaire_Open&amp;Close" xfId="2331"/>
    <cellStyle name="Month" xfId="10935"/>
    <cellStyle name="Month 2" xfId="10936"/>
    <cellStyle name="Month 2 2" xfId="10937"/>
    <cellStyle name="Month 3" xfId="10938"/>
    <cellStyle name="Neutral" xfId="19643" builtinId="28" customBuiltin="1"/>
    <cellStyle name="Neutral 10" xfId="10939"/>
    <cellStyle name="Neutral 11" xfId="15998"/>
    <cellStyle name="Neutral 12" xfId="16188"/>
    <cellStyle name="Neutral 2" xfId="1500"/>
    <cellStyle name="Neutral 2 2" xfId="10940"/>
    <cellStyle name="Neutral 2 2 2" xfId="10941"/>
    <cellStyle name="Neutral 2 2 2 2" xfId="10942"/>
    <cellStyle name="Neutral 2 2 3" xfId="10943"/>
    <cellStyle name="Neutral 2 2 3 2" xfId="10944"/>
    <cellStyle name="Neutral 2 2 4" xfId="10945"/>
    <cellStyle name="Neutral 2 3" xfId="10946"/>
    <cellStyle name="Neutral 2 3 2" xfId="10947"/>
    <cellStyle name="Neutral 2 4" xfId="10948"/>
    <cellStyle name="Neutral 2 4 2" xfId="10949"/>
    <cellStyle name="Neutral 2 5" xfId="10950"/>
    <cellStyle name="Neutral 2 5 2" xfId="10951"/>
    <cellStyle name="Neutral 2 6" xfId="10952"/>
    <cellStyle name="Neutral 2 7" xfId="10953"/>
    <cellStyle name="Neutral 2 8" xfId="19828"/>
    <cellStyle name="Neutral 3" xfId="10954"/>
    <cellStyle name="Neutral 3 2" xfId="10955"/>
    <cellStyle name="Neutral 3 2 2" xfId="10956"/>
    <cellStyle name="Neutral 3 2 2 2" xfId="10957"/>
    <cellStyle name="Neutral 3 2 3" xfId="10958"/>
    <cellStyle name="Neutral 3 3" xfId="10959"/>
    <cellStyle name="Neutral 3 4" xfId="16959"/>
    <cellStyle name="Neutral 4" xfId="10960"/>
    <cellStyle name="Neutral 4 2" xfId="10961"/>
    <cellStyle name="Neutral 4 2 2" xfId="10962"/>
    <cellStyle name="Neutral 4 2 2 2" xfId="10963"/>
    <cellStyle name="Neutral 4 2 3" xfId="10964"/>
    <cellStyle name="Neutral 4 3" xfId="10965"/>
    <cellStyle name="Neutral 4 4" xfId="16903"/>
    <cellStyle name="Neutral 5" xfId="10966"/>
    <cellStyle name="Neutral 5 2" xfId="10967"/>
    <cellStyle name="Neutral 5 3" xfId="16522"/>
    <cellStyle name="Neutral 6" xfId="10968"/>
    <cellStyle name="Neutral 6 2" xfId="10969"/>
    <cellStyle name="Neutral 7" xfId="10970"/>
    <cellStyle name="Neutral 7 2" xfId="10971"/>
    <cellStyle name="Neutral 8" xfId="10972"/>
    <cellStyle name="Neutral 8 2" xfId="10973"/>
    <cellStyle name="Neutral 9" xfId="10974"/>
    <cellStyle name="Neutral 9 2" xfId="10975"/>
    <cellStyle name="NIS" xfId="1501"/>
    <cellStyle name="no dec" xfId="1502"/>
    <cellStyle name="no dec 2" xfId="10976"/>
    <cellStyle name="no dec 2 2" xfId="10977"/>
    <cellStyle name="no dec 2 2 2" xfId="10978"/>
    <cellStyle name="no dec 2 3" xfId="10979"/>
    <cellStyle name="no dec 3" xfId="10980"/>
    <cellStyle name="no dec 3 2" xfId="10981"/>
    <cellStyle name="no dec 4" xfId="10982"/>
    <cellStyle name="no dec 4 2" xfId="10983"/>
    <cellStyle name="no dec 5" xfId="10984"/>
    <cellStyle name="no dec 5 2" xfId="10985"/>
    <cellStyle name="no dec 6" xfId="10986"/>
    <cellStyle name="no dec 6 2" xfId="10987"/>
    <cellStyle name="no dec 6 2 2" xfId="10988"/>
    <cellStyle name="no dec 6 3" xfId="10989"/>
    <cellStyle name="no dec 6 3 2" xfId="10990"/>
    <cellStyle name="no dec 6 4" xfId="10991"/>
    <cellStyle name="no dec 7" xfId="10992"/>
    <cellStyle name="no dec 8" xfId="10993"/>
    <cellStyle name="no dst" xfId="10994"/>
    <cellStyle name="no dst 2" xfId="10995"/>
    <cellStyle name="NoPattern" xfId="10996"/>
    <cellStyle name="NoPattern 2" xfId="10997"/>
    <cellStyle name="Normal" xfId="0" builtinId="0"/>
    <cellStyle name="Normal - Styl_CCR" xfId="10998"/>
    <cellStyle name="Normal - Style1" xfId="1503"/>
    <cellStyle name="Normal - Style1 2" xfId="1504"/>
    <cellStyle name="Normal - Style1 2 2" xfId="10999"/>
    <cellStyle name="Normal - Style1 2 3" xfId="11000"/>
    <cellStyle name="Normal - Style1 2 4" xfId="11001"/>
    <cellStyle name="Normal - Style1 2 5" xfId="11002"/>
    <cellStyle name="Normal - Style1 2 6" xfId="11003"/>
    <cellStyle name="Normal - Style1 2 7" xfId="11004"/>
    <cellStyle name="Normal - Style1 3" xfId="1505"/>
    <cellStyle name="Normal - Style1 3 2" xfId="11005"/>
    <cellStyle name="Normal - Style1 3 3" xfId="11006"/>
    <cellStyle name="Normal - Style1 4" xfId="11007"/>
    <cellStyle name="Normal - Style1 5" xfId="11008"/>
    <cellStyle name="Normal - Style1 6" xfId="11009"/>
    <cellStyle name="Normal - Style1 7" xfId="11010"/>
    <cellStyle name="Normal - Style1 8" xfId="11011"/>
    <cellStyle name="Normal - Style1 9" xfId="16122"/>
    <cellStyle name="Normal - Style2" xfId="2332"/>
    <cellStyle name="Normal - Style2 2" xfId="11012"/>
    <cellStyle name="Normal - Style2 2 2" xfId="16819"/>
    <cellStyle name="Normal - Style2 3" xfId="11013"/>
    <cellStyle name="Normal - Style2 3 2" xfId="16759"/>
    <cellStyle name="Normal - Style2 4" xfId="16123"/>
    <cellStyle name="Normal - Style3" xfId="2333"/>
    <cellStyle name="Normal - Style3 2" xfId="11014"/>
    <cellStyle name="Normal - Style3 2 2" xfId="16820"/>
    <cellStyle name="Normal - Style3 3" xfId="11015"/>
    <cellStyle name="Normal - Style3 3 2" xfId="16760"/>
    <cellStyle name="Normal - Style3 4" xfId="16124"/>
    <cellStyle name="Normal - Style4" xfId="2334"/>
    <cellStyle name="Normal - Style4 2" xfId="11016"/>
    <cellStyle name="Normal - Style4 2 2" xfId="16821"/>
    <cellStyle name="Normal - Style4 3" xfId="11017"/>
    <cellStyle name="Normal - Style4 3 2" xfId="16761"/>
    <cellStyle name="Normal - Style4 4" xfId="16125"/>
    <cellStyle name="Normal - Style5" xfId="2335"/>
    <cellStyle name="Normal - Style5 2" xfId="11018"/>
    <cellStyle name="Normal - Style5 2 2" xfId="16822"/>
    <cellStyle name="Normal - Style5 3" xfId="11019"/>
    <cellStyle name="Normal - Style5 3 2" xfId="16762"/>
    <cellStyle name="Normal - Style5 4" xfId="16126"/>
    <cellStyle name="Normal - Style6" xfId="2336"/>
    <cellStyle name="Normal - Style6 2" xfId="11020"/>
    <cellStyle name="Normal - Style6 2 2" xfId="16823"/>
    <cellStyle name="Normal - Style6 3" xfId="11021"/>
    <cellStyle name="Normal - Style6 3 2" xfId="16763"/>
    <cellStyle name="Normal - Style6 4" xfId="16127"/>
    <cellStyle name="Normal - Style7" xfId="2337"/>
    <cellStyle name="Normal - Style7 2" xfId="11022"/>
    <cellStyle name="Normal - Style7 2 2" xfId="16824"/>
    <cellStyle name="Normal - Style7 3" xfId="11023"/>
    <cellStyle name="Normal - Style7 3 2" xfId="16764"/>
    <cellStyle name="Normal - Style7 4" xfId="16128"/>
    <cellStyle name="Normal - Style8" xfId="2338"/>
    <cellStyle name="Normal - Style8 2" xfId="11024"/>
    <cellStyle name="Normal - Style8 2 2" xfId="16825"/>
    <cellStyle name="Normal - Style8 3" xfId="11025"/>
    <cellStyle name="Normal - Style8 3 2" xfId="16765"/>
    <cellStyle name="Normal - Style8 4" xfId="16129"/>
    <cellStyle name="Normal - Styln" xfId="11026"/>
    <cellStyle name="Normal (bottom)" xfId="11027"/>
    <cellStyle name="Normal (bottom) 2" xfId="11028"/>
    <cellStyle name="Normal (bottom) 3" xfId="11029"/>
    <cellStyle name="Normal (bottom) 3 2" xfId="11030"/>
    <cellStyle name="Normal (bottom) 4" xfId="11031"/>
    <cellStyle name="Normal (bottom) 4 2" xfId="11032"/>
    <cellStyle name="Normal (bottom) 5" xfId="11033"/>
    <cellStyle name="Normal (bottom) 5 2" xfId="11034"/>
    <cellStyle name="Normal (grey)" xfId="11035"/>
    <cellStyle name="Normal (left)" xfId="11036"/>
    <cellStyle name="Normal (left) 2" xfId="11037"/>
    <cellStyle name="Normal (left) 3" xfId="11038"/>
    <cellStyle name="Normal (left) 3 2" xfId="11039"/>
    <cellStyle name="Normal (left) 4" xfId="11040"/>
    <cellStyle name="Normal (left) 4 2" xfId="11041"/>
    <cellStyle name="Normal (left) 5" xfId="11042"/>
    <cellStyle name="Normal (left) 5 2" xfId="11043"/>
    <cellStyle name="Normal (middle)" xfId="11044"/>
    <cellStyle name="Normal (middle) 2" xfId="11045"/>
    <cellStyle name="Normal (middle) 3" xfId="11046"/>
    <cellStyle name="Normal (middle) 3 2" xfId="11047"/>
    <cellStyle name="Normal (middle) 4" xfId="11048"/>
    <cellStyle name="Normal (middle) 4 2" xfId="11049"/>
    <cellStyle name="Normal (middle) 5" xfId="11050"/>
    <cellStyle name="Normal (middle) 5 2" xfId="11051"/>
    <cellStyle name="Normal (right)" xfId="11052"/>
    <cellStyle name="Normal (right) 2" xfId="11053"/>
    <cellStyle name="Normal (right) 3" xfId="11054"/>
    <cellStyle name="Normal (right) 3 2" xfId="11055"/>
    <cellStyle name="Normal (right) 4" xfId="11056"/>
    <cellStyle name="Normal (right) 4 2" xfId="11057"/>
    <cellStyle name="Normal (right) 5" xfId="11058"/>
    <cellStyle name="Normal (right) 5 2" xfId="11059"/>
    <cellStyle name="Normal (top)" xfId="11060"/>
    <cellStyle name="Normal (white)" xfId="11061"/>
    <cellStyle name="Normal (white) 2" xfId="11062"/>
    <cellStyle name="Normal (white) 3" xfId="11063"/>
    <cellStyle name="Normal (white) 3 2" xfId="11064"/>
    <cellStyle name="Normal (white) 4" xfId="11065"/>
    <cellStyle name="Normal (white) 4 2" xfId="11066"/>
    <cellStyle name="Normal (white) 5" xfId="11067"/>
    <cellStyle name="Normal (white) 5 2" xfId="11068"/>
    <cellStyle name="Normal 10" xfId="1506"/>
    <cellStyle name="Normal 10 10" xfId="11069"/>
    <cellStyle name="Normal 10 10 2" xfId="11070"/>
    <cellStyle name="Normal 10 10 3" xfId="11071"/>
    <cellStyle name="Normal 10 10 4" xfId="11072"/>
    <cellStyle name="Normal 10 10 5" xfId="11073"/>
    <cellStyle name="Normal 10 11" xfId="11074"/>
    <cellStyle name="Normal 10 11 2" xfId="11075"/>
    <cellStyle name="Normal 10 11 3" xfId="11076"/>
    <cellStyle name="Normal 10 11 4" xfId="11077"/>
    <cellStyle name="Normal 10 11 5" xfId="11078"/>
    <cellStyle name="Normal 10 12" xfId="11079"/>
    <cellStyle name="Normal 10 12 2" xfId="11080"/>
    <cellStyle name="Normal 10 12 3" xfId="11081"/>
    <cellStyle name="Normal 10 12 4" xfId="11082"/>
    <cellStyle name="Normal 10 13" xfId="11083"/>
    <cellStyle name="Normal 10 13 2" xfId="11084"/>
    <cellStyle name="Normal 10 13 3" xfId="11085"/>
    <cellStyle name="Normal 10 13 4" xfId="11086"/>
    <cellStyle name="Normal 10 14" xfId="11087"/>
    <cellStyle name="Normal 10 14 2" xfId="11088"/>
    <cellStyle name="Normal 10 14 3" xfId="11089"/>
    <cellStyle name="Normal 10 14 4" xfId="11090"/>
    <cellStyle name="Normal 10 15" xfId="11091"/>
    <cellStyle name="Normal 10 15 2" xfId="11092"/>
    <cellStyle name="Normal 10 15 3" xfId="11093"/>
    <cellStyle name="Normal 10 15 4" xfId="11094"/>
    <cellStyle name="Normal 10 16" xfId="11095"/>
    <cellStyle name="Normal 10 16 2" xfId="11096"/>
    <cellStyle name="Normal 10 16 3" xfId="11097"/>
    <cellStyle name="Normal 10 16 4" xfId="11098"/>
    <cellStyle name="Normal 10 17" xfId="11099"/>
    <cellStyle name="Normal 10 17 2" xfId="11100"/>
    <cellStyle name="Normal 10 17 3" xfId="11101"/>
    <cellStyle name="Normal 10 17 4" xfId="11102"/>
    <cellStyle name="Normal 10 18" xfId="11103"/>
    <cellStyle name="Normal 10 18 2" xfId="11104"/>
    <cellStyle name="Normal 10 18 2 2" xfId="11105"/>
    <cellStyle name="Normal 10 18 2 2 2" xfId="11106"/>
    <cellStyle name="Normal 10 18 2 3" xfId="11107"/>
    <cellStyle name="Normal 10 18 3" xfId="11108"/>
    <cellStyle name="Normal 10 18 3 2" xfId="11109"/>
    <cellStyle name="Normal 10 18 4" xfId="11110"/>
    <cellStyle name="Normal 10 19" xfId="11111"/>
    <cellStyle name="Normal 10 2" xfId="11112"/>
    <cellStyle name="Normal 10 2 10" xfId="16936"/>
    <cellStyle name="Normal 10 2 2" xfId="11113"/>
    <cellStyle name="Normal 10 2 2 2" xfId="11114"/>
    <cellStyle name="Normal 10 2 2 2 2" xfId="11115"/>
    <cellStyle name="Normal 10 2 2 2 2 2" xfId="11116"/>
    <cellStyle name="Normal 10 2 2 2 2 3" xfId="11117"/>
    <cellStyle name="Normal 10 2 2 2 3" xfId="11118"/>
    <cellStyle name="Normal 10 2 2 2 3 2" xfId="11119"/>
    <cellStyle name="Normal 10 2 2 2 4" xfId="11120"/>
    <cellStyle name="Normal 10 2 2 3" xfId="11121"/>
    <cellStyle name="Normal 10 2 2 3 2" xfId="11122"/>
    <cellStyle name="Normal 10 2 2 3 2 2" xfId="11123"/>
    <cellStyle name="Normal 10 2 2 3 3" xfId="11124"/>
    <cellStyle name="Normal 10 2 2 4" xfId="11125"/>
    <cellStyle name="Normal 10 2 2 4 2" xfId="11126"/>
    <cellStyle name="Normal 10 2 2 5" xfId="11127"/>
    <cellStyle name="Normal 10 2 2 6" xfId="11128"/>
    <cellStyle name="Normal 10 2 2 7" xfId="11129"/>
    <cellStyle name="Normal 10 2 2 8" xfId="11130"/>
    <cellStyle name="Normal 10 2 3" xfId="11131"/>
    <cellStyle name="Normal 10 2 3 2" xfId="11132"/>
    <cellStyle name="Normal 10 2 3 2 2" xfId="11133"/>
    <cellStyle name="Normal 10 2 3 2 3" xfId="11134"/>
    <cellStyle name="Normal 10 2 3 3" xfId="11135"/>
    <cellStyle name="Normal 10 2 3 3 2" xfId="11136"/>
    <cellStyle name="Normal 10 2 3 4" xfId="11137"/>
    <cellStyle name="Normal 10 2 3 5" xfId="11138"/>
    <cellStyle name="Normal 10 2 4" xfId="11139"/>
    <cellStyle name="Normal 10 2 4 2" xfId="11140"/>
    <cellStyle name="Normal 10 2 4 2 2" xfId="11141"/>
    <cellStyle name="Normal 10 2 4 3" xfId="11142"/>
    <cellStyle name="Normal 10 2 4 4" xfId="11143"/>
    <cellStyle name="Normal 10 2 5" xfId="11144"/>
    <cellStyle name="Normal 10 2 5 2" xfId="11145"/>
    <cellStyle name="Normal 10 2 6" xfId="11146"/>
    <cellStyle name="Normal 10 2 7" xfId="11147"/>
    <cellStyle name="Normal 10 2 8" xfId="11148"/>
    <cellStyle name="Normal 10 2 9" xfId="11149"/>
    <cellStyle name="Normal 10 20" xfId="11150"/>
    <cellStyle name="Normal 10 21" xfId="11151"/>
    <cellStyle name="Normal 10 22" xfId="16165"/>
    <cellStyle name="Normal 10 3" xfId="11152"/>
    <cellStyle name="Normal 10 3 2" xfId="11153"/>
    <cellStyle name="Normal 10 3 2 2" xfId="11154"/>
    <cellStyle name="Normal 10 3 2 2 2" xfId="11155"/>
    <cellStyle name="Normal 10 3 2 2 3" xfId="11156"/>
    <cellStyle name="Normal 10 3 2 3" xfId="11157"/>
    <cellStyle name="Normal 10 3 2 3 2" xfId="11158"/>
    <cellStyle name="Normal 10 3 2 4" xfId="11159"/>
    <cellStyle name="Normal 10 3 2 5" xfId="11160"/>
    <cellStyle name="Normal 10 3 2 6" xfId="11161"/>
    <cellStyle name="Normal 10 3 2 7" xfId="11162"/>
    <cellStyle name="Normal 10 3 3" xfId="11163"/>
    <cellStyle name="Normal 10 3 3 2" xfId="11164"/>
    <cellStyle name="Normal 10 3 3 2 2" xfId="11165"/>
    <cellStyle name="Normal 10 3 3 3" xfId="11166"/>
    <cellStyle name="Normal 10 3 3 4" xfId="11167"/>
    <cellStyle name="Normal 10 3 4" xfId="11168"/>
    <cellStyle name="Normal 10 3 4 2" xfId="11169"/>
    <cellStyle name="Normal 10 3 4 3" xfId="11170"/>
    <cellStyle name="Normal 10 3 5" xfId="11171"/>
    <cellStyle name="Normal 10 3 6" xfId="11172"/>
    <cellStyle name="Normal 10 3 7" xfId="11173"/>
    <cellStyle name="Normal 10 3 8" xfId="11174"/>
    <cellStyle name="Normal 10 3 9" xfId="16771"/>
    <cellStyle name="Normal 10 4" xfId="11175"/>
    <cellStyle name="Normal 10 4 2" xfId="11176"/>
    <cellStyle name="Normal 10 4 2 2" xfId="11177"/>
    <cellStyle name="Normal 10 4 2 2 2" xfId="11178"/>
    <cellStyle name="Normal 10 4 2 2 3" xfId="11179"/>
    <cellStyle name="Normal 10 4 2 3" xfId="11180"/>
    <cellStyle name="Normal 10 4 2 4" xfId="11181"/>
    <cellStyle name="Normal 10 4 2 5" xfId="11182"/>
    <cellStyle name="Normal 10 4 2 6" xfId="11183"/>
    <cellStyle name="Normal 10 4 2 7" xfId="11184"/>
    <cellStyle name="Normal 10 4 3" xfId="11185"/>
    <cellStyle name="Normal 10 4 3 2" xfId="11186"/>
    <cellStyle name="Normal 10 4 3 3" xfId="11187"/>
    <cellStyle name="Normal 10 4 3 4" xfId="11188"/>
    <cellStyle name="Normal 10 4 4" xfId="11189"/>
    <cellStyle name="Normal 10 4 4 2" xfId="11190"/>
    <cellStyle name="Normal 10 4 4 3" xfId="11191"/>
    <cellStyle name="Normal 10 4 5" xfId="11192"/>
    <cellStyle name="Normal 10 4 6" xfId="11193"/>
    <cellStyle name="Normal 10 4 7" xfId="11194"/>
    <cellStyle name="Normal 10 4 8" xfId="11195"/>
    <cellStyle name="Normal 10 4 9" xfId="17878"/>
    <cellStyle name="Normal 10 5" xfId="11196"/>
    <cellStyle name="Normal 10 5 2" xfId="11197"/>
    <cellStyle name="Normal 10 5 2 2" xfId="11198"/>
    <cellStyle name="Normal 10 5 2 3" xfId="11199"/>
    <cellStyle name="Normal 10 5 2 4" xfId="11200"/>
    <cellStyle name="Normal 10 5 2 5" xfId="11201"/>
    <cellStyle name="Normal 10 5 3" xfId="11202"/>
    <cellStyle name="Normal 10 5 3 2" xfId="11203"/>
    <cellStyle name="Normal 10 5 3 3" xfId="11204"/>
    <cellStyle name="Normal 10 5 3 4" xfId="11205"/>
    <cellStyle name="Normal 10 5 4" xfId="11206"/>
    <cellStyle name="Normal 10 5 4 2" xfId="11207"/>
    <cellStyle name="Normal 10 5 4 3" xfId="11208"/>
    <cellStyle name="Normal 10 5 5" xfId="11209"/>
    <cellStyle name="Normal 10 5 6" xfId="11210"/>
    <cellStyle name="Normal 10 5 7" xfId="16599"/>
    <cellStyle name="Normal 10 6" xfId="11211"/>
    <cellStyle name="Normal 10 6 2" xfId="11212"/>
    <cellStyle name="Normal 10 6 2 2" xfId="11213"/>
    <cellStyle name="Normal 10 6 2 3" xfId="11214"/>
    <cellStyle name="Normal 10 6 2 4" xfId="11215"/>
    <cellStyle name="Normal 10 6 3" xfId="11216"/>
    <cellStyle name="Normal 10 6 3 2" xfId="11217"/>
    <cellStyle name="Normal 10 6 4" xfId="11218"/>
    <cellStyle name="Normal 10 6 4 2" xfId="11219"/>
    <cellStyle name="Normal 10 6 5" xfId="11220"/>
    <cellStyle name="Normal 10 7" xfId="11221"/>
    <cellStyle name="Normal 10 7 2" xfId="11222"/>
    <cellStyle name="Normal 10 7 2 2" xfId="11223"/>
    <cellStyle name="Normal 10 7 3" xfId="11224"/>
    <cellStyle name="Normal 10 7 4" xfId="11225"/>
    <cellStyle name="Normal 10 7 5" xfId="11226"/>
    <cellStyle name="Normal 10 8" xfId="11227"/>
    <cellStyle name="Normal 10 8 2" xfId="11228"/>
    <cellStyle name="Normal 10 8 3" xfId="11229"/>
    <cellStyle name="Normal 10 8 4" xfId="11230"/>
    <cellStyle name="Normal 10 8 5" xfId="11231"/>
    <cellStyle name="Normal 10 9" xfId="11232"/>
    <cellStyle name="Normal 10 9 2" xfId="11233"/>
    <cellStyle name="Normal 10 9 3" xfId="11234"/>
    <cellStyle name="Normal 10 9 4" xfId="11235"/>
    <cellStyle name="Normal 10 9 5" xfId="11236"/>
    <cellStyle name="Normal 100" xfId="1507"/>
    <cellStyle name="Normal 100 2" xfId="2369"/>
    <cellStyle name="Normal 100 2 2" xfId="17131"/>
    <cellStyle name="Normal 100 3" xfId="11237"/>
    <cellStyle name="Normal 100 4" xfId="11238"/>
    <cellStyle name="Normal 100 5" xfId="16336"/>
    <cellStyle name="Normal 101" xfId="2284"/>
    <cellStyle name="Normal 101 2" xfId="11239"/>
    <cellStyle name="Normal 101 2 2" xfId="17135"/>
    <cellStyle name="Normal 101 3" xfId="11240"/>
    <cellStyle name="Normal 101 4" xfId="16341"/>
    <cellStyle name="Normal 102" xfId="11241"/>
    <cellStyle name="Normal 102 2" xfId="17078"/>
    <cellStyle name="Normal 102 3" xfId="16266"/>
    <cellStyle name="Normal 103" xfId="11242"/>
    <cellStyle name="Normal 103 2" xfId="17138"/>
    <cellStyle name="Normal 103 3" xfId="16344"/>
    <cellStyle name="Normal 104" xfId="11243"/>
    <cellStyle name="Normal 104 2" xfId="17140"/>
    <cellStyle name="Normal 104 3" xfId="16346"/>
    <cellStyle name="Normal 105" xfId="11244"/>
    <cellStyle name="Normal 105 2" xfId="17142"/>
    <cellStyle name="Normal 105 3" xfId="16348"/>
    <cellStyle name="Normal 106" xfId="11245"/>
    <cellStyle name="Normal 106 2" xfId="17144"/>
    <cellStyle name="Normal 106 3" xfId="16350"/>
    <cellStyle name="Normal 107" xfId="11246"/>
    <cellStyle name="Normal 107 2" xfId="17146"/>
    <cellStyle name="Normal 107 3" xfId="16352"/>
    <cellStyle name="Normal 108" xfId="11247"/>
    <cellStyle name="Normal 108 2" xfId="17148"/>
    <cellStyle name="Normal 108 3" xfId="16354"/>
    <cellStyle name="Normal 109" xfId="11248"/>
    <cellStyle name="Normal 109 2" xfId="17150"/>
    <cellStyle name="Normal 109 3" xfId="16356"/>
    <cellStyle name="Normal 11" xfId="1508"/>
    <cellStyle name="Normal 11 10" xfId="11249"/>
    <cellStyle name="Normal 11 10 2" xfId="11250"/>
    <cellStyle name="Normal 11 10 3" xfId="11251"/>
    <cellStyle name="Normal 11 10 4" xfId="11252"/>
    <cellStyle name="Normal 11 10 5" xfId="11253"/>
    <cellStyle name="Normal 11 11" xfId="11254"/>
    <cellStyle name="Normal 11 11 2" xfId="11255"/>
    <cellStyle name="Normal 11 11 3" xfId="11256"/>
    <cellStyle name="Normal 11 11 4" xfId="11257"/>
    <cellStyle name="Normal 11 12" xfId="11258"/>
    <cellStyle name="Normal 11 12 2" xfId="11259"/>
    <cellStyle name="Normal 11 12 3" xfId="11260"/>
    <cellStyle name="Normal 11 12 4" xfId="11261"/>
    <cellStyle name="Normal 11 13" xfId="11262"/>
    <cellStyle name="Normal 11 13 2" xfId="11263"/>
    <cellStyle name="Normal 11 13 3" xfId="11264"/>
    <cellStyle name="Normal 11 13 4" xfId="11265"/>
    <cellStyle name="Normal 11 14" xfId="11266"/>
    <cellStyle name="Normal 11 14 2" xfId="11267"/>
    <cellStyle name="Normal 11 14 3" xfId="11268"/>
    <cellStyle name="Normal 11 14 4" xfId="11269"/>
    <cellStyle name="Normal 11 15" xfId="11270"/>
    <cellStyle name="Normal 11 15 2" xfId="11271"/>
    <cellStyle name="Normal 11 15 3" xfId="11272"/>
    <cellStyle name="Normal 11 15 4" xfId="11273"/>
    <cellStyle name="Normal 11 16" xfId="11274"/>
    <cellStyle name="Normal 11 16 2" xfId="11275"/>
    <cellStyle name="Normal 11 16 3" xfId="11276"/>
    <cellStyle name="Normal 11 16 4" xfId="11277"/>
    <cellStyle name="Normal 11 17" xfId="11278"/>
    <cellStyle name="Normal 11 17 2" xfId="11279"/>
    <cellStyle name="Normal 11 17 3" xfId="11280"/>
    <cellStyle name="Normal 11 17 4" xfId="11281"/>
    <cellStyle name="Normal 11 18" xfId="11282"/>
    <cellStyle name="Normal 11 18 2" xfId="11283"/>
    <cellStyle name="Normal 11 18 2 2" xfId="11284"/>
    <cellStyle name="Normal 11 18 2 2 2" xfId="11285"/>
    <cellStyle name="Normal 11 18 2 3" xfId="11286"/>
    <cellStyle name="Normal 11 18 3" xfId="11287"/>
    <cellStyle name="Normal 11 18 3 2" xfId="11288"/>
    <cellStyle name="Normal 11 18 4" xfId="11289"/>
    <cellStyle name="Normal 11 19" xfId="11290"/>
    <cellStyle name="Normal 11 2" xfId="11291"/>
    <cellStyle name="Normal 11 2 2" xfId="11292"/>
    <cellStyle name="Normal 11 2 2 2" xfId="11293"/>
    <cellStyle name="Normal 11 2 2 2 2" xfId="11294"/>
    <cellStyle name="Normal 11 2 2 2 3" xfId="11295"/>
    <cellStyle name="Normal 11 2 2 2 4" xfId="18327"/>
    <cellStyle name="Normal 11 2 2 3" xfId="11296"/>
    <cellStyle name="Normal 11 2 2 3 2" xfId="11297"/>
    <cellStyle name="Normal 11 2 2 3 3" xfId="19063"/>
    <cellStyle name="Normal 11 2 2 4" xfId="11298"/>
    <cellStyle name="Normal 11 2 2 5" xfId="11299"/>
    <cellStyle name="Normal 11 2 2 6" xfId="11300"/>
    <cellStyle name="Normal 11 2 2 7" xfId="11301"/>
    <cellStyle name="Normal 11 2 2 8" xfId="17522"/>
    <cellStyle name="Normal 11 2 3" xfId="11302"/>
    <cellStyle name="Normal 11 2 3 2" xfId="11303"/>
    <cellStyle name="Normal 11 2 3 2 2" xfId="11304"/>
    <cellStyle name="Normal 11 2 3 3" xfId="11305"/>
    <cellStyle name="Normal 11 2 3 4" xfId="11306"/>
    <cellStyle name="Normal 11 2 3 5" xfId="18024"/>
    <cellStyle name="Normal 11 2 4" xfId="11307"/>
    <cellStyle name="Normal 11 2 4 2" xfId="11308"/>
    <cellStyle name="Normal 11 2 4 3" xfId="11309"/>
    <cellStyle name="Normal 11 2 4 4" xfId="18783"/>
    <cellStyle name="Normal 11 2 5" xfId="11310"/>
    <cellStyle name="Normal 11 2 6" xfId="11311"/>
    <cellStyle name="Normal 11 2 7" xfId="11312"/>
    <cellStyle name="Normal 11 2 8" xfId="11313"/>
    <cellStyle name="Normal 11 2 9" xfId="16972"/>
    <cellStyle name="Normal 11 20" xfId="11314"/>
    <cellStyle name="Normal 11 21" xfId="11315"/>
    <cellStyle name="Normal 11 22" xfId="16166"/>
    <cellStyle name="Normal 11 3" xfId="11316"/>
    <cellStyle name="Normal 11 3 2" xfId="11317"/>
    <cellStyle name="Normal 11 3 2 2" xfId="11318"/>
    <cellStyle name="Normal 11 3 2 2 2" xfId="18313"/>
    <cellStyle name="Normal 11 3 2 3" xfId="11319"/>
    <cellStyle name="Normal 11 3 2 3 2" xfId="19049"/>
    <cellStyle name="Normal 11 3 2 4" xfId="11320"/>
    <cellStyle name="Normal 11 3 2 5" xfId="11321"/>
    <cellStyle name="Normal 11 3 2 6" xfId="17508"/>
    <cellStyle name="Normal 11 3 3" xfId="11322"/>
    <cellStyle name="Normal 11 3 3 2" xfId="18021"/>
    <cellStyle name="Normal 11 3 4" xfId="11323"/>
    <cellStyle name="Normal 11 3 4 2" xfId="18780"/>
    <cellStyle name="Normal 11 3 5" xfId="11324"/>
    <cellStyle name="Normal 11 3 6" xfId="16937"/>
    <cellStyle name="Normal 11 4" xfId="11325"/>
    <cellStyle name="Normal 11 4 2" xfId="11326"/>
    <cellStyle name="Normal 11 4 2 2" xfId="11327"/>
    <cellStyle name="Normal 11 4 2 3" xfId="11328"/>
    <cellStyle name="Normal 11 4 2 4" xfId="11329"/>
    <cellStyle name="Normal 11 4 2 5" xfId="11330"/>
    <cellStyle name="Normal 11 4 2 6" xfId="11331"/>
    <cellStyle name="Normal 11 4 3" xfId="11332"/>
    <cellStyle name="Normal 11 4 3 2" xfId="11333"/>
    <cellStyle name="Normal 11 4 3 3" xfId="11334"/>
    <cellStyle name="Normal 11 4 4" xfId="11335"/>
    <cellStyle name="Normal 11 4 4 2" xfId="11336"/>
    <cellStyle name="Normal 11 4 5" xfId="11337"/>
    <cellStyle name="Normal 11 4 6" xfId="11338"/>
    <cellStyle name="Normal 11 4 7" xfId="11339"/>
    <cellStyle name="Normal 11 4 8" xfId="16772"/>
    <cellStyle name="Normal 11 5" xfId="11340"/>
    <cellStyle name="Normal 11 5 2" xfId="11341"/>
    <cellStyle name="Normal 11 5 2 2" xfId="11342"/>
    <cellStyle name="Normal 11 5 2 3" xfId="11343"/>
    <cellStyle name="Normal 11 5 2 4" xfId="11344"/>
    <cellStyle name="Normal 11 5 2 5" xfId="11345"/>
    <cellStyle name="Normal 11 5 2 6" xfId="11346"/>
    <cellStyle name="Normal 11 5 3" xfId="11347"/>
    <cellStyle name="Normal 11 5 3 2" xfId="11348"/>
    <cellStyle name="Normal 11 5 4" xfId="11349"/>
    <cellStyle name="Normal 11 5 4 2" xfId="11350"/>
    <cellStyle name="Normal 11 5 5" xfId="11351"/>
    <cellStyle name="Normal 11 5 6" xfId="11352"/>
    <cellStyle name="Normal 11 5 7" xfId="17824"/>
    <cellStyle name="Normal 11 6" xfId="11353"/>
    <cellStyle name="Normal 11 6 2" xfId="11354"/>
    <cellStyle name="Normal 11 6 2 2" xfId="11355"/>
    <cellStyle name="Normal 11 6 3" xfId="11356"/>
    <cellStyle name="Normal 11 6 4" xfId="11357"/>
    <cellStyle name="Normal 11 6 5" xfId="11358"/>
    <cellStyle name="Normal 11 6 6" xfId="16600"/>
    <cellStyle name="Normal 11 7" xfId="11359"/>
    <cellStyle name="Normal 11 7 2" xfId="11360"/>
    <cellStyle name="Normal 11 7 3" xfId="11361"/>
    <cellStyle name="Normal 11 7 4" xfId="11362"/>
    <cellStyle name="Normal 11 7 5" xfId="11363"/>
    <cellStyle name="Normal 11 8" xfId="11364"/>
    <cellStyle name="Normal 11 8 2" xfId="11365"/>
    <cellStyle name="Normal 11 8 3" xfId="11366"/>
    <cellStyle name="Normal 11 8 4" xfId="11367"/>
    <cellStyle name="Normal 11 8 5" xfId="11368"/>
    <cellStyle name="Normal 11 9" xfId="11369"/>
    <cellStyle name="Normal 11 9 2" xfId="11370"/>
    <cellStyle name="Normal 11 9 3" xfId="11371"/>
    <cellStyle name="Normal 11 9 4" xfId="11372"/>
    <cellStyle name="Normal 11 9 5" xfId="11373"/>
    <cellStyle name="Normal 110" xfId="11374"/>
    <cellStyle name="Normal 110 2" xfId="17152"/>
    <cellStyle name="Normal 110 3" xfId="16358"/>
    <cellStyle name="Normal 111" xfId="11375"/>
    <cellStyle name="Normal 111 2" xfId="17154"/>
    <cellStyle name="Normal 111 3" xfId="16360"/>
    <cellStyle name="Normal 112" xfId="11376"/>
    <cellStyle name="Normal 112 2" xfId="17156"/>
    <cellStyle name="Normal 112 3" xfId="16362"/>
    <cellStyle name="Normal 113" xfId="11377"/>
    <cellStyle name="Normal 113 2" xfId="17158"/>
    <cellStyle name="Normal 113 3" xfId="16364"/>
    <cellStyle name="Normal 114" xfId="11378"/>
    <cellStyle name="Normal 114 2" xfId="17160"/>
    <cellStyle name="Normal 114 3" xfId="16366"/>
    <cellStyle name="Normal 115" xfId="11379"/>
    <cellStyle name="Normal 115 2" xfId="17162"/>
    <cellStyle name="Normal 115 3" xfId="16368"/>
    <cellStyle name="Normal 116" xfId="11380"/>
    <cellStyle name="Normal 116 2" xfId="17164"/>
    <cellStyle name="Normal 116 3" xfId="16370"/>
    <cellStyle name="Normal 117" xfId="11381"/>
    <cellStyle name="Normal 117 2" xfId="17166"/>
    <cellStyle name="Normal 117 3" xfId="16372"/>
    <cellStyle name="Normal 118" xfId="11382"/>
    <cellStyle name="Normal 118 2" xfId="17168"/>
    <cellStyle name="Normal 118 3" xfId="16374"/>
    <cellStyle name="Normal 119" xfId="11383"/>
    <cellStyle name="Normal 119 2" xfId="17170"/>
    <cellStyle name="Normal 119 3" xfId="16376"/>
    <cellStyle name="Normal 12" xfId="1509"/>
    <cellStyle name="Normal 12 10" xfId="11384"/>
    <cellStyle name="Normal 12 10 2" xfId="11385"/>
    <cellStyle name="Normal 12 10 3" xfId="11386"/>
    <cellStyle name="Normal 12 10 4" xfId="11387"/>
    <cellStyle name="Normal 12 11" xfId="11388"/>
    <cellStyle name="Normal 12 11 2" xfId="11389"/>
    <cellStyle name="Normal 12 11 3" xfId="11390"/>
    <cellStyle name="Normal 12 11 4" xfId="11391"/>
    <cellStyle name="Normal 12 12" xfId="11392"/>
    <cellStyle name="Normal 12 12 2" xfId="11393"/>
    <cellStyle name="Normal 12 12 3" xfId="11394"/>
    <cellStyle name="Normal 12 12 4" xfId="11395"/>
    <cellStyle name="Normal 12 13" xfId="11396"/>
    <cellStyle name="Normal 12 13 2" xfId="11397"/>
    <cellStyle name="Normal 12 13 3" xfId="11398"/>
    <cellStyle name="Normal 12 13 4" xfId="11399"/>
    <cellStyle name="Normal 12 14" xfId="11400"/>
    <cellStyle name="Normal 12 14 2" xfId="11401"/>
    <cellStyle name="Normal 12 14 3" xfId="11402"/>
    <cellStyle name="Normal 12 14 4" xfId="11403"/>
    <cellStyle name="Normal 12 15" xfId="11404"/>
    <cellStyle name="Normal 12 15 2" xfId="11405"/>
    <cellStyle name="Normal 12 15 3" xfId="11406"/>
    <cellStyle name="Normal 12 15 4" xfId="11407"/>
    <cellStyle name="Normal 12 16" xfId="11408"/>
    <cellStyle name="Normal 12 16 2" xfId="11409"/>
    <cellStyle name="Normal 12 16 3" xfId="11410"/>
    <cellStyle name="Normal 12 16 4" xfId="11411"/>
    <cellStyle name="Normal 12 17" xfId="11412"/>
    <cellStyle name="Normal 12 17 2" xfId="11413"/>
    <cellStyle name="Normal 12 17 3" xfId="11414"/>
    <cellStyle name="Normal 12 17 4" xfId="11415"/>
    <cellStyle name="Normal 12 18" xfId="11416"/>
    <cellStyle name="Normal 12 18 2" xfId="11417"/>
    <cellStyle name="Normal 12 18 2 2" xfId="11418"/>
    <cellStyle name="Normal 12 18 2 2 2" xfId="11419"/>
    <cellStyle name="Normal 12 18 2 3" xfId="11420"/>
    <cellStyle name="Normal 12 18 3" xfId="11421"/>
    <cellStyle name="Normal 12 18 3 2" xfId="11422"/>
    <cellStyle name="Normal 12 18 4" xfId="11423"/>
    <cellStyle name="Normal 12 19" xfId="11424"/>
    <cellStyle name="Normal 12 2" xfId="11425"/>
    <cellStyle name="Normal 12 2 2" xfId="11426"/>
    <cellStyle name="Normal 12 2 2 2" xfId="11427"/>
    <cellStyle name="Normal 12 2 2 2 2" xfId="11428"/>
    <cellStyle name="Normal 12 2 2 2 3" xfId="11429"/>
    <cellStyle name="Normal 12 2 2 3" xfId="11430"/>
    <cellStyle name="Normal 12 2 2 3 2" xfId="11431"/>
    <cellStyle name="Normal 12 2 2 4" xfId="11432"/>
    <cellStyle name="Normal 12 2 2 5" xfId="11433"/>
    <cellStyle name="Normal 12 2 2 6" xfId="11434"/>
    <cellStyle name="Normal 12 2 2 7" xfId="11435"/>
    <cellStyle name="Normal 12 2 3" xfId="11436"/>
    <cellStyle name="Normal 12 2 3 2" xfId="11437"/>
    <cellStyle name="Normal 12 2 3 2 2" xfId="11438"/>
    <cellStyle name="Normal 12 2 3 2 2 2" xfId="18329"/>
    <cellStyle name="Normal 12 2 3 2 3" xfId="19065"/>
    <cellStyle name="Normal 12 2 3 2 4" xfId="17524"/>
    <cellStyle name="Normal 12 2 3 3" xfId="11439"/>
    <cellStyle name="Normal 12 2 3 3 2" xfId="18026"/>
    <cellStyle name="Normal 12 2 3 4" xfId="11440"/>
    <cellStyle name="Normal 12 2 3 4 2" xfId="18785"/>
    <cellStyle name="Normal 12 2 3 5" xfId="16975"/>
    <cellStyle name="Normal 12 2 4" xfId="11441"/>
    <cellStyle name="Normal 12 2 4 2" xfId="11442"/>
    <cellStyle name="Normal 12 2 4 3" xfId="11443"/>
    <cellStyle name="Normal 12 2 5" xfId="11444"/>
    <cellStyle name="Normal 12 2 5 2" xfId="17779"/>
    <cellStyle name="Normal 12 2 6" xfId="11445"/>
    <cellStyle name="Normal 12 2 6 2" xfId="16602"/>
    <cellStyle name="Normal 12 2 7" xfId="11446"/>
    <cellStyle name="Normal 12 2 8" xfId="11447"/>
    <cellStyle name="Normal 12 20" xfId="11448"/>
    <cellStyle name="Normal 12 21" xfId="11449"/>
    <cellStyle name="Normal 12 3" xfId="11450"/>
    <cellStyle name="Normal 12 3 2" xfId="11451"/>
    <cellStyle name="Normal 12 3 2 2" xfId="11452"/>
    <cellStyle name="Normal 12 3 2 3" xfId="11453"/>
    <cellStyle name="Normal 12 3 2 4" xfId="11454"/>
    <cellStyle name="Normal 12 3 2 5" xfId="11455"/>
    <cellStyle name="Normal 12 3 2 6" xfId="11456"/>
    <cellStyle name="Normal 12 3 3" xfId="11457"/>
    <cellStyle name="Normal 12 3 3 2" xfId="11458"/>
    <cellStyle name="Normal 12 3 3 3" xfId="11459"/>
    <cellStyle name="Normal 12 3 4" xfId="11460"/>
    <cellStyle name="Normal 12 3 4 2" xfId="11461"/>
    <cellStyle name="Normal 12 3 5" xfId="11462"/>
    <cellStyle name="Normal 12 3 6" xfId="11463"/>
    <cellStyle name="Normal 12 3 7" xfId="11464"/>
    <cellStyle name="Normal 12 4" xfId="11465"/>
    <cellStyle name="Normal 12 4 2" xfId="11466"/>
    <cellStyle name="Normal 12 4 2 2" xfId="11467"/>
    <cellStyle name="Normal 12 4 2 2 2" xfId="18315"/>
    <cellStyle name="Normal 12 4 2 3" xfId="11468"/>
    <cellStyle name="Normal 12 4 2 3 2" xfId="19051"/>
    <cellStyle name="Normal 12 4 2 4" xfId="11469"/>
    <cellStyle name="Normal 12 4 2 5" xfId="11470"/>
    <cellStyle name="Normal 12 4 2 6" xfId="11471"/>
    <cellStyle name="Normal 12 4 2 7" xfId="17510"/>
    <cellStyle name="Normal 12 4 3" xfId="11472"/>
    <cellStyle name="Normal 12 4 3 2" xfId="11473"/>
    <cellStyle name="Normal 12 4 3 3" xfId="18023"/>
    <cellStyle name="Normal 12 4 4" xfId="11474"/>
    <cellStyle name="Normal 12 4 4 2" xfId="11475"/>
    <cellStyle name="Normal 12 4 4 3" xfId="18782"/>
    <cellStyle name="Normal 12 4 5" xfId="11476"/>
    <cellStyle name="Normal 12 4 6" xfId="11477"/>
    <cellStyle name="Normal 12 4 7" xfId="16939"/>
    <cellStyle name="Normal 12 5" xfId="11478"/>
    <cellStyle name="Normal 12 5 2" xfId="11479"/>
    <cellStyle name="Normal 12 5 2 2" xfId="11480"/>
    <cellStyle name="Normal 12 5 2 3" xfId="11481"/>
    <cellStyle name="Normal 12 5 2 4" xfId="11482"/>
    <cellStyle name="Normal 12 5 2 5" xfId="11483"/>
    <cellStyle name="Normal 12 5 3" xfId="11484"/>
    <cellStyle name="Normal 12 5 3 2" xfId="11485"/>
    <cellStyle name="Normal 12 5 4" xfId="11486"/>
    <cellStyle name="Normal 12 5 4 2" xfId="11487"/>
    <cellStyle name="Normal 12 5 5" xfId="11488"/>
    <cellStyle name="Normal 12 5 6" xfId="11489"/>
    <cellStyle name="Normal 12 6" xfId="11490"/>
    <cellStyle name="Normal 12 6 2" xfId="11491"/>
    <cellStyle name="Normal 12 6 3" xfId="11492"/>
    <cellStyle name="Normal 12 6 4" xfId="11493"/>
    <cellStyle name="Normal 12 6 5" xfId="11494"/>
    <cellStyle name="Normal 12 6 6" xfId="17821"/>
    <cellStyle name="Normal 12 7" xfId="11495"/>
    <cellStyle name="Normal 12 7 2" xfId="11496"/>
    <cellStyle name="Normal 12 7 3" xfId="11497"/>
    <cellStyle name="Normal 12 7 4" xfId="11498"/>
    <cellStyle name="Normal 12 7 5" xfId="11499"/>
    <cellStyle name="Normal 12 7 6" xfId="16601"/>
    <cellStyle name="Normal 12 8" xfId="11500"/>
    <cellStyle name="Normal 12 8 2" xfId="11501"/>
    <cellStyle name="Normal 12 8 3" xfId="11502"/>
    <cellStyle name="Normal 12 8 4" xfId="11503"/>
    <cellStyle name="Normal 12 9" xfId="11504"/>
    <cellStyle name="Normal 12 9 2" xfId="11505"/>
    <cellStyle name="Normal 12 9 3" xfId="11506"/>
    <cellStyle name="Normal 12 9 4" xfId="11507"/>
    <cellStyle name="Normal 120" xfId="11508"/>
    <cellStyle name="Normal 120 2" xfId="17172"/>
    <cellStyle name="Normal 120 3" xfId="16378"/>
    <cellStyle name="Normal 121" xfId="11509"/>
    <cellStyle name="Normal 121 2" xfId="17174"/>
    <cellStyle name="Normal 121 3" xfId="16380"/>
    <cellStyle name="Normal 122" xfId="11510"/>
    <cellStyle name="Normal 122 2" xfId="17176"/>
    <cellStyle name="Normal 122 3" xfId="16382"/>
    <cellStyle name="Normal 123" xfId="11511"/>
    <cellStyle name="Normal 123 2" xfId="17178"/>
    <cellStyle name="Normal 123 3" xfId="16384"/>
    <cellStyle name="Normal 124" xfId="11512"/>
    <cellStyle name="Normal 124 2" xfId="17180"/>
    <cellStyle name="Normal 124 3" xfId="16386"/>
    <cellStyle name="Normal 125" xfId="11513"/>
    <cellStyle name="Normal 125 2" xfId="17182"/>
    <cellStyle name="Normal 125 3" xfId="16388"/>
    <cellStyle name="Normal 126" xfId="11514"/>
    <cellStyle name="Normal 126 2" xfId="17184"/>
    <cellStyle name="Normal 126 3" xfId="16390"/>
    <cellStyle name="Normal 127" xfId="11515"/>
    <cellStyle name="Normal 127 2" xfId="17186"/>
    <cellStyle name="Normal 127 3" xfId="16392"/>
    <cellStyle name="Normal 128" xfId="11516"/>
    <cellStyle name="Normal 128 2" xfId="17188"/>
    <cellStyle name="Normal 128 3" xfId="16394"/>
    <cellStyle name="Normal 129" xfId="11517"/>
    <cellStyle name="Normal 129 2" xfId="17190"/>
    <cellStyle name="Normal 129 3" xfId="16396"/>
    <cellStyle name="Normal 13" xfId="1510"/>
    <cellStyle name="Normal 13 10" xfId="11518"/>
    <cellStyle name="Normal 13 10 2" xfId="11519"/>
    <cellStyle name="Normal 13 10 3" xfId="11520"/>
    <cellStyle name="Normal 13 10 4" xfId="11521"/>
    <cellStyle name="Normal 13 11" xfId="11522"/>
    <cellStyle name="Normal 13 11 2" xfId="11523"/>
    <cellStyle name="Normal 13 11 3" xfId="11524"/>
    <cellStyle name="Normal 13 11 4" xfId="11525"/>
    <cellStyle name="Normal 13 12" xfId="11526"/>
    <cellStyle name="Normal 13 12 2" xfId="11527"/>
    <cellStyle name="Normal 13 12 3" xfId="11528"/>
    <cellStyle name="Normal 13 12 4" xfId="11529"/>
    <cellStyle name="Normal 13 13" xfId="11530"/>
    <cellStyle name="Normal 13 13 2" xfId="11531"/>
    <cellStyle name="Normal 13 13 3" xfId="11532"/>
    <cellStyle name="Normal 13 13 4" xfId="11533"/>
    <cellStyle name="Normal 13 14" xfId="11534"/>
    <cellStyle name="Normal 13 14 2" xfId="11535"/>
    <cellStyle name="Normal 13 14 3" xfId="11536"/>
    <cellStyle name="Normal 13 14 4" xfId="11537"/>
    <cellStyle name="Normal 13 15" xfId="11538"/>
    <cellStyle name="Normal 13 15 2" xfId="11539"/>
    <cellStyle name="Normal 13 15 3" xfId="11540"/>
    <cellStyle name="Normal 13 15 4" xfId="11541"/>
    <cellStyle name="Normal 13 16" xfId="11542"/>
    <cellStyle name="Normal 13 16 2" xfId="11543"/>
    <cellStyle name="Normal 13 16 3" xfId="11544"/>
    <cellStyle name="Normal 13 16 4" xfId="11545"/>
    <cellStyle name="Normal 13 17" xfId="11546"/>
    <cellStyle name="Normal 13 17 2" xfId="11547"/>
    <cellStyle name="Normal 13 17 3" xfId="11548"/>
    <cellStyle name="Normal 13 17 4" xfId="11549"/>
    <cellStyle name="Normal 13 18" xfId="11550"/>
    <cellStyle name="Normal 13 18 2" xfId="11551"/>
    <cellStyle name="Normal 13 18 2 2" xfId="11552"/>
    <cellStyle name="Normal 13 18 2 2 2" xfId="11553"/>
    <cellStyle name="Normal 13 18 2 3" xfId="11554"/>
    <cellStyle name="Normal 13 18 3" xfId="11555"/>
    <cellStyle name="Normal 13 18 3 2" xfId="11556"/>
    <cellStyle name="Normal 13 18 4" xfId="11557"/>
    <cellStyle name="Normal 13 19" xfId="11558"/>
    <cellStyle name="Normal 13 2" xfId="11559"/>
    <cellStyle name="Normal 13 2 2" xfId="11560"/>
    <cellStyle name="Normal 13 2 2 2" xfId="11561"/>
    <cellStyle name="Normal 13 2 2 2 2" xfId="11562"/>
    <cellStyle name="Normal 13 2 2 2 3" xfId="11563"/>
    <cellStyle name="Normal 13 2 2 3" xfId="11564"/>
    <cellStyle name="Normal 13 2 2 3 2" xfId="11565"/>
    <cellStyle name="Normal 13 2 2 4" xfId="11566"/>
    <cellStyle name="Normal 13 2 2 5" xfId="11567"/>
    <cellStyle name="Normal 13 2 3" xfId="11568"/>
    <cellStyle name="Normal 13 2 3 2" xfId="11569"/>
    <cellStyle name="Normal 13 2 3 2 2" xfId="11570"/>
    <cellStyle name="Normal 13 2 3 3" xfId="11571"/>
    <cellStyle name="Normal 13 2 3 4" xfId="11572"/>
    <cellStyle name="Normal 13 2 4" xfId="11573"/>
    <cellStyle name="Normal 13 2 4 2" xfId="11574"/>
    <cellStyle name="Normal 13 2 4 3" xfId="11575"/>
    <cellStyle name="Normal 13 2 5" xfId="11576"/>
    <cellStyle name="Normal 13 2 6" xfId="11577"/>
    <cellStyle name="Normal 13 2 7" xfId="16239"/>
    <cellStyle name="Normal 13 20" xfId="11578"/>
    <cellStyle name="Normal 13 21" xfId="11579"/>
    <cellStyle name="Normal 13 3" xfId="11580"/>
    <cellStyle name="Normal 13 3 2" xfId="11581"/>
    <cellStyle name="Normal 13 3 2 2" xfId="11582"/>
    <cellStyle name="Normal 13 3 2 3" xfId="11583"/>
    <cellStyle name="Normal 13 3 2 4" xfId="11584"/>
    <cellStyle name="Normal 13 3 2 5" xfId="17047"/>
    <cellStyle name="Normal 13 3 3" xfId="11585"/>
    <cellStyle name="Normal 13 3 3 2" xfId="11586"/>
    <cellStyle name="Normal 13 3 3 2 2" xfId="18330"/>
    <cellStyle name="Normal 13 3 3 3" xfId="11587"/>
    <cellStyle name="Normal 13 3 3 3 2" xfId="19066"/>
    <cellStyle name="Normal 13 3 3 4" xfId="17525"/>
    <cellStyle name="Normal 13 3 4" xfId="11588"/>
    <cellStyle name="Normal 13 3 4 2" xfId="11589"/>
    <cellStyle name="Normal 13 3 4 3" xfId="18027"/>
    <cellStyle name="Normal 13 3 5" xfId="11590"/>
    <cellStyle name="Normal 13 3 5 2" xfId="18786"/>
    <cellStyle name="Normal 13 3 6" xfId="16976"/>
    <cellStyle name="Normal 13 3 7" xfId="16231"/>
    <cellStyle name="Normal 13 4" xfId="11591"/>
    <cellStyle name="Normal 13 4 2" xfId="11592"/>
    <cellStyle name="Normal 13 4 2 2" xfId="11593"/>
    <cellStyle name="Normal 13 4 2 3" xfId="11594"/>
    <cellStyle name="Normal 13 4 3" xfId="11595"/>
    <cellStyle name="Normal 13 4 3 2" xfId="11596"/>
    <cellStyle name="Normal 13 4 4" xfId="11597"/>
    <cellStyle name="Normal 13 4 5" xfId="11598"/>
    <cellStyle name="Normal 13 4 6" xfId="16225"/>
    <cellStyle name="Normal 13 5" xfId="11599"/>
    <cellStyle name="Normal 13 5 2" xfId="11600"/>
    <cellStyle name="Normal 13 5 2 2" xfId="11601"/>
    <cellStyle name="Normal 13 5 2 3" xfId="16788"/>
    <cellStyle name="Normal 13 5 3" xfId="11602"/>
    <cellStyle name="Normal 13 5 4" xfId="11603"/>
    <cellStyle name="Normal 13 5 5" xfId="11604"/>
    <cellStyle name="Normal 13 5 6" xfId="16224"/>
    <cellStyle name="Normal 13 6" xfId="11605"/>
    <cellStyle name="Normal 13 6 2" xfId="11606"/>
    <cellStyle name="Normal 13 6 3" xfId="11607"/>
    <cellStyle name="Normal 13 6 4" xfId="11608"/>
    <cellStyle name="Normal 13 6 5" xfId="11609"/>
    <cellStyle name="Normal 13 6 6" xfId="17993"/>
    <cellStyle name="Normal 13 7" xfId="11610"/>
    <cellStyle name="Normal 13 7 2" xfId="11611"/>
    <cellStyle name="Normal 13 7 3" xfId="11612"/>
    <cellStyle name="Normal 13 7 4" xfId="11613"/>
    <cellStyle name="Normal 13 7 5" xfId="11614"/>
    <cellStyle name="Normal 13 7 6" xfId="18628"/>
    <cellStyle name="Normal 13 8" xfId="11615"/>
    <cellStyle name="Normal 13 8 2" xfId="11616"/>
    <cellStyle name="Normal 13 8 3" xfId="11617"/>
    <cellStyle name="Normal 13 8 4" xfId="11618"/>
    <cellStyle name="Normal 13 8 5" xfId="16603"/>
    <cellStyle name="Normal 13 9" xfId="11619"/>
    <cellStyle name="Normal 13 9 2" xfId="11620"/>
    <cellStyle name="Normal 13 9 3" xfId="11621"/>
    <cellStyle name="Normal 13 9 4" xfId="11622"/>
    <cellStyle name="Normal 130" xfId="11623"/>
    <cellStyle name="Normal 130 2" xfId="17192"/>
    <cellStyle name="Normal 130 3" xfId="16398"/>
    <cellStyle name="Normal 131" xfId="11624"/>
    <cellStyle name="Normal 131 2" xfId="17194"/>
    <cellStyle name="Normal 131 3" xfId="16400"/>
    <cellStyle name="Normal 132" xfId="11625"/>
    <cellStyle name="Normal 132 2" xfId="17196"/>
    <cellStyle name="Normal 132 3" xfId="16402"/>
    <cellStyle name="Normal 133" xfId="11626"/>
    <cellStyle name="Normal 133 2" xfId="17198"/>
    <cellStyle name="Normal 133 3" xfId="16404"/>
    <cellStyle name="Normal 134" xfId="11627"/>
    <cellStyle name="Normal 134 2" xfId="17200"/>
    <cellStyle name="Normal 134 3" xfId="16406"/>
    <cellStyle name="Normal 135" xfId="11628"/>
    <cellStyle name="Normal 135 2" xfId="17202"/>
    <cellStyle name="Normal 135 3" xfId="16408"/>
    <cellStyle name="Normal 136" xfId="11629"/>
    <cellStyle name="Normal 136 2" xfId="17204"/>
    <cellStyle name="Normal 136 3" xfId="16410"/>
    <cellStyle name="Normal 137" xfId="11630"/>
    <cellStyle name="Normal 137 2" xfId="17206"/>
    <cellStyle name="Normal 137 3" xfId="16412"/>
    <cellStyle name="Normal 138" xfId="11631"/>
    <cellStyle name="Normal 138 2" xfId="17208"/>
    <cellStyle name="Normal 138 3" xfId="16414"/>
    <cellStyle name="Normal 139" xfId="11632"/>
    <cellStyle name="Normal 139 2" xfId="17210"/>
    <cellStyle name="Normal 139 3" xfId="16416"/>
    <cellStyle name="Normal 14" xfId="1511"/>
    <cellStyle name="Normal 14 10" xfId="11633"/>
    <cellStyle name="Normal 14 10 2" xfId="11634"/>
    <cellStyle name="Normal 14 10 3" xfId="11635"/>
    <cellStyle name="Normal 14 10 4" xfId="11636"/>
    <cellStyle name="Normal 14 11" xfId="11637"/>
    <cellStyle name="Normal 14 11 2" xfId="11638"/>
    <cellStyle name="Normal 14 11 3" xfId="11639"/>
    <cellStyle name="Normal 14 11 4" xfId="11640"/>
    <cellStyle name="Normal 14 12" xfId="11641"/>
    <cellStyle name="Normal 14 12 2" xfId="11642"/>
    <cellStyle name="Normal 14 12 3" xfId="11643"/>
    <cellStyle name="Normal 14 12 4" xfId="11644"/>
    <cellStyle name="Normal 14 13" xfId="11645"/>
    <cellStyle name="Normal 14 13 2" xfId="11646"/>
    <cellStyle name="Normal 14 13 3" xfId="11647"/>
    <cellStyle name="Normal 14 13 4" xfId="11648"/>
    <cellStyle name="Normal 14 14" xfId="11649"/>
    <cellStyle name="Normal 14 14 2" xfId="11650"/>
    <cellStyle name="Normal 14 14 3" xfId="11651"/>
    <cellStyle name="Normal 14 14 4" xfId="11652"/>
    <cellStyle name="Normal 14 15" xfId="11653"/>
    <cellStyle name="Normal 14 15 2" xfId="11654"/>
    <cellStyle name="Normal 14 15 3" xfId="11655"/>
    <cellStyle name="Normal 14 15 4" xfId="11656"/>
    <cellStyle name="Normal 14 16" xfId="11657"/>
    <cellStyle name="Normal 14 16 2" xfId="11658"/>
    <cellStyle name="Normal 14 16 3" xfId="11659"/>
    <cellStyle name="Normal 14 16 4" xfId="11660"/>
    <cellStyle name="Normal 14 17" xfId="11661"/>
    <cellStyle name="Normal 14 17 2" xfId="11662"/>
    <cellStyle name="Normal 14 17 3" xfId="11663"/>
    <cellStyle name="Normal 14 17 4" xfId="11664"/>
    <cellStyle name="Normal 14 18" xfId="11665"/>
    <cellStyle name="Normal 14 18 2" xfId="11666"/>
    <cellStyle name="Normal 14 18 2 2" xfId="11667"/>
    <cellStyle name="Normal 14 18 2 2 2" xfId="11668"/>
    <cellStyle name="Normal 14 18 2 3" xfId="11669"/>
    <cellStyle name="Normal 14 18 3" xfId="11670"/>
    <cellStyle name="Normal 14 18 3 2" xfId="11671"/>
    <cellStyle name="Normal 14 18 4" xfId="11672"/>
    <cellStyle name="Normal 14 19" xfId="11673"/>
    <cellStyle name="Normal 14 2" xfId="11674"/>
    <cellStyle name="Normal 14 2 2" xfId="11675"/>
    <cellStyle name="Normal 14 2 2 2" xfId="11676"/>
    <cellStyle name="Normal 14 2 2 2 2" xfId="11677"/>
    <cellStyle name="Normal 14 2 2 2 3" xfId="11678"/>
    <cellStyle name="Normal 14 2 2 3" xfId="11679"/>
    <cellStyle name="Normal 14 2 2 3 2" xfId="11680"/>
    <cellStyle name="Normal 14 2 2 4" xfId="11681"/>
    <cellStyle name="Normal 14 2 2 5" xfId="11682"/>
    <cellStyle name="Normal 14 2 2 6" xfId="11683"/>
    <cellStyle name="Normal 14 2 2 7" xfId="11684"/>
    <cellStyle name="Normal 14 2 3" xfId="11685"/>
    <cellStyle name="Normal 14 2 3 2" xfId="11686"/>
    <cellStyle name="Normal 14 2 3 2 2" xfId="11687"/>
    <cellStyle name="Normal 14 2 3 3" xfId="11688"/>
    <cellStyle name="Normal 14 2 3 4" xfId="11689"/>
    <cellStyle name="Normal 14 2 4" xfId="11690"/>
    <cellStyle name="Normal 14 2 4 2" xfId="11691"/>
    <cellStyle name="Normal 14 2 4 3" xfId="11692"/>
    <cellStyle name="Normal 14 2 5" xfId="11693"/>
    <cellStyle name="Normal 14 2 6" xfId="11694"/>
    <cellStyle name="Normal 14 2 7" xfId="11695"/>
    <cellStyle name="Normal 14 2 8" xfId="11696"/>
    <cellStyle name="Normal 14 20" xfId="11697"/>
    <cellStyle name="Normal 14 21" xfId="11698"/>
    <cellStyle name="Normal 14 3" xfId="11699"/>
    <cellStyle name="Normal 14 3 2" xfId="11700"/>
    <cellStyle name="Normal 14 3 2 2" xfId="11701"/>
    <cellStyle name="Normal 14 3 2 3" xfId="11702"/>
    <cellStyle name="Normal 14 3 2 4" xfId="11703"/>
    <cellStyle name="Normal 14 3 2 5" xfId="11704"/>
    <cellStyle name="Normal 14 3 2 6" xfId="11705"/>
    <cellStyle name="Normal 14 3 3" xfId="11706"/>
    <cellStyle name="Normal 14 3 3 2" xfId="11707"/>
    <cellStyle name="Normal 14 3 3 3" xfId="11708"/>
    <cellStyle name="Normal 14 3 4" xfId="11709"/>
    <cellStyle name="Normal 14 3 4 2" xfId="11710"/>
    <cellStyle name="Normal 14 3 5" xfId="11711"/>
    <cellStyle name="Normal 14 3 6" xfId="11712"/>
    <cellStyle name="Normal 14 3 7" xfId="11713"/>
    <cellStyle name="Normal 14 3 8" xfId="19821"/>
    <cellStyle name="Normal 14 4" xfId="11714"/>
    <cellStyle name="Normal 14 4 2" xfId="11715"/>
    <cellStyle name="Normal 14 4 2 2" xfId="11716"/>
    <cellStyle name="Normal 14 4 2 3" xfId="11717"/>
    <cellStyle name="Normal 14 4 2 4" xfId="11718"/>
    <cellStyle name="Normal 14 4 2 5" xfId="11719"/>
    <cellStyle name="Normal 14 4 2 6" xfId="11720"/>
    <cellStyle name="Normal 14 4 3" xfId="11721"/>
    <cellStyle name="Normal 14 4 3 2" xfId="11722"/>
    <cellStyle name="Normal 14 4 4" xfId="11723"/>
    <cellStyle name="Normal 14 4 4 2" xfId="11724"/>
    <cellStyle name="Normal 14 4 5" xfId="11725"/>
    <cellStyle name="Normal 14 4 6" xfId="11726"/>
    <cellStyle name="Normal 14 4 7" xfId="17907"/>
    <cellStyle name="Normal 14 5" xfId="11727"/>
    <cellStyle name="Normal 14 5 2" xfId="11728"/>
    <cellStyle name="Normal 14 5 2 2" xfId="11729"/>
    <cellStyle name="Normal 14 5 2 3" xfId="11730"/>
    <cellStyle name="Normal 14 5 2 4" xfId="11731"/>
    <cellStyle name="Normal 14 5 2 5" xfId="11732"/>
    <cellStyle name="Normal 14 5 3" xfId="11733"/>
    <cellStyle name="Normal 14 5 3 2" xfId="11734"/>
    <cellStyle name="Normal 14 5 4" xfId="11735"/>
    <cellStyle name="Normal 14 5 4 2" xfId="11736"/>
    <cellStyle name="Normal 14 5 5" xfId="11737"/>
    <cellStyle name="Normal 14 5 6" xfId="11738"/>
    <cellStyle name="Normal 14 5 7" xfId="16604"/>
    <cellStyle name="Normal 14 6" xfId="11739"/>
    <cellStyle name="Normal 14 6 2" xfId="11740"/>
    <cellStyle name="Normal 14 6 3" xfId="11741"/>
    <cellStyle name="Normal 14 6 4" xfId="11742"/>
    <cellStyle name="Normal 14 6 5" xfId="11743"/>
    <cellStyle name="Normal 14 7" xfId="11744"/>
    <cellStyle name="Normal 14 7 2" xfId="11745"/>
    <cellStyle name="Normal 14 7 3" xfId="11746"/>
    <cellStyle name="Normal 14 7 4" xfId="11747"/>
    <cellStyle name="Normal 14 8" xfId="11748"/>
    <cellStyle name="Normal 14 8 2" xfId="11749"/>
    <cellStyle name="Normal 14 8 3" xfId="11750"/>
    <cellStyle name="Normal 14 8 4" xfId="11751"/>
    <cellStyle name="Normal 14 9" xfId="11752"/>
    <cellStyle name="Normal 14 9 2" xfId="11753"/>
    <cellStyle name="Normal 14 9 3" xfId="11754"/>
    <cellStyle name="Normal 14 9 4" xfId="11755"/>
    <cellStyle name="Normal 140" xfId="11756"/>
    <cellStyle name="Normal 140 2" xfId="17212"/>
    <cellStyle name="Normal 140 3" xfId="16418"/>
    <cellStyle name="Normal 141" xfId="11757"/>
    <cellStyle name="Normal 141 2" xfId="17214"/>
    <cellStyle name="Normal 141 3" xfId="16420"/>
    <cellStyle name="Normal 142" xfId="11758"/>
    <cellStyle name="Normal 142 2" xfId="17216"/>
    <cellStyle name="Normal 142 3" xfId="16422"/>
    <cellStyle name="Normal 143" xfId="11759"/>
    <cellStyle name="Normal 143 2" xfId="17218"/>
    <cellStyle name="Normal 143 3" xfId="16424"/>
    <cellStyle name="Normal 144" xfId="11760"/>
    <cellStyle name="Normal 144 2" xfId="17220"/>
    <cellStyle name="Normal 144 3" xfId="16426"/>
    <cellStyle name="Normal 145" xfId="11761"/>
    <cellStyle name="Normal 145 2" xfId="17222"/>
    <cellStyle name="Normal 145 3" xfId="16428"/>
    <cellStyle name="Normal 146" xfId="11762"/>
    <cellStyle name="Normal 146 2" xfId="17224"/>
    <cellStyle name="Normal 146 3" xfId="16430"/>
    <cellStyle name="Normal 147" xfId="11763"/>
    <cellStyle name="Normal 147 2" xfId="17226"/>
    <cellStyle name="Normal 147 3" xfId="16432"/>
    <cellStyle name="Normal 148" xfId="11764"/>
    <cellStyle name="Normal 148 2" xfId="17228"/>
    <cellStyle name="Normal 148 3" xfId="16434"/>
    <cellStyle name="Normal 149" xfId="11765"/>
    <cellStyle name="Normal 149 2" xfId="17230"/>
    <cellStyle name="Normal 149 3" xfId="16436"/>
    <cellStyle name="Normal 15" xfId="1512"/>
    <cellStyle name="Normal 15 10" xfId="11766"/>
    <cellStyle name="Normal 15 2" xfId="11767"/>
    <cellStyle name="Normal 15 2 2" xfId="11768"/>
    <cellStyle name="Normal 15 2 2 2" xfId="11769"/>
    <cellStyle name="Normal 15 2 2 2 2" xfId="11770"/>
    <cellStyle name="Normal 15 2 2 3" xfId="11771"/>
    <cellStyle name="Normal 15 2 2 4" xfId="11772"/>
    <cellStyle name="Normal 15 2 3" xfId="11773"/>
    <cellStyle name="Normal 15 2 3 2" xfId="11774"/>
    <cellStyle name="Normal 15 2 4" xfId="11775"/>
    <cellStyle name="Normal 15 2 5" xfId="11776"/>
    <cellStyle name="Normal 15 3" xfId="11777"/>
    <cellStyle name="Normal 15 3 2" xfId="11778"/>
    <cellStyle name="Normal 15 3 2 2" xfId="11779"/>
    <cellStyle name="Normal 15 3 2 2 2" xfId="11780"/>
    <cellStyle name="Normal 15 3 2 3" xfId="11781"/>
    <cellStyle name="Normal 15 3 2 4" xfId="11782"/>
    <cellStyle name="Normal 15 3 3" xfId="11783"/>
    <cellStyle name="Normal 15 3 3 2" xfId="11784"/>
    <cellStyle name="Normal 15 3 4" xfId="11785"/>
    <cellStyle name="Normal 15 3 5" xfId="11786"/>
    <cellStyle name="Normal 15 3 6" xfId="19861"/>
    <cellStyle name="Normal 15 4" xfId="11787"/>
    <cellStyle name="Normal 15 4 2" xfId="11788"/>
    <cellStyle name="Normal 15 4 2 2" xfId="11789"/>
    <cellStyle name="Normal 15 4 2 2 2" xfId="11790"/>
    <cellStyle name="Normal 15 4 2 3" xfId="11791"/>
    <cellStyle name="Normal 15 4 2 4" xfId="11792"/>
    <cellStyle name="Normal 15 4 3" xfId="11793"/>
    <cellStyle name="Normal 15 4 3 2" xfId="11794"/>
    <cellStyle name="Normal 15 4 4" xfId="11795"/>
    <cellStyle name="Normal 15 4 5" xfId="11796"/>
    <cellStyle name="Normal 15 4 6" xfId="17793"/>
    <cellStyle name="Normal 15 5" xfId="11797"/>
    <cellStyle name="Normal 15 5 2" xfId="11798"/>
    <cellStyle name="Normal 15 5 2 2" xfId="11799"/>
    <cellStyle name="Normal 15 5 2 3" xfId="11800"/>
    <cellStyle name="Normal 15 5 3" xfId="11801"/>
    <cellStyle name="Normal 15 5 4" xfId="11802"/>
    <cellStyle name="Normal 15 5 5" xfId="16558"/>
    <cellStyle name="Normal 15 6" xfId="11803"/>
    <cellStyle name="Normal 15 6 2" xfId="11804"/>
    <cellStyle name="Normal 15 7" xfId="11805"/>
    <cellStyle name="Normal 15 8" xfId="11806"/>
    <cellStyle name="Normal 15 9" xfId="11807"/>
    <cellStyle name="Normal 150" xfId="11808"/>
    <cellStyle name="Normal 150 2" xfId="17232"/>
    <cellStyle name="Normal 150 3" xfId="16438"/>
    <cellStyle name="Normal 151" xfId="11809"/>
    <cellStyle name="Normal 151 2" xfId="17234"/>
    <cellStyle name="Normal 151 3" xfId="16440"/>
    <cellStyle name="Normal 152" xfId="11810"/>
    <cellStyle name="Normal 152 2" xfId="17236"/>
    <cellStyle name="Normal 152 3" xfId="16442"/>
    <cellStyle name="Normal 153" xfId="11811"/>
    <cellStyle name="Normal 153 2" xfId="17238"/>
    <cellStyle name="Normal 153 3" xfId="16444"/>
    <cellStyle name="Normal 154" xfId="11812"/>
    <cellStyle name="Normal 154 2" xfId="17240"/>
    <cellStyle name="Normal 154 3" xfId="16446"/>
    <cellStyle name="Normal 155" xfId="11813"/>
    <cellStyle name="Normal 155 2" xfId="17242"/>
    <cellStyle name="Normal 155 3" xfId="16448"/>
    <cellStyle name="Normal 156" xfId="11814"/>
    <cellStyle name="Normal 156 2" xfId="17244"/>
    <cellStyle name="Normal 156 3" xfId="16450"/>
    <cellStyle name="Normal 157" xfId="11815"/>
    <cellStyle name="Normal 157 2" xfId="17246"/>
    <cellStyle name="Normal 157 3" xfId="16452"/>
    <cellStyle name="Normal 158" xfId="11816"/>
    <cellStyle name="Normal 158 2" xfId="17248"/>
    <cellStyle name="Normal 158 3" xfId="16454"/>
    <cellStyle name="Normal 159" xfId="11817"/>
    <cellStyle name="Normal 159 2" xfId="17250"/>
    <cellStyle name="Normal 159 3" xfId="16456"/>
    <cellStyle name="Normal 16" xfId="1513"/>
    <cellStyle name="Normal 16 2" xfId="11818"/>
    <cellStyle name="Normal 16 2 2" xfId="11819"/>
    <cellStyle name="Normal 16 2 2 2" xfId="11820"/>
    <cellStyle name="Normal 16 2 2 2 2" xfId="11821"/>
    <cellStyle name="Normal 16 2 2 3" xfId="11822"/>
    <cellStyle name="Normal 16 2 3" xfId="11823"/>
    <cellStyle name="Normal 16 2 3 2" xfId="11824"/>
    <cellStyle name="Normal 16 2 4" xfId="11825"/>
    <cellStyle name="Normal 16 2 5" xfId="11826"/>
    <cellStyle name="Normal 16 3" xfId="11827"/>
    <cellStyle name="Normal 16 4" xfId="11828"/>
    <cellStyle name="Normal 16 5" xfId="11829"/>
    <cellStyle name="Normal 16 6" xfId="11830"/>
    <cellStyle name="Normal 16 7" xfId="11831"/>
    <cellStyle name="Normal 16 8" xfId="11832"/>
    <cellStyle name="Normal 160" xfId="15962"/>
    <cellStyle name="Normal 160 2" xfId="17252"/>
    <cellStyle name="Normal 160 3" xfId="16458"/>
    <cellStyle name="Normal 161" xfId="16004"/>
    <cellStyle name="Normal 161 2" xfId="17254"/>
    <cellStyle name="Normal 161 3" xfId="16460"/>
    <cellStyle name="Normal 162" xfId="16027"/>
    <cellStyle name="Normal 162 2" xfId="17256"/>
    <cellStyle name="Normal 162 3" xfId="16462"/>
    <cellStyle name="Normal 163" xfId="16029"/>
    <cellStyle name="Normal 163 2" xfId="17258"/>
    <cellStyle name="Normal 163 3" xfId="16464"/>
    <cellStyle name="Normal 164" xfId="16007"/>
    <cellStyle name="Normal 164 2" xfId="17260"/>
    <cellStyle name="Normal 164 3" xfId="16466"/>
    <cellStyle name="Normal 164 4" xfId="19579"/>
    <cellStyle name="Normal 165" xfId="16031"/>
    <cellStyle name="Normal 165 2" xfId="17262"/>
    <cellStyle name="Normal 165 3" xfId="16468"/>
    <cellStyle name="Normal 166" xfId="16033"/>
    <cellStyle name="Normal 166 2" xfId="17264"/>
    <cellStyle name="Normal 166 3" xfId="16470"/>
    <cellStyle name="Normal 167" xfId="16035"/>
    <cellStyle name="Normal 167 2" xfId="17266"/>
    <cellStyle name="Normal 167 3" xfId="16472"/>
    <cellStyle name="Normal 168" xfId="16037"/>
    <cellStyle name="Normal 168 2" xfId="17268"/>
    <cellStyle name="Normal 168 3" xfId="16474"/>
    <cellStyle name="Normal 169" xfId="16039"/>
    <cellStyle name="Normal 169 2" xfId="17270"/>
    <cellStyle name="Normal 169 3" xfId="16476"/>
    <cellStyle name="Normal 17" xfId="1514"/>
    <cellStyle name="Normal 17 10" xfId="19914"/>
    <cellStyle name="Normal 17 2" xfId="11833"/>
    <cellStyle name="Normal 17 2 2" xfId="11834"/>
    <cellStyle name="Normal 17 2 2 2" xfId="11835"/>
    <cellStyle name="Normal 17 2 2 2 2" xfId="11836"/>
    <cellStyle name="Normal 17 2 2 3" xfId="11837"/>
    <cellStyle name="Normal 17 2 3" xfId="11838"/>
    <cellStyle name="Normal 17 2 3 2" xfId="11839"/>
    <cellStyle name="Normal 17 2 4" xfId="11840"/>
    <cellStyle name="Normal 17 2 5" xfId="11841"/>
    <cellStyle name="Normal 17 2 6" xfId="17052"/>
    <cellStyle name="Normal 17 3" xfId="11842"/>
    <cellStyle name="Normal 17 4" xfId="11843"/>
    <cellStyle name="Normal 17 5" xfId="11844"/>
    <cellStyle name="Normal 17 6" xfId="11845"/>
    <cellStyle name="Normal 17 7" xfId="11846"/>
    <cellStyle name="Normal 17 8" xfId="11847"/>
    <cellStyle name="Normal 17 9" xfId="11848"/>
    <cellStyle name="Normal 170" xfId="16041"/>
    <cellStyle name="Normal 170 2" xfId="17272"/>
    <cellStyle name="Normal 170 3" xfId="16478"/>
    <cellStyle name="Normal 171" xfId="16043"/>
    <cellStyle name="Normal 171 2" xfId="17274"/>
    <cellStyle name="Normal 171 3" xfId="16480"/>
    <cellStyle name="Normal 172" xfId="16045"/>
    <cellStyle name="Normal 172 2" xfId="17276"/>
    <cellStyle name="Normal 172 3" xfId="16482"/>
    <cellStyle name="Normal 173" xfId="16047"/>
    <cellStyle name="Normal 173 2" xfId="17039"/>
    <cellStyle name="Normal 173 3" xfId="19498"/>
    <cellStyle name="Normal 173 4" xfId="16221"/>
    <cellStyle name="Normal 173 5" xfId="19599"/>
    <cellStyle name="Normal 174" xfId="16049"/>
    <cellStyle name="Normal 174 2" xfId="18004"/>
    <cellStyle name="Normal 174 3" xfId="18762"/>
    <cellStyle name="Normal 174 4" xfId="16859"/>
    <cellStyle name="Normal 174 5" xfId="19600"/>
    <cellStyle name="Normal 175" xfId="16051"/>
    <cellStyle name="Normal 175 2" xfId="18008"/>
    <cellStyle name="Normal 175 3" xfId="18766"/>
    <cellStyle name="Normal 175 4" xfId="16863"/>
    <cellStyle name="Normal 175 5" xfId="19601"/>
    <cellStyle name="Normal 176" xfId="16053"/>
    <cellStyle name="Normal 176 2" xfId="18013"/>
    <cellStyle name="Normal 176 3" xfId="18771"/>
    <cellStyle name="Normal 176 4" xfId="16868"/>
    <cellStyle name="Normal 176 5" xfId="19602"/>
    <cellStyle name="Normal 177" xfId="16055"/>
    <cellStyle name="Normal 177 2" xfId="18100"/>
    <cellStyle name="Normal 177 3" xfId="18836"/>
    <cellStyle name="Normal 177 4" xfId="17295"/>
    <cellStyle name="Normal 177 5" xfId="19603"/>
    <cellStyle name="Normal 177 5 2" xfId="19924"/>
    <cellStyle name="Normal 178" xfId="16057"/>
    <cellStyle name="Normal 178 2" xfId="18007"/>
    <cellStyle name="Normal 178 3" xfId="18765"/>
    <cellStyle name="Normal 178 4" xfId="16862"/>
    <cellStyle name="Normal 179" xfId="16082"/>
    <cellStyle name="Normal 179 2" xfId="18009"/>
    <cellStyle name="Normal 179 3" xfId="18767"/>
    <cellStyle name="Normal 179 4" xfId="16864"/>
    <cellStyle name="Normal 18" xfId="1515"/>
    <cellStyle name="Normal 18 2" xfId="11849"/>
    <cellStyle name="Normal 18 3" xfId="11850"/>
    <cellStyle name="Normal 18 4" xfId="11851"/>
    <cellStyle name="Normal 18 5" xfId="11852"/>
    <cellStyle name="Normal 18 6" xfId="11853"/>
    <cellStyle name="Normal 18 7" xfId="11854"/>
    <cellStyle name="Normal 18 8" xfId="11855"/>
    <cellStyle name="Normal 18 9" xfId="11856"/>
    <cellStyle name="Normal 180" xfId="16084"/>
    <cellStyle name="Normal 180 2" xfId="18015"/>
    <cellStyle name="Normal 180 3" xfId="18773"/>
    <cellStyle name="Normal 180 4" xfId="16870"/>
    <cellStyle name="Normal 181" xfId="16085"/>
    <cellStyle name="Normal 181 2" xfId="18011"/>
    <cellStyle name="Normal 181 3" xfId="18769"/>
    <cellStyle name="Normal 181 4" xfId="16866"/>
    <cellStyle name="Normal 182" xfId="16086"/>
    <cellStyle name="Normal 182 2" xfId="18098"/>
    <cellStyle name="Normal 182 3" xfId="18834"/>
    <cellStyle name="Normal 182 4" xfId="17293"/>
    <cellStyle name="Normal 183" xfId="16087"/>
    <cellStyle name="Normal 183 2" xfId="18102"/>
    <cellStyle name="Normal 183 3" xfId="18838"/>
    <cellStyle name="Normal 183 4" xfId="17297"/>
    <cellStyle name="Normal 183 5" xfId="19604"/>
    <cellStyle name="Normal 184" xfId="16088"/>
    <cellStyle name="Normal 184 2" xfId="18095"/>
    <cellStyle name="Normal 184 3" xfId="18831"/>
    <cellStyle name="Normal 184 4" xfId="17290"/>
    <cellStyle name="Normal 184 5" xfId="19605"/>
    <cellStyle name="Normal 185" xfId="16090"/>
    <cellStyle name="Normal 185 2" xfId="18101"/>
    <cellStyle name="Normal 185 3" xfId="18837"/>
    <cellStyle name="Normal 185 4" xfId="17296"/>
    <cellStyle name="Normal 185 5" xfId="19606"/>
    <cellStyle name="Normal 186" xfId="16092"/>
    <cellStyle name="Normal 186 2" xfId="18094"/>
    <cellStyle name="Normal 186 3" xfId="18830"/>
    <cellStyle name="Normal 186 4" xfId="17289"/>
    <cellStyle name="Normal 186 5" xfId="19607"/>
    <cellStyle name="Normal 187" xfId="16094"/>
    <cellStyle name="Normal 187 2" xfId="18104"/>
    <cellStyle name="Normal 187 3" xfId="18840"/>
    <cellStyle name="Normal 187 4" xfId="17299"/>
    <cellStyle name="Normal 187 5" xfId="19608"/>
    <cellStyle name="Normal 188" xfId="16096"/>
    <cellStyle name="Normal 188 2" xfId="18105"/>
    <cellStyle name="Normal 188 3" xfId="18841"/>
    <cellStyle name="Normal 188 4" xfId="17300"/>
    <cellStyle name="Normal 188 5" xfId="19609"/>
    <cellStyle name="Normal 189" xfId="16098"/>
    <cellStyle name="Normal 189 2" xfId="18164"/>
    <cellStyle name="Normal 189 3" xfId="18900"/>
    <cellStyle name="Normal 189 4" xfId="17359"/>
    <cellStyle name="Normal 19" xfId="1516"/>
    <cellStyle name="Normal 19 10" xfId="16235"/>
    <cellStyle name="Normal 19 2" xfId="2373"/>
    <cellStyle name="Normal 19 2 2" xfId="11857"/>
    <cellStyle name="Normal 19 2 2 2" xfId="11858"/>
    <cellStyle name="Normal 19 2 2 2 2" xfId="11859"/>
    <cellStyle name="Normal 19 2 2 2 3" xfId="18384"/>
    <cellStyle name="Normal 19 2 2 3" xfId="11860"/>
    <cellStyle name="Normal 19 2 2 3 2" xfId="19120"/>
    <cellStyle name="Normal 19 2 2 4" xfId="17579"/>
    <cellStyle name="Normal 19 2 3" xfId="11861"/>
    <cellStyle name="Normal 19 2 3 2" xfId="11862"/>
    <cellStyle name="Normal 19 2 3 3" xfId="18046"/>
    <cellStyle name="Normal 19 2 4" xfId="11863"/>
    <cellStyle name="Normal 19 2 4 2" xfId="18805"/>
    <cellStyle name="Normal 19 2 5" xfId="11864"/>
    <cellStyle name="Normal 19 2 5 2" xfId="17070"/>
    <cellStyle name="Normal 19 2 6" xfId="16501"/>
    <cellStyle name="Normal 19 2 7" xfId="16258"/>
    <cellStyle name="Normal 19 3" xfId="11865"/>
    <cellStyle name="Normal 19 3 2" xfId="11866"/>
    <cellStyle name="Normal 19 3 2 2" xfId="11867"/>
    <cellStyle name="Normal 19 3 2 2 2" xfId="11868"/>
    <cellStyle name="Normal 19 3 2 2 3" xfId="18367"/>
    <cellStyle name="Normal 19 3 2 3" xfId="11869"/>
    <cellStyle name="Normal 19 3 2 3 2" xfId="19103"/>
    <cellStyle name="Normal 19 3 2 4" xfId="17562"/>
    <cellStyle name="Normal 19 3 3" xfId="11870"/>
    <cellStyle name="Normal 19 3 3 2" xfId="11871"/>
    <cellStyle name="Normal 19 3 3 3" xfId="18033"/>
    <cellStyle name="Normal 19 3 4" xfId="11872"/>
    <cellStyle name="Normal 19 3 4 2" xfId="18792"/>
    <cellStyle name="Normal 19 3 5" xfId="11873"/>
    <cellStyle name="Normal 19 3 6" xfId="17051"/>
    <cellStyle name="Normal 19 4" xfId="11874"/>
    <cellStyle name="Normal 19 4 2" xfId="11875"/>
    <cellStyle name="Normal 19 4 2 2" xfId="11876"/>
    <cellStyle name="Normal 19 4 2 2 2" xfId="11877"/>
    <cellStyle name="Normal 19 4 2 3" xfId="11878"/>
    <cellStyle name="Normal 19 4 3" xfId="11879"/>
    <cellStyle name="Normal 19 4 3 2" xfId="11880"/>
    <cellStyle name="Normal 19 4 4" xfId="11881"/>
    <cellStyle name="Normal 19 4 5" xfId="11882"/>
    <cellStyle name="Normal 19 4 6" xfId="17284"/>
    <cellStyle name="Normal 19 5" xfId="11883"/>
    <cellStyle name="Normal 19 5 2" xfId="11884"/>
    <cellStyle name="Normal 19 5 2 2" xfId="11885"/>
    <cellStyle name="Normal 19 5 3" xfId="11886"/>
    <cellStyle name="Normal 19 5 4" xfId="11887"/>
    <cellStyle name="Normal 19 5 5" xfId="16874"/>
    <cellStyle name="Normal 19 6" xfId="11888"/>
    <cellStyle name="Normal 19 6 2" xfId="11889"/>
    <cellStyle name="Normal 19 6 3" xfId="11890"/>
    <cellStyle name="Normal 19 6 4" xfId="16487"/>
    <cellStyle name="Normal 19 7" xfId="11891"/>
    <cellStyle name="Normal 19 8" xfId="11892"/>
    <cellStyle name="Normal 19 9" xfId="11893"/>
    <cellStyle name="Normal 190" xfId="17399"/>
    <cellStyle name="Normal 190 2" xfId="18204"/>
    <cellStyle name="Normal 190 3" xfId="18940"/>
    <cellStyle name="Normal 191" xfId="17490"/>
    <cellStyle name="Normal 191 2" xfId="18295"/>
    <cellStyle name="Normal 191 3" xfId="19031"/>
    <cellStyle name="Normal 192" xfId="17357"/>
    <cellStyle name="Normal 192 2" xfId="18162"/>
    <cellStyle name="Normal 192 3" xfId="18898"/>
    <cellStyle name="Normal 193" xfId="17400"/>
    <cellStyle name="Normal 193 2" xfId="18205"/>
    <cellStyle name="Normal 193 3" xfId="18941"/>
    <cellStyle name="Normal 194" xfId="17417"/>
    <cellStyle name="Normal 194 2" xfId="18222"/>
    <cellStyle name="Normal 194 3" xfId="18958"/>
    <cellStyle name="Normal 194 4" xfId="19568"/>
    <cellStyle name="Normal 195" xfId="17429"/>
    <cellStyle name="Normal 195 2" xfId="18234"/>
    <cellStyle name="Normal 195 3" xfId="18970"/>
    <cellStyle name="Normal 196" xfId="17533"/>
    <cellStyle name="Normal 196 2" xfId="18338"/>
    <cellStyle name="Normal 196 3" xfId="19074"/>
    <cellStyle name="Normal 197" xfId="17308"/>
    <cellStyle name="Normal 197 2" xfId="18113"/>
    <cellStyle name="Normal 197 3" xfId="18849"/>
    <cellStyle name="Normal 197 4" xfId="19567"/>
    <cellStyle name="Normal 198" xfId="17342"/>
    <cellStyle name="Normal 198 2" xfId="18147"/>
    <cellStyle name="Normal 198 3" xfId="18883"/>
    <cellStyle name="Normal 198 4" xfId="19572"/>
    <cellStyle name="Normal 199" xfId="17511"/>
    <cellStyle name="Normal 199 2" xfId="18316"/>
    <cellStyle name="Normal 199 3" xfId="19052"/>
    <cellStyle name="Normal 199 4" xfId="19573"/>
    <cellStyle name="Normal 2" xfId="1517"/>
    <cellStyle name="Normal 2 10" xfId="1518"/>
    <cellStyle name="Normal 2 10 10" xfId="11894"/>
    <cellStyle name="Normal 2 10 11" xfId="11895"/>
    <cellStyle name="Normal 2 10 12" xfId="17850"/>
    <cellStyle name="Normal 2 10 2" xfId="11896"/>
    <cellStyle name="Normal 2 10 2 2" xfId="11897"/>
    <cellStyle name="Normal 2 10 2 2 2" xfId="11898"/>
    <cellStyle name="Normal 2 10 2 3" xfId="11899"/>
    <cellStyle name="Normal 2 10 2 4" xfId="11900"/>
    <cellStyle name="Normal 2 10 2 5" xfId="11901"/>
    <cellStyle name="Normal 2 10 3" xfId="11902"/>
    <cellStyle name="Normal 2 10 3 2" xfId="11903"/>
    <cellStyle name="Normal 2 10 4" xfId="11904"/>
    <cellStyle name="Normal 2 10 4 2" xfId="11905"/>
    <cellStyle name="Normal 2 10 5" xfId="11906"/>
    <cellStyle name="Normal 2 10 6" xfId="11907"/>
    <cellStyle name="Normal 2 10 7" xfId="11908"/>
    <cellStyle name="Normal 2 10 8" xfId="11909"/>
    <cellStyle name="Normal 2 10 9" xfId="11910"/>
    <cellStyle name="Normal 2 11" xfId="1519"/>
    <cellStyle name="Normal 2 11 2" xfId="11911"/>
    <cellStyle name="Normal 2 11 2 2" xfId="11912"/>
    <cellStyle name="Normal 2 11 2 3" xfId="11913"/>
    <cellStyle name="Normal 2 11 3" xfId="11914"/>
    <cellStyle name="Normal 2 11 3 2" xfId="11915"/>
    <cellStyle name="Normal 2 11 4" xfId="11916"/>
    <cellStyle name="Normal 2 11 4 2" xfId="11917"/>
    <cellStyle name="Normal 2 11 5" xfId="11918"/>
    <cellStyle name="Normal 2 11 6" xfId="11919"/>
    <cellStyle name="Normal 2 11 7" xfId="11920"/>
    <cellStyle name="Normal 2 11 8" xfId="16605"/>
    <cellStyle name="Normal 2 12" xfId="1520"/>
    <cellStyle name="Normal 2 12 2" xfId="11921"/>
    <cellStyle name="Normal 2 12 2 2" xfId="11922"/>
    <cellStyle name="Normal 2 12 3" xfId="11923"/>
    <cellStyle name="Normal 2 12 3 2" xfId="11924"/>
    <cellStyle name="Normal 2 12 4" xfId="11925"/>
    <cellStyle name="Normal 2 12 4 2" xfId="11926"/>
    <cellStyle name="Normal 2 12 5" xfId="11927"/>
    <cellStyle name="Normal 2 12 6" xfId="11928"/>
    <cellStyle name="Normal 2 12 7" xfId="11929"/>
    <cellStyle name="Normal 2 12 8" xfId="11930"/>
    <cellStyle name="Normal 2 13" xfId="1521"/>
    <cellStyle name="Normal 2 13 2" xfId="11931"/>
    <cellStyle name="Normal 2 13 3" xfId="11932"/>
    <cellStyle name="Normal 2 13 4" xfId="11933"/>
    <cellStyle name="Normal 2 13 5" xfId="11934"/>
    <cellStyle name="Normal 2 13 6" xfId="11935"/>
    <cellStyle name="Normal 2 13 7" xfId="11936"/>
    <cellStyle name="Normal 2 14" xfId="1522"/>
    <cellStyle name="Normal 2 14 2" xfId="11937"/>
    <cellStyle name="Normal 2 14 3" xfId="11938"/>
    <cellStyle name="Normal 2 14 4" xfId="11939"/>
    <cellStyle name="Normal 2 14 5" xfId="11940"/>
    <cellStyle name="Normal 2 14 6" xfId="11941"/>
    <cellStyle name="Normal 2 14 7" xfId="11942"/>
    <cellStyle name="Normal 2 15" xfId="1523"/>
    <cellStyle name="Normal 2 15 2" xfId="11943"/>
    <cellStyle name="Normal 2 15 3" xfId="11944"/>
    <cellStyle name="Normal 2 15 4" xfId="11945"/>
    <cellStyle name="Normal 2 15 5" xfId="11946"/>
    <cellStyle name="Normal 2 15 6" xfId="11947"/>
    <cellStyle name="Normal 2 15 7" xfId="11948"/>
    <cellStyle name="Normal 2 16" xfId="1524"/>
    <cellStyle name="Normal 2 16 2" xfId="11949"/>
    <cellStyle name="Normal 2 16 3" xfId="11950"/>
    <cellStyle name="Normal 2 16 4" xfId="11951"/>
    <cellStyle name="Normal 2 16 5" xfId="11952"/>
    <cellStyle name="Normal 2 16 6" xfId="11953"/>
    <cellStyle name="Normal 2 16 7" xfId="11954"/>
    <cellStyle name="Normal 2 17" xfId="1525"/>
    <cellStyle name="Normal 2 17 2" xfId="11955"/>
    <cellStyle name="Normal 2 17 3" xfId="11956"/>
    <cellStyle name="Normal 2 17 4" xfId="11957"/>
    <cellStyle name="Normal 2 17 5" xfId="11958"/>
    <cellStyle name="Normal 2 17 6" xfId="11959"/>
    <cellStyle name="Normal 2 17 7" xfId="11960"/>
    <cellStyle name="Normal 2 18" xfId="1526"/>
    <cellStyle name="Normal 2 18 2" xfId="11961"/>
    <cellStyle name="Normal 2 18 2 2" xfId="11962"/>
    <cellStyle name="Normal 2 18 3" xfId="11963"/>
    <cellStyle name="Normal 2 18 4" xfId="11964"/>
    <cellStyle name="Normal 2 18 5" xfId="11965"/>
    <cellStyle name="Normal 2 18 6" xfId="11966"/>
    <cellStyle name="Normal 2 18 7" xfId="11967"/>
    <cellStyle name="Normal 2 19" xfId="1527"/>
    <cellStyle name="Normal 2 19 2" xfId="11968"/>
    <cellStyle name="Normal 2 19 2 2" xfId="11969"/>
    <cellStyle name="Normal 2 19 3" xfId="11970"/>
    <cellStyle name="Normal 2 19 3 2" xfId="11971"/>
    <cellStyle name="Normal 2 19 3 3" xfId="11972"/>
    <cellStyle name="Normal 2 19 4" xfId="11973"/>
    <cellStyle name="Normal 2 19 5" xfId="11974"/>
    <cellStyle name="Normal 2 19 6" xfId="11975"/>
    <cellStyle name="Normal 2 19 7" xfId="11976"/>
    <cellStyle name="Normal 2 2" xfId="1528"/>
    <cellStyle name="Normal 2 2 10" xfId="11977"/>
    <cellStyle name="Normal 2 2 11" xfId="11978"/>
    <cellStyle name="Normal 2 2 12" xfId="11979"/>
    <cellStyle name="Normal 2 2 13" xfId="11980"/>
    <cellStyle name="Normal 2 2 14" xfId="11981"/>
    <cellStyle name="Normal 2 2 15" xfId="11982"/>
    <cellStyle name="Normal 2 2 16" xfId="11983"/>
    <cellStyle name="Normal 2 2 17" xfId="11984"/>
    <cellStyle name="Normal 2 2 18" xfId="16167"/>
    <cellStyle name="Normal 2 2 2" xfId="1529"/>
    <cellStyle name="Normal 2 2 2 10" xfId="11985"/>
    <cellStyle name="Normal 2 2 2 11" xfId="16168"/>
    <cellStyle name="Normal 2 2 2 12" xfId="19769"/>
    <cellStyle name="Normal 2 2 2 2" xfId="1530"/>
    <cellStyle name="Normal 2 2 2 2 2" xfId="11986"/>
    <cellStyle name="Normal 2 2 2 2 2 2" xfId="11987"/>
    <cellStyle name="Normal 2 2 2 2 2 3" xfId="11988"/>
    <cellStyle name="Normal 2 2 2 2 3" xfId="11989"/>
    <cellStyle name="Normal 2 2 2 2 3 2" xfId="11990"/>
    <cellStyle name="Normal 2 2 2 2 4" xfId="11991"/>
    <cellStyle name="Normal 2 2 2 2 5" xfId="11992"/>
    <cellStyle name="Normal 2 2 2 2 6" xfId="11993"/>
    <cellStyle name="Normal 2 2 2 3" xfId="11994"/>
    <cellStyle name="Normal 2 2 2 3 2" xfId="11995"/>
    <cellStyle name="Normal 2 2 2 3 2 2" xfId="11996"/>
    <cellStyle name="Normal 2 2 2 3 3" xfId="11997"/>
    <cellStyle name="Normal 2 2 2 3 4" xfId="16774"/>
    <cellStyle name="Normal 2 2 2 4" xfId="11998"/>
    <cellStyle name="Normal 2 2 2 4 2" xfId="11999"/>
    <cellStyle name="Normal 2 2 2 4 3" xfId="17792"/>
    <cellStyle name="Normal 2 2 2 5" xfId="12000"/>
    <cellStyle name="Normal 2 2 2 5 2" xfId="16607"/>
    <cellStyle name="Normal 2 2 2 6" xfId="12001"/>
    <cellStyle name="Normal 2 2 2 7" xfId="12002"/>
    <cellStyle name="Normal 2 2 2 8" xfId="12003"/>
    <cellStyle name="Normal 2 2 2 9" xfId="12004"/>
    <cellStyle name="Normal 2 2 3" xfId="1531"/>
    <cellStyle name="Normal 2 2 3 2" xfId="12005"/>
    <cellStyle name="Normal 2 2 3 3" xfId="12006"/>
    <cellStyle name="Normal 2 2 3 3 2" xfId="12007"/>
    <cellStyle name="Normal 2 2 3 3 3" xfId="12008"/>
    <cellStyle name="Normal 2 2 3 4" xfId="12009"/>
    <cellStyle name="Normal 2 2 3 4 2" xfId="12010"/>
    <cellStyle name="Normal 2 2 3 5" xfId="12011"/>
    <cellStyle name="Normal 2 2 3 6" xfId="12012"/>
    <cellStyle name="Normal 2 2 3 7" xfId="12013"/>
    <cellStyle name="Normal 2 2 3 8" xfId="12014"/>
    <cellStyle name="Normal 2 2 4" xfId="1532"/>
    <cellStyle name="Normal 2 2 4 2" xfId="12015"/>
    <cellStyle name="Normal 2 2 4 2 2" xfId="12016"/>
    <cellStyle name="Normal 2 2 4 2 3" xfId="12017"/>
    <cellStyle name="Normal 2 2 4 3" xfId="12018"/>
    <cellStyle name="Normal 2 2 4 4" xfId="12019"/>
    <cellStyle name="Normal 2 2 4 5" xfId="12020"/>
    <cellStyle name="Normal 2 2 4 6" xfId="12021"/>
    <cellStyle name="Normal 2 2 4 7" xfId="12022"/>
    <cellStyle name="Normal 2 2 4 8" xfId="16773"/>
    <cellStyle name="Normal 2 2 5" xfId="12023"/>
    <cellStyle name="Normal 2 2 5 2" xfId="12024"/>
    <cellStyle name="Normal 2 2 5 3" xfId="12025"/>
    <cellStyle name="Normal 2 2 5 4" xfId="17780"/>
    <cellStyle name="Normal 2 2 6" xfId="12026"/>
    <cellStyle name="Normal 2 2 6 2" xfId="12027"/>
    <cellStyle name="Normal 2 2 6 3" xfId="16606"/>
    <cellStyle name="Normal 2 2 7" xfId="12028"/>
    <cellStyle name="Normal 2 2 8" xfId="12029"/>
    <cellStyle name="Normal 2 2 9" xfId="12030"/>
    <cellStyle name="Normal 2 20" xfId="1533"/>
    <cellStyle name="Normal 2 20 2" xfId="12031"/>
    <cellStyle name="Normal 2 20 2 2" xfId="12032"/>
    <cellStyle name="Normal 2 20 3" xfId="12033"/>
    <cellStyle name="Normal 2 20 4" xfId="12034"/>
    <cellStyle name="Normal 2 20 5" xfId="12035"/>
    <cellStyle name="Normal 2 21" xfId="1534"/>
    <cellStyle name="Normal 2 21 2" xfId="12036"/>
    <cellStyle name="Normal 2 21 2 2" xfId="12037"/>
    <cellStyle name="Normal 2 21 2 2 2" xfId="12038"/>
    <cellStyle name="Normal 2 21 2 3" xfId="12039"/>
    <cellStyle name="Normal 2 21 3" xfId="12040"/>
    <cellStyle name="Normal 2 21 3 2" xfId="12041"/>
    <cellStyle name="Normal 2 21 4" xfId="12042"/>
    <cellStyle name="Normal 2 21 5" xfId="12043"/>
    <cellStyle name="Normal 2 21 6" xfId="12044"/>
    <cellStyle name="Normal 2 21 7" xfId="12045"/>
    <cellStyle name="Normal 2 22" xfId="1535"/>
    <cellStyle name="Normal 2 22 2" xfId="12046"/>
    <cellStyle name="Normal 2 22 2 2" xfId="12047"/>
    <cellStyle name="Normal 2 22 2 2 2" xfId="12048"/>
    <cellStyle name="Normal 2 22 2 3" xfId="12049"/>
    <cellStyle name="Normal 2 22 3" xfId="12050"/>
    <cellStyle name="Normal 2 22 3 2" xfId="12051"/>
    <cellStyle name="Normal 2 22 4" xfId="12052"/>
    <cellStyle name="Normal 2 22 5" xfId="12053"/>
    <cellStyle name="Normal 2 22 6" xfId="12054"/>
    <cellStyle name="Normal 2 22 7" xfId="12055"/>
    <cellStyle name="Normal 2 23" xfId="1536"/>
    <cellStyle name="Normal 2 23 2" xfId="12056"/>
    <cellStyle name="Normal 2 23 2 2" xfId="12057"/>
    <cellStyle name="Normal 2 23 2 2 2" xfId="12058"/>
    <cellStyle name="Normal 2 23 2 3" xfId="12059"/>
    <cellStyle name="Normal 2 23 3" xfId="12060"/>
    <cellStyle name="Normal 2 23 3 2" xfId="12061"/>
    <cellStyle name="Normal 2 23 4" xfId="12062"/>
    <cellStyle name="Normal 2 23 5" xfId="12063"/>
    <cellStyle name="Normal 2 23 6" xfId="12064"/>
    <cellStyle name="Normal 2 24" xfId="1537"/>
    <cellStyle name="Normal 2 24 2" xfId="12065"/>
    <cellStyle name="Normal 2 24 3" xfId="12066"/>
    <cellStyle name="Normal 2 25" xfId="1538"/>
    <cellStyle name="Normal 2 25 2" xfId="12067"/>
    <cellStyle name="Normal 2 25 3" xfId="12068"/>
    <cellStyle name="Normal 2 26" xfId="1539"/>
    <cellStyle name="Normal 2 26 2" xfId="12069"/>
    <cellStyle name="Normal 2 26 3" xfId="12070"/>
    <cellStyle name="Normal 2 27" xfId="1540"/>
    <cellStyle name="Normal 2 27 2" xfId="12071"/>
    <cellStyle name="Normal 2 27 2 2" xfId="12072"/>
    <cellStyle name="Normal 2 27 2 2 2" xfId="12073"/>
    <cellStyle name="Normal 2 27 2 3" xfId="12074"/>
    <cellStyle name="Normal 2 27 3" xfId="12075"/>
    <cellStyle name="Normal 2 27 3 2" xfId="12076"/>
    <cellStyle name="Normal 2 27 4" xfId="12077"/>
    <cellStyle name="Normal 2 27 5" xfId="12078"/>
    <cellStyle name="Normal 2 27 6" xfId="12079"/>
    <cellStyle name="Normal 2 28" xfId="1541"/>
    <cellStyle name="Normal 2 28 2" xfId="12080"/>
    <cellStyle name="Normal 2 28 3" xfId="12081"/>
    <cellStyle name="Normal 2 29" xfId="1542"/>
    <cellStyle name="Normal 2 29 2" xfId="12082"/>
    <cellStyle name="Normal 2 29 3" xfId="12083"/>
    <cellStyle name="Normal 2 3" xfId="1543"/>
    <cellStyle name="Normal 2 3 10" xfId="12084"/>
    <cellStyle name="Normal 2 3 2" xfId="12085"/>
    <cellStyle name="Normal 2 3 2 2" xfId="12086"/>
    <cellStyle name="Normal 2 3 2 2 2" xfId="16175"/>
    <cellStyle name="Normal 2 3 2 2 2 2" xfId="16841"/>
    <cellStyle name="Normal 2 3 2 2 2 3" xfId="16792"/>
    <cellStyle name="Normal 2 3 2 2 2 4" xfId="17782"/>
    <cellStyle name="Normal 2 3 2 2 2 5" xfId="16611"/>
    <cellStyle name="Normal 2 3 2 2 3" xfId="16826"/>
    <cellStyle name="Normal 2 3 2 2 4" xfId="16775"/>
    <cellStyle name="Normal 2 3 2 2 5" xfId="17853"/>
    <cellStyle name="Normal 2 3 2 2 6" xfId="16610"/>
    <cellStyle name="Normal 2 3 2 3" xfId="12087"/>
    <cellStyle name="Normal 2 3 2 3 2" xfId="16840"/>
    <cellStyle name="Normal 2 3 2 3 3" xfId="16793"/>
    <cellStyle name="Normal 2 3 2 3 4" xfId="17840"/>
    <cellStyle name="Normal 2 3 2 3 5" xfId="16612"/>
    <cellStyle name="Normal 2 3 2 4" xfId="12088"/>
    <cellStyle name="Normal 2 3 2 5" xfId="12089"/>
    <cellStyle name="Normal 2 3 2 6" xfId="17877"/>
    <cellStyle name="Normal 2 3 2 7" xfId="16609"/>
    <cellStyle name="Normal 2 3 2 8" xfId="19761"/>
    <cellStyle name="Normal 2 3 3" xfId="12090"/>
    <cellStyle name="Normal 2 3 3 2" xfId="12091"/>
    <cellStyle name="Normal 2 3 3 2 2" xfId="16842"/>
    <cellStyle name="Normal 2 3 3 2 3" xfId="16794"/>
    <cellStyle name="Normal 2 3 3 2 4" xfId="17903"/>
    <cellStyle name="Normal 2 3 3 2 5" xfId="16614"/>
    <cellStyle name="Normal 2 3 3 3" xfId="16827"/>
    <cellStyle name="Normal 2 3 3 4" xfId="16776"/>
    <cellStyle name="Normal 2 3 3 5" xfId="17847"/>
    <cellStyle name="Normal 2 3 3 6" xfId="16613"/>
    <cellStyle name="Normal 2 3 4" xfId="12092"/>
    <cellStyle name="Normal 2 3 4 2" xfId="12093"/>
    <cellStyle name="Normal 2 3 4 3" xfId="16795"/>
    <cellStyle name="Normal 2 3 4 4" xfId="17854"/>
    <cellStyle name="Normal 2 3 4 5" xfId="16615"/>
    <cellStyle name="Normal 2 3 5" xfId="12094"/>
    <cellStyle name="Normal 2 3 6" xfId="12095"/>
    <cellStyle name="Normal 2 3 7" xfId="12096"/>
    <cellStyle name="Normal 2 3 7 2" xfId="17873"/>
    <cellStyle name="Normal 2 3 8" xfId="12097"/>
    <cellStyle name="Normal 2 3 8 2" xfId="16608"/>
    <cellStyle name="Normal 2 3 9" xfId="12098"/>
    <cellStyle name="Normal 2 30" xfId="1544"/>
    <cellStyle name="Normal 2 30 2" xfId="12099"/>
    <cellStyle name="Normal 2 30 3" xfId="12100"/>
    <cellStyle name="Normal 2 31" xfId="1545"/>
    <cellStyle name="Normal 2 32" xfId="1546"/>
    <cellStyle name="Normal 2 33" xfId="1547"/>
    <cellStyle name="Normal 2 34" xfId="1548"/>
    <cellStyle name="Normal 2 35" xfId="1549"/>
    <cellStyle name="Normal 2 36" xfId="1550"/>
    <cellStyle name="Normal 2 37" xfId="1551"/>
    <cellStyle name="Normal 2 38" xfId="1552"/>
    <cellStyle name="Normal 2 39" xfId="1553"/>
    <cellStyle name="Normal 2 4" xfId="1554"/>
    <cellStyle name="Normal 2 4 2" xfId="12101"/>
    <cellStyle name="Normal 2 4 2 2" xfId="12102"/>
    <cellStyle name="Normal 2 4 2 2 2" xfId="16843"/>
    <cellStyle name="Normal 2 4 2 2 3" xfId="16796"/>
    <cellStyle name="Normal 2 4 2 2 4" xfId="17784"/>
    <cellStyle name="Normal 2 4 2 2 5" xfId="16618"/>
    <cellStyle name="Normal 2 4 2 2 6" xfId="19862"/>
    <cellStyle name="Normal 2 4 2 3" xfId="16828"/>
    <cellStyle name="Normal 2 4 2 3 2" xfId="19819"/>
    <cellStyle name="Normal 2 4 2 4" xfId="16777"/>
    <cellStyle name="Normal 2 4 2 5" xfId="17812"/>
    <cellStyle name="Normal 2 4 2 6" xfId="16617"/>
    <cellStyle name="Normal 2 4 2 7" xfId="19760"/>
    <cellStyle name="Normal 2 4 3" xfId="12103"/>
    <cellStyle name="Normal 2 4 3 2" xfId="12104"/>
    <cellStyle name="Normal 2 4 3 3" xfId="16797"/>
    <cellStyle name="Normal 2 4 3 4" xfId="17835"/>
    <cellStyle name="Normal 2 4 3 5" xfId="16619"/>
    <cellStyle name="Normal 2 4 3 6" xfId="19796"/>
    <cellStyle name="Normal 2 4 4" xfId="12105"/>
    <cellStyle name="Normal 2 4 4 2" xfId="12106"/>
    <cellStyle name="Normal 2 4 5" xfId="12107"/>
    <cellStyle name="Normal 2 4 6" xfId="12108"/>
    <cellStyle name="Normal 2 4 6 2" xfId="17882"/>
    <cellStyle name="Normal 2 4 7" xfId="12109"/>
    <cellStyle name="Normal 2 4 7 2" xfId="16616"/>
    <cellStyle name="Normal 2 4 8" xfId="12110"/>
    <cellStyle name="Normal 2 4 9" xfId="19693"/>
    <cellStyle name="Normal 2 40" xfId="1555"/>
    <cellStyle name="Normal 2 41" xfId="1556"/>
    <cellStyle name="Normal 2 42" xfId="1557"/>
    <cellStyle name="Normal 2 43" xfId="1558"/>
    <cellStyle name="Normal 2 44" xfId="12111"/>
    <cellStyle name="Normal 2 45" xfId="12112"/>
    <cellStyle name="Normal 2 46" xfId="16005"/>
    <cellStyle name="Normal 2 47" xfId="16130"/>
    <cellStyle name="Normal 2 48" xfId="19688"/>
    <cellStyle name="Normal 2 5" xfId="1559"/>
    <cellStyle name="Normal 2 5 2" xfId="12113"/>
    <cellStyle name="Normal 2 5 2 2" xfId="12114"/>
    <cellStyle name="Normal 2 5 2 2 2" xfId="19865"/>
    <cellStyle name="Normal 2 5 2 3" xfId="16798"/>
    <cellStyle name="Normal 2 5 2 4" xfId="17783"/>
    <cellStyle name="Normal 2 5 2 5" xfId="16621"/>
    <cellStyle name="Normal 2 5 2 6" xfId="19774"/>
    <cellStyle name="Normal 2 5 3" xfId="12115"/>
    <cellStyle name="Normal 2 5 3 2" xfId="12116"/>
    <cellStyle name="Normal 2 5 3 3" xfId="19801"/>
    <cellStyle name="Normal 2 5 4" xfId="12117"/>
    <cellStyle name="Normal 2 5 4 2" xfId="12118"/>
    <cellStyle name="Normal 2 5 5" xfId="12119"/>
    <cellStyle name="Normal 2 5 5 2" xfId="17787"/>
    <cellStyle name="Normal 2 5 6" xfId="12120"/>
    <cellStyle name="Normal 2 5 6 2" xfId="16620"/>
    <cellStyle name="Normal 2 5 7" xfId="12121"/>
    <cellStyle name="Normal 2 5 8" xfId="12122"/>
    <cellStyle name="Normal 2 5 9" xfId="19696"/>
    <cellStyle name="Normal 2 6" xfId="1560"/>
    <cellStyle name="Normal 2 6 10" xfId="12123"/>
    <cellStyle name="Normal 2 6 11" xfId="12124"/>
    <cellStyle name="Normal 2 6 12" xfId="19759"/>
    <cellStyle name="Normal 2 6 13" xfId="19916"/>
    <cellStyle name="Normal 2 6 2" xfId="12125"/>
    <cellStyle name="Normal 2 6 2 10" xfId="19795"/>
    <cellStyle name="Normal 2 6 2 2" xfId="12126"/>
    <cellStyle name="Normal 2 6 2 2 2" xfId="12127"/>
    <cellStyle name="Normal 2 6 2 2 2 2" xfId="12128"/>
    <cellStyle name="Normal 2 6 2 2 2 3" xfId="12129"/>
    <cellStyle name="Normal 2 6 2 2 3" xfId="12130"/>
    <cellStyle name="Normal 2 6 2 2 3 2" xfId="12131"/>
    <cellStyle name="Normal 2 6 2 2 4" xfId="12132"/>
    <cellStyle name="Normal 2 6 2 3" xfId="12133"/>
    <cellStyle name="Normal 2 6 2 3 2" xfId="12134"/>
    <cellStyle name="Normal 2 6 2 3 2 2" xfId="12135"/>
    <cellStyle name="Normal 2 6 2 3 3" xfId="12136"/>
    <cellStyle name="Normal 2 6 2 4" xfId="12137"/>
    <cellStyle name="Normal 2 6 2 4 2" xfId="12138"/>
    <cellStyle name="Normal 2 6 2 5" xfId="12139"/>
    <cellStyle name="Normal 2 6 2 6" xfId="12140"/>
    <cellStyle name="Normal 2 6 2 7" xfId="12141"/>
    <cellStyle name="Normal 2 6 2 8" xfId="12142"/>
    <cellStyle name="Normal 2 6 2 9" xfId="16622"/>
    <cellStyle name="Normal 2 6 3" xfId="12143"/>
    <cellStyle name="Normal 2 6 3 2" xfId="12144"/>
    <cellStyle name="Normal 2 6 3 2 2" xfId="12145"/>
    <cellStyle name="Normal 2 6 3 2 3" xfId="12146"/>
    <cellStyle name="Normal 2 6 3 3" xfId="12147"/>
    <cellStyle name="Normal 2 6 3 3 2" xfId="12148"/>
    <cellStyle name="Normal 2 6 3 4" xfId="12149"/>
    <cellStyle name="Normal 2 6 3 5" xfId="12150"/>
    <cellStyle name="Normal 2 6 4" xfId="12151"/>
    <cellStyle name="Normal 2 6 4 2" xfId="12152"/>
    <cellStyle name="Normal 2 6 4 2 2" xfId="12153"/>
    <cellStyle name="Normal 2 6 4 3" xfId="12154"/>
    <cellStyle name="Normal 2 6 4 4" xfId="12155"/>
    <cellStyle name="Normal 2 6 5" xfId="12156"/>
    <cellStyle name="Normal 2 6 5 2" xfId="12157"/>
    <cellStyle name="Normal 2 6 6" xfId="12158"/>
    <cellStyle name="Normal 2 6 7" xfId="12159"/>
    <cellStyle name="Normal 2 6 8" xfId="12160"/>
    <cellStyle name="Normal 2 6 9" xfId="12161"/>
    <cellStyle name="Normal 2 7" xfId="1561"/>
    <cellStyle name="Normal 2 7 10" xfId="12162"/>
    <cellStyle name="Normal 2 7 2" xfId="12163"/>
    <cellStyle name="Normal 2 7 2 2" xfId="12164"/>
    <cellStyle name="Normal 2 7 2 2 2" xfId="12165"/>
    <cellStyle name="Normal 2 7 2 2 3" xfId="12166"/>
    <cellStyle name="Normal 2 7 2 3" xfId="12167"/>
    <cellStyle name="Normal 2 7 2 3 2" xfId="12168"/>
    <cellStyle name="Normal 2 7 2 4" xfId="12169"/>
    <cellStyle name="Normal 2 7 2 5" xfId="12170"/>
    <cellStyle name="Normal 2 7 3" xfId="12171"/>
    <cellStyle name="Normal 2 7 3 2" xfId="12172"/>
    <cellStyle name="Normal 2 7 3 2 2" xfId="12173"/>
    <cellStyle name="Normal 2 7 3 3" xfId="12174"/>
    <cellStyle name="Normal 2 7 3 4" xfId="12175"/>
    <cellStyle name="Normal 2 7 4" xfId="12176"/>
    <cellStyle name="Normal 2 7 4 2" xfId="12177"/>
    <cellStyle name="Normal 2 7 4 3" xfId="12178"/>
    <cellStyle name="Normal 2 7 5" xfId="12179"/>
    <cellStyle name="Normal 2 7 6" xfId="12180"/>
    <cellStyle name="Normal 2 7 7" xfId="12181"/>
    <cellStyle name="Normal 2 7 8" xfId="12182"/>
    <cellStyle name="Normal 2 7 9" xfId="12183"/>
    <cellStyle name="Normal 2 8" xfId="1562"/>
    <cellStyle name="Normal 2 8 10" xfId="12184"/>
    <cellStyle name="Normal 2 8 11" xfId="16623"/>
    <cellStyle name="Normal 2 8 2" xfId="12185"/>
    <cellStyle name="Normal 2 8 2 2" xfId="12186"/>
    <cellStyle name="Normal 2 8 2 2 2" xfId="12187"/>
    <cellStyle name="Normal 2 8 2 2 3" xfId="12188"/>
    <cellStyle name="Normal 2 8 2 3" xfId="12189"/>
    <cellStyle name="Normal 2 8 2 4" xfId="12190"/>
    <cellStyle name="Normal 2 8 2 5" xfId="12191"/>
    <cellStyle name="Normal 2 8 3" xfId="12192"/>
    <cellStyle name="Normal 2 8 3 2" xfId="12193"/>
    <cellStyle name="Normal 2 8 3 3" xfId="12194"/>
    <cellStyle name="Normal 2 8 3 4" xfId="12195"/>
    <cellStyle name="Normal 2 8 4" xfId="12196"/>
    <cellStyle name="Normal 2 8 4 2" xfId="12197"/>
    <cellStyle name="Normal 2 8 4 3" xfId="12198"/>
    <cellStyle name="Normal 2 8 5" xfId="12199"/>
    <cellStyle name="Normal 2 8 6" xfId="12200"/>
    <cellStyle name="Normal 2 8 7" xfId="12201"/>
    <cellStyle name="Normal 2 8 8" xfId="12202"/>
    <cellStyle name="Normal 2 8 9" xfId="12203"/>
    <cellStyle name="Normal 2 9" xfId="1563"/>
    <cellStyle name="Normal 2 9 2" xfId="12204"/>
    <cellStyle name="Normal 2 9 2 2" xfId="12205"/>
    <cellStyle name="Normal 2 9 2 2 2" xfId="12206"/>
    <cellStyle name="Normal 2 9 2 2 3" xfId="12207"/>
    <cellStyle name="Normal 2 9 2 3" xfId="12208"/>
    <cellStyle name="Normal 2 9 2 4" xfId="12209"/>
    <cellStyle name="Normal 2 9 2 5" xfId="12210"/>
    <cellStyle name="Normal 2 9 3" xfId="12211"/>
    <cellStyle name="Normal 2 9 3 2" xfId="12212"/>
    <cellStyle name="Normal 2 9 3 3" xfId="12213"/>
    <cellStyle name="Normal 2 9 3 4" xfId="12214"/>
    <cellStyle name="Normal 2 9 4" xfId="12215"/>
    <cellStyle name="Normal 2 9 4 2" xfId="12216"/>
    <cellStyle name="Normal 2 9 5" xfId="12217"/>
    <cellStyle name="Normal 2 9 6" xfId="12218"/>
    <cellStyle name="Normal 2 9 7" xfId="12219"/>
    <cellStyle name="Normal 2 9 8" xfId="12220"/>
    <cellStyle name="Normal 2 9 9" xfId="16766"/>
    <cellStyle name="Normal 20" xfId="1564"/>
    <cellStyle name="Normal 20 2" xfId="2374"/>
    <cellStyle name="Normal 20 2 2" xfId="17581"/>
    <cellStyle name="Normal 20 2 2 2" xfId="18386"/>
    <cellStyle name="Normal 20 2 2 3" xfId="19122"/>
    <cellStyle name="Normal 20 2 3" xfId="18048"/>
    <cellStyle name="Normal 20 2 4" xfId="18807"/>
    <cellStyle name="Normal 20 2 5" xfId="17072"/>
    <cellStyle name="Normal 20 2 6" xfId="16503"/>
    <cellStyle name="Normal 20 2 7" xfId="16260"/>
    <cellStyle name="Normal 20 3" xfId="12221"/>
    <cellStyle name="Normal 20 3 2" xfId="17565"/>
    <cellStyle name="Normal 20 3 2 2" xfId="18370"/>
    <cellStyle name="Normal 20 3 2 3" xfId="19106"/>
    <cellStyle name="Normal 20 3 3" xfId="18035"/>
    <cellStyle name="Normal 20 3 4" xfId="18794"/>
    <cellStyle name="Normal 20 3 5" xfId="17054"/>
    <cellStyle name="Normal 20 4" xfId="12222"/>
    <cellStyle name="Normal 20 4 2" xfId="17034"/>
    <cellStyle name="Normal 20 5" xfId="12223"/>
    <cellStyle name="Normal 20 5 2" xfId="16877"/>
    <cellStyle name="Normal 20 6" xfId="12224"/>
    <cellStyle name="Normal 20 6 2" xfId="16489"/>
    <cellStyle name="Normal 20 7" xfId="12225"/>
    <cellStyle name="Normal 20 8" xfId="16238"/>
    <cellStyle name="Normal 200" xfId="17556"/>
    <cellStyle name="Normal 200 2" xfId="18361"/>
    <cellStyle name="Normal 200 3" xfId="19097"/>
    <cellStyle name="Normal 200 4" xfId="19574"/>
    <cellStyle name="Normal 201" xfId="17722"/>
    <cellStyle name="Normal 201 2" xfId="18527"/>
    <cellStyle name="Normal 201 3" xfId="19249"/>
    <cellStyle name="Normal 201 4" xfId="19575"/>
    <cellStyle name="Normal 202" xfId="17683"/>
    <cellStyle name="Normal 202 2" xfId="18488"/>
    <cellStyle name="Normal 202 3" xfId="19210"/>
    <cellStyle name="Normal 202 4" xfId="19576"/>
    <cellStyle name="Normal 203" xfId="17727"/>
    <cellStyle name="Normal 203 2" xfId="18532"/>
    <cellStyle name="Normal 203 3" xfId="19254"/>
    <cellStyle name="Normal 203 4" xfId="19577"/>
    <cellStyle name="Normal 204" xfId="17517"/>
    <cellStyle name="Normal 204 2" xfId="18322"/>
    <cellStyle name="Normal 204 3" xfId="19058"/>
    <cellStyle name="Normal 204 4" xfId="19578"/>
    <cellStyle name="Normal 205" xfId="17325"/>
    <cellStyle name="Normal 205 2" xfId="18130"/>
    <cellStyle name="Normal 205 3" xfId="18866"/>
    <cellStyle name="Normal 206" xfId="17657"/>
    <cellStyle name="Normal 206 2" xfId="18462"/>
    <cellStyle name="Normal 206 3" xfId="19184"/>
    <cellStyle name="Normal 206 4" xfId="19570"/>
    <cellStyle name="Normal 207" xfId="17476"/>
    <cellStyle name="Normal 207 2" xfId="18281"/>
    <cellStyle name="Normal 207 3" xfId="19017"/>
    <cellStyle name="Normal 207 4" xfId="19569"/>
    <cellStyle name="Normal 208" xfId="17330"/>
    <cellStyle name="Normal 208 2" xfId="18135"/>
    <cellStyle name="Normal 208 3" xfId="18871"/>
    <cellStyle name="Normal 209" xfId="17426"/>
    <cellStyle name="Normal 209 2" xfId="18231"/>
    <cellStyle name="Normal 209 3" xfId="18967"/>
    <cellStyle name="Normal 209 4" xfId="19571"/>
    <cellStyle name="Normal 21" xfId="1565"/>
    <cellStyle name="Normal 21 10" xfId="12226"/>
    <cellStyle name="Normal 21 11" xfId="16236"/>
    <cellStyle name="Normal 21 2" xfId="12227"/>
    <cellStyle name="Normal 21 2 2" xfId="12228"/>
    <cellStyle name="Normal 21 2 2 2" xfId="12229"/>
    <cellStyle name="Normal 21 2 2 2 2" xfId="12230"/>
    <cellStyle name="Normal 21 2 2 2 3" xfId="18385"/>
    <cellStyle name="Normal 21 2 2 3" xfId="12231"/>
    <cellStyle name="Normal 21 2 2 3 2" xfId="19121"/>
    <cellStyle name="Normal 21 2 2 4" xfId="17580"/>
    <cellStyle name="Normal 21 2 3" xfId="12232"/>
    <cellStyle name="Normal 21 2 3 2" xfId="12233"/>
    <cellStyle name="Normal 21 2 3 3" xfId="18047"/>
    <cellStyle name="Normal 21 2 4" xfId="12234"/>
    <cellStyle name="Normal 21 2 4 2" xfId="18806"/>
    <cellStyle name="Normal 21 2 5" xfId="12235"/>
    <cellStyle name="Normal 21 2 5 2" xfId="17071"/>
    <cellStyle name="Normal 21 2 6" xfId="16502"/>
    <cellStyle name="Normal 21 2 7" xfId="16259"/>
    <cellStyle name="Normal 21 3" xfId="12236"/>
    <cellStyle name="Normal 21 3 2" xfId="12237"/>
    <cellStyle name="Normal 21 3 2 2" xfId="12238"/>
    <cellStyle name="Normal 21 3 2 2 2" xfId="12239"/>
    <cellStyle name="Normal 21 3 2 2 3" xfId="18369"/>
    <cellStyle name="Normal 21 3 2 3" xfId="12240"/>
    <cellStyle name="Normal 21 3 2 3 2" xfId="19105"/>
    <cellStyle name="Normal 21 3 2 4" xfId="17564"/>
    <cellStyle name="Normal 21 3 3" xfId="12241"/>
    <cellStyle name="Normal 21 3 3 2" xfId="12242"/>
    <cellStyle name="Normal 21 3 3 3" xfId="18034"/>
    <cellStyle name="Normal 21 3 4" xfId="12243"/>
    <cellStyle name="Normal 21 3 4 2" xfId="18793"/>
    <cellStyle name="Normal 21 3 5" xfId="12244"/>
    <cellStyle name="Normal 21 3 6" xfId="17053"/>
    <cellStyle name="Normal 21 4" xfId="12245"/>
    <cellStyle name="Normal 21 4 2" xfId="12246"/>
    <cellStyle name="Normal 21 4 2 2" xfId="12247"/>
    <cellStyle name="Normal 21 4 2 2 2" xfId="12248"/>
    <cellStyle name="Normal 21 4 2 3" xfId="12249"/>
    <cellStyle name="Normal 21 4 3" xfId="12250"/>
    <cellStyle name="Normal 21 4 3 2" xfId="12251"/>
    <cellStyle name="Normal 21 4 4" xfId="12252"/>
    <cellStyle name="Normal 21 4 5" xfId="12253"/>
    <cellStyle name="Normal 21 4 6" xfId="17036"/>
    <cellStyle name="Normal 21 5" xfId="12254"/>
    <cellStyle name="Normal 21 5 2" xfId="12255"/>
    <cellStyle name="Normal 21 5 2 2" xfId="12256"/>
    <cellStyle name="Normal 21 5 3" xfId="12257"/>
    <cellStyle name="Normal 21 5 4" xfId="12258"/>
    <cellStyle name="Normal 21 5 5" xfId="16878"/>
    <cellStyle name="Normal 21 6" xfId="12259"/>
    <cellStyle name="Normal 21 6 2" xfId="12260"/>
    <cellStyle name="Normal 21 6 3" xfId="12261"/>
    <cellStyle name="Normal 21 6 4" xfId="16488"/>
    <cellStyle name="Normal 21 7" xfId="12262"/>
    <cellStyle name="Normal 21 8" xfId="12263"/>
    <cellStyle name="Normal 21 9" xfId="12264"/>
    <cellStyle name="Normal 210" xfId="17698"/>
    <cellStyle name="Normal 210 2" xfId="18503"/>
    <cellStyle name="Normal 210 3" xfId="19225"/>
    <cellStyle name="Normal 211" xfId="17542"/>
    <cellStyle name="Normal 211 2" xfId="18347"/>
    <cellStyle name="Normal 211 3" xfId="19083"/>
    <cellStyle name="Normal 212" xfId="17390"/>
    <cellStyle name="Normal 212 2" xfId="18195"/>
    <cellStyle name="Normal 212 3" xfId="18931"/>
    <cellStyle name="Normal 213" xfId="17362"/>
    <cellStyle name="Normal 213 2" xfId="18167"/>
    <cellStyle name="Normal 213 3" xfId="18903"/>
    <cellStyle name="Normal 214" xfId="17527"/>
    <cellStyle name="Normal 214 2" xfId="18332"/>
    <cellStyle name="Normal 214 3" xfId="19068"/>
    <cellStyle name="Normal 215" xfId="17549"/>
    <cellStyle name="Normal 215 2" xfId="18354"/>
    <cellStyle name="Normal 215 3" xfId="19090"/>
    <cellStyle name="Normal 216" xfId="17715"/>
    <cellStyle name="Normal 216 2" xfId="18520"/>
    <cellStyle name="Normal 216 3" xfId="19242"/>
    <cellStyle name="Normal 217" xfId="17496"/>
    <cellStyle name="Normal 217 2" xfId="18301"/>
    <cellStyle name="Normal 217 3" xfId="19037"/>
    <cellStyle name="Normal 218" xfId="17690"/>
    <cellStyle name="Normal 218 2" xfId="18495"/>
    <cellStyle name="Normal 218 3" xfId="19217"/>
    <cellStyle name="Normal 219" xfId="17659"/>
    <cellStyle name="Normal 219 2" xfId="18464"/>
    <cellStyle name="Normal 219 3" xfId="19186"/>
    <cellStyle name="Normal 22" xfId="1566"/>
    <cellStyle name="Normal 22 2" xfId="2375"/>
    <cellStyle name="Normal 22 2 2" xfId="16245"/>
    <cellStyle name="Normal 22 3" xfId="12265"/>
    <cellStyle name="Normal 22 4" xfId="12266"/>
    <cellStyle name="Normal 220" xfId="17499"/>
    <cellStyle name="Normal 220 2" xfId="18304"/>
    <cellStyle name="Normal 220 3" xfId="19040"/>
    <cellStyle name="Normal 221" xfId="17730"/>
    <cellStyle name="Normal 221 2" xfId="18535"/>
    <cellStyle name="Normal 221 3" xfId="19257"/>
    <cellStyle name="Normal 222" xfId="17498"/>
    <cellStyle name="Normal 222 2" xfId="18303"/>
    <cellStyle name="Normal 222 3" xfId="19039"/>
    <cellStyle name="Normal 223" xfId="17339"/>
    <cellStyle name="Normal 223 2" xfId="18144"/>
    <cellStyle name="Normal 223 3" xfId="18880"/>
    <cellStyle name="Normal 224" xfId="17687"/>
    <cellStyle name="Normal 224 2" xfId="18492"/>
    <cellStyle name="Normal 224 3" xfId="19214"/>
    <cellStyle name="Normal 225" xfId="17729"/>
    <cellStyle name="Normal 225 2" xfId="18534"/>
    <cellStyle name="Normal 225 3" xfId="19256"/>
    <cellStyle name="Normal 226" xfId="17450"/>
    <cellStyle name="Normal 226 2" xfId="18255"/>
    <cellStyle name="Normal 226 3" xfId="18991"/>
    <cellStyle name="Normal 227" xfId="17383"/>
    <cellStyle name="Normal 227 2" xfId="18188"/>
    <cellStyle name="Normal 227 3" xfId="18924"/>
    <cellStyle name="Normal 228" xfId="17323"/>
    <cellStyle name="Normal 228 2" xfId="18128"/>
    <cellStyle name="Normal 228 3" xfId="18864"/>
    <cellStyle name="Normal 229" xfId="17676"/>
    <cellStyle name="Normal 229 2" xfId="18481"/>
    <cellStyle name="Normal 229 3" xfId="19203"/>
    <cellStyle name="Normal 23" xfId="1567"/>
    <cellStyle name="Normal 23 2" xfId="2376"/>
    <cellStyle name="Normal 23 2 2" xfId="12267"/>
    <cellStyle name="Normal 23 2 2 2" xfId="12268"/>
    <cellStyle name="Normal 23 2 2 2 2" xfId="12269"/>
    <cellStyle name="Normal 23 2 2 3" xfId="12270"/>
    <cellStyle name="Normal 23 2 3" xfId="12271"/>
    <cellStyle name="Normal 23 2 3 2" xfId="12272"/>
    <cellStyle name="Normal 23 2 4" xfId="12273"/>
    <cellStyle name="Normal 23 3" xfId="12274"/>
    <cellStyle name="Normal 23 3 2" xfId="12275"/>
    <cellStyle name="Normal 23 3 2 2" xfId="12276"/>
    <cellStyle name="Normal 23 3 2 2 2" xfId="12277"/>
    <cellStyle name="Normal 23 3 2 3" xfId="12278"/>
    <cellStyle name="Normal 23 3 3" xfId="12279"/>
    <cellStyle name="Normal 23 3 3 2" xfId="12280"/>
    <cellStyle name="Normal 23 3 4" xfId="12281"/>
    <cellStyle name="Normal 23 3 5" xfId="17279"/>
    <cellStyle name="Normal 23 4" xfId="12282"/>
    <cellStyle name="Normal 23 4 2" xfId="12283"/>
    <cellStyle name="Normal 23 4 2 2" xfId="12284"/>
    <cellStyle name="Normal 23 4 2 2 2" xfId="12285"/>
    <cellStyle name="Normal 23 4 2 3" xfId="12286"/>
    <cellStyle name="Normal 23 4 3" xfId="12287"/>
    <cellStyle name="Normal 23 4 3 2" xfId="12288"/>
    <cellStyle name="Normal 23 4 4" xfId="12289"/>
    <cellStyle name="Normal 23 4 5" xfId="16879"/>
    <cellStyle name="Normal 23 5" xfId="12290"/>
    <cellStyle name="Normal 23 5 2" xfId="12291"/>
    <cellStyle name="Normal 23 5 2 2" xfId="12292"/>
    <cellStyle name="Normal 23 5 3" xfId="12293"/>
    <cellStyle name="Normal 23 6" xfId="12294"/>
    <cellStyle name="Normal 23 6 2" xfId="12295"/>
    <cellStyle name="Normal 23 7" xfId="12296"/>
    <cellStyle name="Normal 23 8" xfId="12297"/>
    <cellStyle name="Normal 23 9" xfId="12298"/>
    <cellStyle name="Normal 230" xfId="17505"/>
    <cellStyle name="Normal 230 2" xfId="18310"/>
    <cellStyle name="Normal 230 3" xfId="19046"/>
    <cellStyle name="Normal 231" xfId="17494"/>
    <cellStyle name="Normal 231 2" xfId="18299"/>
    <cellStyle name="Normal 231 3" xfId="19035"/>
    <cellStyle name="Normal 232" xfId="17424"/>
    <cellStyle name="Normal 232 2" xfId="18229"/>
    <cellStyle name="Normal 232 3" xfId="18965"/>
    <cellStyle name="Normal 233" xfId="17366"/>
    <cellStyle name="Normal 233 2" xfId="18171"/>
    <cellStyle name="Normal 233 3" xfId="18907"/>
    <cellStyle name="Normal 234" xfId="17469"/>
    <cellStyle name="Normal 234 2" xfId="18274"/>
    <cellStyle name="Normal 234 3" xfId="19010"/>
    <cellStyle name="Normal 235" xfId="17671"/>
    <cellStyle name="Normal 235 2" xfId="18476"/>
    <cellStyle name="Normal 235 3" xfId="19198"/>
    <cellStyle name="Normal 236" xfId="17521"/>
    <cellStyle name="Normal 236 2" xfId="18326"/>
    <cellStyle name="Normal 236 3" xfId="19062"/>
    <cellStyle name="Normal 237" xfId="17691"/>
    <cellStyle name="Normal 237 2" xfId="18496"/>
    <cellStyle name="Normal 237 3" xfId="19218"/>
    <cellStyle name="Normal 238" xfId="17658"/>
    <cellStyle name="Normal 238 2" xfId="18463"/>
    <cellStyle name="Normal 238 3" xfId="19185"/>
    <cellStyle name="Normal 239" xfId="17318"/>
    <cellStyle name="Normal 239 2" xfId="18123"/>
    <cellStyle name="Normal 239 3" xfId="18859"/>
    <cellStyle name="Normal 24" xfId="1568"/>
    <cellStyle name="Normal 24 2" xfId="12299"/>
    <cellStyle name="Normal 24 2 2" xfId="12300"/>
    <cellStyle name="Normal 24 2 2 2" xfId="12301"/>
    <cellStyle name="Normal 24 2 2 2 2" xfId="12302"/>
    <cellStyle name="Normal 24 2 2 3" xfId="12303"/>
    <cellStyle name="Normal 24 2 3" xfId="12304"/>
    <cellStyle name="Normal 24 2 3 2" xfId="12305"/>
    <cellStyle name="Normal 24 2 4" xfId="12306"/>
    <cellStyle name="Normal 24 3" xfId="12307"/>
    <cellStyle name="Normal 24 3 2" xfId="12308"/>
    <cellStyle name="Normal 24 3 2 2" xfId="12309"/>
    <cellStyle name="Normal 24 3 2 2 2" xfId="12310"/>
    <cellStyle name="Normal 24 3 2 3" xfId="12311"/>
    <cellStyle name="Normal 24 3 3" xfId="12312"/>
    <cellStyle name="Normal 24 3 3 2" xfId="12313"/>
    <cellStyle name="Normal 24 3 4" xfId="12314"/>
    <cellStyle name="Normal 24 3 5" xfId="17288"/>
    <cellStyle name="Normal 24 4" xfId="12315"/>
    <cellStyle name="Normal 24 4 2" xfId="12316"/>
    <cellStyle name="Normal 24 4 2 2" xfId="12317"/>
    <cellStyle name="Normal 24 4 2 2 2" xfId="12318"/>
    <cellStyle name="Normal 24 4 2 3" xfId="12319"/>
    <cellStyle name="Normal 24 4 3" xfId="12320"/>
    <cellStyle name="Normal 24 4 3 2" xfId="12321"/>
    <cellStyle name="Normal 24 4 4" xfId="12322"/>
    <cellStyle name="Normal 24 4 5" xfId="16881"/>
    <cellStyle name="Normal 24 5" xfId="12323"/>
    <cellStyle name="Normal 24 5 2" xfId="12324"/>
    <cellStyle name="Normal 24 5 2 2" xfId="12325"/>
    <cellStyle name="Normal 24 5 3" xfId="12326"/>
    <cellStyle name="Normal 24 6" xfId="12327"/>
    <cellStyle name="Normal 24 6 2" xfId="12328"/>
    <cellStyle name="Normal 24 7" xfId="12329"/>
    <cellStyle name="Normal 24 8" xfId="12330"/>
    <cellStyle name="Normal 240" xfId="17669"/>
    <cellStyle name="Normal 240 2" xfId="18474"/>
    <cellStyle name="Normal 240 3" xfId="19196"/>
    <cellStyle name="Normal 241" xfId="17714"/>
    <cellStyle name="Normal 241 2" xfId="18519"/>
    <cellStyle name="Normal 241 3" xfId="19241"/>
    <cellStyle name="Normal 242" xfId="17445"/>
    <cellStyle name="Normal 242 2" xfId="18250"/>
    <cellStyle name="Normal 242 3" xfId="18986"/>
    <cellStyle name="Normal 243" xfId="17567"/>
    <cellStyle name="Normal 243 2" xfId="18372"/>
    <cellStyle name="Normal 243 3" xfId="19108"/>
    <cellStyle name="Normal 244" xfId="17470"/>
    <cellStyle name="Normal 244 2" xfId="18275"/>
    <cellStyle name="Normal 244 3" xfId="19011"/>
    <cellStyle name="Normal 245" xfId="17310"/>
    <cellStyle name="Normal 245 2" xfId="18115"/>
    <cellStyle name="Normal 245 3" xfId="18851"/>
    <cellStyle name="Normal 246" xfId="17641"/>
    <cellStyle name="Normal 246 2" xfId="18446"/>
    <cellStyle name="Normal 246 3" xfId="19169"/>
    <cellStyle name="Normal 247" xfId="17320"/>
    <cellStyle name="Normal 247 2" xfId="18125"/>
    <cellStyle name="Normal 247 3" xfId="18861"/>
    <cellStyle name="Normal 248" xfId="17475"/>
    <cellStyle name="Normal 248 2" xfId="18280"/>
    <cellStyle name="Normal 248 3" xfId="19016"/>
    <cellStyle name="Normal 249" xfId="17340"/>
    <cellStyle name="Normal 249 2" xfId="18145"/>
    <cellStyle name="Normal 249 3" xfId="18881"/>
    <cellStyle name="Normal 25" xfId="1569"/>
    <cellStyle name="Normal 25 2" xfId="12331"/>
    <cellStyle name="Normal 250" xfId="17437"/>
    <cellStyle name="Normal 250 2" xfId="18242"/>
    <cellStyle name="Normal 250 3" xfId="18978"/>
    <cellStyle name="Normal 251" xfId="17477"/>
    <cellStyle name="Normal 251 2" xfId="18282"/>
    <cellStyle name="Normal 251 3" xfId="19018"/>
    <cellStyle name="Normal 252" xfId="17444"/>
    <cellStyle name="Normal 252 2" xfId="18249"/>
    <cellStyle name="Normal 252 3" xfId="18985"/>
    <cellStyle name="Normal 253" xfId="17423"/>
    <cellStyle name="Normal 253 2" xfId="18228"/>
    <cellStyle name="Normal 253 3" xfId="18964"/>
    <cellStyle name="Normal 254" xfId="17301"/>
    <cellStyle name="Normal 254 2" xfId="18106"/>
    <cellStyle name="Normal 254 3" xfId="18842"/>
    <cellStyle name="Normal 255" xfId="17344"/>
    <cellStyle name="Normal 255 2" xfId="18149"/>
    <cellStyle name="Normal 255 3" xfId="18885"/>
    <cellStyle name="Normal 256" xfId="17312"/>
    <cellStyle name="Normal 256 2" xfId="18117"/>
    <cellStyle name="Normal 256 3" xfId="18853"/>
    <cellStyle name="Normal 257" xfId="17346"/>
    <cellStyle name="Normal 257 2" xfId="18151"/>
    <cellStyle name="Normal 257 3" xfId="18887"/>
    <cellStyle name="Normal 258" xfId="17655"/>
    <cellStyle name="Normal 258 2" xfId="18460"/>
    <cellStyle name="Normal 258 3" xfId="19182"/>
    <cellStyle name="Normal 259" xfId="17414"/>
    <cellStyle name="Normal 259 2" xfId="18219"/>
    <cellStyle name="Normal 259 3" xfId="18955"/>
    <cellStyle name="Normal 26" xfId="1570"/>
    <cellStyle name="Normal 26 2" xfId="12332"/>
    <cellStyle name="Normal 26 3" xfId="12333"/>
    <cellStyle name="Normal 26 3 2" xfId="16882"/>
    <cellStyle name="Normal 26 4" xfId="12334"/>
    <cellStyle name="Normal 260" xfId="17560"/>
    <cellStyle name="Normal 260 2" xfId="18365"/>
    <cellStyle name="Normal 260 3" xfId="19101"/>
    <cellStyle name="Normal 261" xfId="17664"/>
    <cellStyle name="Normal 261 2" xfId="18469"/>
    <cellStyle name="Normal 261 3" xfId="19191"/>
    <cellStyle name="Normal 262" xfId="17304"/>
    <cellStyle name="Normal 262 2" xfId="18109"/>
    <cellStyle name="Normal 262 3" xfId="18845"/>
    <cellStyle name="Normal 263" xfId="17495"/>
    <cellStyle name="Normal 263 2" xfId="18300"/>
    <cellStyle name="Normal 263 3" xfId="19036"/>
    <cellStyle name="Normal 264" xfId="17474"/>
    <cellStyle name="Normal 264 2" xfId="18279"/>
    <cellStyle name="Normal 264 3" xfId="19015"/>
    <cellStyle name="Normal 265" xfId="17332"/>
    <cellStyle name="Normal 265 2" xfId="18137"/>
    <cellStyle name="Normal 265 3" xfId="18873"/>
    <cellStyle name="Normal 266" xfId="17403"/>
    <cellStyle name="Normal 266 2" xfId="18208"/>
    <cellStyle name="Normal 266 3" xfId="18944"/>
    <cellStyle name="Normal 267" xfId="17471"/>
    <cellStyle name="Normal 267 2" xfId="18276"/>
    <cellStyle name="Normal 267 3" xfId="19012"/>
    <cellStyle name="Normal 268" xfId="17391"/>
    <cellStyle name="Normal 268 2" xfId="18196"/>
    <cellStyle name="Normal 268 3" xfId="18932"/>
    <cellStyle name="Normal 269" xfId="17324"/>
    <cellStyle name="Normal 269 2" xfId="18129"/>
    <cellStyle name="Normal 269 3" xfId="18865"/>
    <cellStyle name="Normal 27" xfId="1571"/>
    <cellStyle name="Normal 27 2" xfId="12335"/>
    <cellStyle name="Normal 27 2 2" xfId="12336"/>
    <cellStyle name="Normal 27 2 2 2" xfId="12337"/>
    <cellStyle name="Normal 27 2 3" xfId="12338"/>
    <cellStyle name="Normal 27 3" xfId="12339"/>
    <cellStyle name="Normal 27 3 2" xfId="12340"/>
    <cellStyle name="Normal 27 3 3" xfId="17042"/>
    <cellStyle name="Normal 27 4" xfId="12341"/>
    <cellStyle name="Normal 27 4 2" xfId="16978"/>
    <cellStyle name="Normal 27 5" xfId="12342"/>
    <cellStyle name="Normal 27 6" xfId="12343"/>
    <cellStyle name="Normal 270" xfId="17707"/>
    <cellStyle name="Normal 270 2" xfId="18512"/>
    <cellStyle name="Normal 270 3" xfId="19234"/>
    <cellStyle name="Normal 271" xfId="17466"/>
    <cellStyle name="Normal 271 2" xfId="18271"/>
    <cellStyle name="Normal 271 3" xfId="19007"/>
    <cellStyle name="Normal 272" xfId="17532"/>
    <cellStyle name="Normal 272 2" xfId="18337"/>
    <cellStyle name="Normal 272 3" xfId="19073"/>
    <cellStyle name="Normal 273" xfId="17684"/>
    <cellStyle name="Normal 273 2" xfId="18489"/>
    <cellStyle name="Normal 273 3" xfId="19211"/>
    <cellStyle name="Normal 274" xfId="17349"/>
    <cellStyle name="Normal 274 2" xfId="18154"/>
    <cellStyle name="Normal 274 3" xfId="18890"/>
    <cellStyle name="Normal 275" xfId="17654"/>
    <cellStyle name="Normal 275 2" xfId="18459"/>
    <cellStyle name="Normal 275 3" xfId="19181"/>
    <cellStyle name="Normal 276" xfId="17369"/>
    <cellStyle name="Normal 276 2" xfId="18174"/>
    <cellStyle name="Normal 276 3" xfId="18910"/>
    <cellStyle name="Normal 277" xfId="17396"/>
    <cellStyle name="Normal 277 2" xfId="18201"/>
    <cellStyle name="Normal 277 3" xfId="18937"/>
    <cellStyle name="Normal 278" xfId="17492"/>
    <cellStyle name="Normal 278 2" xfId="18297"/>
    <cellStyle name="Normal 278 3" xfId="19033"/>
    <cellStyle name="Normal 279" xfId="17541"/>
    <cellStyle name="Normal 279 2" xfId="18346"/>
    <cellStyle name="Normal 279 3" xfId="19082"/>
    <cellStyle name="Normal 28" xfId="1572"/>
    <cellStyle name="Normal 28 2" xfId="12344"/>
    <cellStyle name="Normal 28 3" xfId="12345"/>
    <cellStyle name="Normal 28 3 2" xfId="17037"/>
    <cellStyle name="Normal 28 4" xfId="16981"/>
    <cellStyle name="Normal 280" xfId="17550"/>
    <cellStyle name="Normal 280 2" xfId="18355"/>
    <cellStyle name="Normal 280 3" xfId="19091"/>
    <cellStyle name="Normal 281" xfId="17721"/>
    <cellStyle name="Normal 281 2" xfId="18526"/>
    <cellStyle name="Normal 281 3" xfId="19248"/>
    <cellStyle name="Normal 282" xfId="17504"/>
    <cellStyle name="Normal 282 2" xfId="18309"/>
    <cellStyle name="Normal 282 3" xfId="19045"/>
    <cellStyle name="Normal 283" xfId="17512"/>
    <cellStyle name="Normal 283 2" xfId="18317"/>
    <cellStyle name="Normal 283 3" xfId="19053"/>
    <cellStyle name="Normal 284" xfId="17663"/>
    <cellStyle name="Normal 284 2" xfId="18468"/>
    <cellStyle name="Normal 284 3" xfId="19190"/>
    <cellStyle name="Normal 285" xfId="17705"/>
    <cellStyle name="Normal 285 2" xfId="18510"/>
    <cellStyle name="Normal 285 3" xfId="19232"/>
    <cellStyle name="Normal 286" xfId="17539"/>
    <cellStyle name="Normal 286 2" xfId="18344"/>
    <cellStyle name="Normal 286 3" xfId="19080"/>
    <cellStyle name="Normal 287" xfId="17694"/>
    <cellStyle name="Normal 287 2" xfId="18499"/>
    <cellStyle name="Normal 287 3" xfId="19221"/>
    <cellStyle name="Normal 288" xfId="17436"/>
    <cellStyle name="Normal 288 2" xfId="18241"/>
    <cellStyle name="Normal 288 3" xfId="18977"/>
    <cellStyle name="Normal 289" xfId="17385"/>
    <cellStyle name="Normal 289 2" xfId="18190"/>
    <cellStyle name="Normal 289 3" xfId="18926"/>
    <cellStyle name="Normal 29" xfId="1573"/>
    <cellStyle name="Normal 29 2" xfId="12346"/>
    <cellStyle name="Normal 29 2 2" xfId="12347"/>
    <cellStyle name="Normal 29 3" xfId="12348"/>
    <cellStyle name="Normal 29 3 2" xfId="16985"/>
    <cellStyle name="Normal 29 4" xfId="12349"/>
    <cellStyle name="Normal 290" xfId="17682"/>
    <cellStyle name="Normal 290 2" xfId="18487"/>
    <cellStyle name="Normal 290 3" xfId="19209"/>
    <cellStyle name="Normal 291" xfId="17350"/>
    <cellStyle name="Normal 291 2" xfId="18155"/>
    <cellStyle name="Normal 291 3" xfId="18891"/>
    <cellStyle name="Normal 292" xfId="17653"/>
    <cellStyle name="Normal 292 2" xfId="18458"/>
    <cellStyle name="Normal 292 3" xfId="19180"/>
    <cellStyle name="Normal 293" xfId="17394"/>
    <cellStyle name="Normal 293 2" xfId="18199"/>
    <cellStyle name="Normal 293 3" xfId="18935"/>
    <cellStyle name="Normal 294" xfId="17548"/>
    <cellStyle name="Normal 294 2" xfId="18353"/>
    <cellStyle name="Normal 294 3" xfId="19089"/>
    <cellStyle name="Normal 295" xfId="17608"/>
    <cellStyle name="Normal 295 2" xfId="18413"/>
    <cellStyle name="Normal 295 3" xfId="19143"/>
    <cellStyle name="Normal 296" xfId="17322"/>
    <cellStyle name="Normal 296 2" xfId="18127"/>
    <cellStyle name="Normal 296 3" xfId="18863"/>
    <cellStyle name="Normal 297" xfId="17487"/>
    <cellStyle name="Normal 297 2" xfId="18292"/>
    <cellStyle name="Normal 297 3" xfId="19028"/>
    <cellStyle name="Normal 298" xfId="17665"/>
    <cellStyle name="Normal 298 2" xfId="18470"/>
    <cellStyle name="Normal 298 3" xfId="19192"/>
    <cellStyle name="Normal 299" xfId="17706"/>
    <cellStyle name="Normal 299 2" xfId="18511"/>
    <cellStyle name="Normal 299 3" xfId="19233"/>
    <cellStyle name="Normal 3" xfId="1574"/>
    <cellStyle name="Normal 3 10" xfId="12350"/>
    <cellStyle name="Normal 3 10 2" xfId="12351"/>
    <cellStyle name="Normal 3 10 2 2" xfId="12352"/>
    <cellStyle name="Normal 3 10 2 2 2" xfId="12353"/>
    <cellStyle name="Normal 3 10 2 2 3" xfId="12354"/>
    <cellStyle name="Normal 3 10 2 3" xfId="12355"/>
    <cellStyle name="Normal 3 10 2 4" xfId="12356"/>
    <cellStyle name="Normal 3 10 2 5" xfId="12357"/>
    <cellStyle name="Normal 3 10 3" xfId="12358"/>
    <cellStyle name="Normal 3 10 3 2" xfId="12359"/>
    <cellStyle name="Normal 3 10 3 3" xfId="12360"/>
    <cellStyle name="Normal 3 10 3 4" xfId="12361"/>
    <cellStyle name="Normal 3 10 4" xfId="12362"/>
    <cellStyle name="Normal 3 10 4 2" xfId="12363"/>
    <cellStyle name="Normal 3 10 5" xfId="12364"/>
    <cellStyle name="Normal 3 10 6" xfId="12365"/>
    <cellStyle name="Normal 3 11" xfId="12366"/>
    <cellStyle name="Normal 3 11 2" xfId="12367"/>
    <cellStyle name="Normal 3 11 2 2" xfId="12368"/>
    <cellStyle name="Normal 3 11 3" xfId="12369"/>
    <cellStyle name="Normal 3 11 4" xfId="12370"/>
    <cellStyle name="Normal 3 11 5" xfId="12371"/>
    <cellStyle name="Normal 3 12" xfId="12372"/>
    <cellStyle name="Normal 3 12 2" xfId="12373"/>
    <cellStyle name="Normal 3 12 2 2" xfId="12374"/>
    <cellStyle name="Normal 3 12 2 3" xfId="12375"/>
    <cellStyle name="Normal 3 12 2 4" xfId="12376"/>
    <cellStyle name="Normal 3 12 3" xfId="12377"/>
    <cellStyle name="Normal 3 12 4" xfId="12378"/>
    <cellStyle name="Normal 3 12 5" xfId="12379"/>
    <cellStyle name="Normal 3 13" xfId="12380"/>
    <cellStyle name="Normal 3 13 2" xfId="12381"/>
    <cellStyle name="Normal 3 13 2 2" xfId="12382"/>
    <cellStyle name="Normal 3 13 3" xfId="12383"/>
    <cellStyle name="Normal 3 13 3 2" xfId="12384"/>
    <cellStyle name="Normal 3 13 4" xfId="12385"/>
    <cellStyle name="Normal 3 13 5" xfId="12386"/>
    <cellStyle name="Normal 3 14" xfId="12387"/>
    <cellStyle name="Normal 3 14 2" xfId="12388"/>
    <cellStyle name="Normal 3 14 2 2" xfId="12389"/>
    <cellStyle name="Normal 3 14 3" xfId="12390"/>
    <cellStyle name="Normal 3 14 3 2" xfId="12391"/>
    <cellStyle name="Normal 3 14 4" xfId="12392"/>
    <cellStyle name="Normal 3 14 4 2" xfId="12393"/>
    <cellStyle name="Normal 3 14 5" xfId="12394"/>
    <cellStyle name="Normal 3 15" xfId="12395"/>
    <cellStyle name="Normal 3 15 2" xfId="12396"/>
    <cellStyle name="Normal 3 15 3" xfId="12397"/>
    <cellStyle name="Normal 3 15 4" xfId="12398"/>
    <cellStyle name="Normal 3 15 5" xfId="12399"/>
    <cellStyle name="Normal 3 16" xfId="12400"/>
    <cellStyle name="Normal 3 16 2" xfId="12401"/>
    <cellStyle name="Normal 3 16 3" xfId="12402"/>
    <cellStyle name="Normal 3 16 4" xfId="12403"/>
    <cellStyle name="Normal 3 16 5" xfId="12404"/>
    <cellStyle name="Normal 3 17" xfId="12405"/>
    <cellStyle name="Normal 3 17 2" xfId="12406"/>
    <cellStyle name="Normal 3 17 3" xfId="12407"/>
    <cellStyle name="Normal 3 17 4" xfId="12408"/>
    <cellStyle name="Normal 3 17 5" xfId="12409"/>
    <cellStyle name="Normal 3 18" xfId="12410"/>
    <cellStyle name="Normal 3 18 2" xfId="12411"/>
    <cellStyle name="Normal 3 18 2 2" xfId="12412"/>
    <cellStyle name="Normal 3 18 2 2 2" xfId="12413"/>
    <cellStyle name="Normal 3 18 2 3" xfId="12414"/>
    <cellStyle name="Normal 3 18 3" xfId="12415"/>
    <cellStyle name="Normal 3 18 3 2" xfId="12416"/>
    <cellStyle name="Normal 3 18 4" xfId="12417"/>
    <cellStyle name="Normal 3 18 5" xfId="12418"/>
    <cellStyle name="Normal 3 19" xfId="12419"/>
    <cellStyle name="Normal 3 19 2" xfId="12420"/>
    <cellStyle name="Normal 3 19 3" xfId="12421"/>
    <cellStyle name="Normal 3 2" xfId="1575"/>
    <cellStyle name="Normal 3 2 10" xfId="18705"/>
    <cellStyle name="Normal 3 2 10 2" xfId="19355"/>
    <cellStyle name="Normal 3 2 11" xfId="19697"/>
    <cellStyle name="Normal 3 2 2" xfId="1576"/>
    <cellStyle name="Normal 3 2 2 2" xfId="12422"/>
    <cellStyle name="Normal 3 2 2 2 2" xfId="16170"/>
    <cellStyle name="Normal 3 2 2 2 2 2" xfId="16177"/>
    <cellStyle name="Normal 3 2 2 2 2 2 2" xfId="16846"/>
    <cellStyle name="Normal 3 2 2 2 2 2 3" xfId="16799"/>
    <cellStyle name="Normal 3 2 2 2 2 2 4" xfId="17889"/>
    <cellStyle name="Normal 3 2 2 2 2 2 5" xfId="16629"/>
    <cellStyle name="Normal 3 2 2 2 2 3" xfId="16832"/>
    <cellStyle name="Normal 3 2 2 2 2 4" xfId="16780"/>
    <cellStyle name="Normal 3 2 2 2 2 5" xfId="17837"/>
    <cellStyle name="Normal 3 2 2 2 2 6" xfId="16628"/>
    <cellStyle name="Normal 3 2 2 2 3" xfId="16176"/>
    <cellStyle name="Normal 3 2 2 2 3 2" xfId="16845"/>
    <cellStyle name="Normal 3 2 2 2 3 3" xfId="16800"/>
    <cellStyle name="Normal 3 2 2 2 3 4" xfId="17831"/>
    <cellStyle name="Normal 3 2 2 2 3 5" xfId="16630"/>
    <cellStyle name="Normal 3 2 2 2 4" xfId="16831"/>
    <cellStyle name="Normal 3 2 2 2 5" xfId="16779"/>
    <cellStyle name="Normal 3 2 2 2 6" xfId="17862"/>
    <cellStyle name="Normal 3 2 2 2 7" xfId="16627"/>
    <cellStyle name="Normal 3 2 2 3" xfId="12423"/>
    <cellStyle name="Normal 3 2 2 3 2" xfId="16178"/>
    <cellStyle name="Normal 3 2 2 3 2 2" xfId="16847"/>
    <cellStyle name="Normal 3 2 2 3 2 3" xfId="16801"/>
    <cellStyle name="Normal 3 2 2 3 2 4" xfId="17896"/>
    <cellStyle name="Normal 3 2 2 3 2 5" xfId="16632"/>
    <cellStyle name="Normal 3 2 2 3 3" xfId="16833"/>
    <cellStyle name="Normal 3 2 2 3 4" xfId="16781"/>
    <cellStyle name="Normal 3 2 2 3 5" xfId="17908"/>
    <cellStyle name="Normal 3 2 2 3 6" xfId="16631"/>
    <cellStyle name="Normal 3 2 2 4" xfId="12424"/>
    <cellStyle name="Normal 3 2 2 4 2" xfId="16844"/>
    <cellStyle name="Normal 3 2 2 4 3" xfId="16802"/>
    <cellStyle name="Normal 3 2 2 4 4" xfId="17899"/>
    <cellStyle name="Normal 3 2 2 4 5" xfId="16633"/>
    <cellStyle name="Normal 3 2 2 5" xfId="12425"/>
    <cellStyle name="Normal 3 2 2 6" xfId="16778"/>
    <cellStyle name="Normal 3 2 2 7" xfId="17904"/>
    <cellStyle name="Normal 3 2 2 8" xfId="16626"/>
    <cellStyle name="Normal 3 2 2 8 2" xfId="19309"/>
    <cellStyle name="Normal 3 2 2 9" xfId="18710"/>
    <cellStyle name="Normal 3 2 3" xfId="12426"/>
    <cellStyle name="Normal 3 2 3 2" xfId="12427"/>
    <cellStyle name="Normal 3 2 3 2 2" xfId="16180"/>
    <cellStyle name="Normal 3 2 3 2 2 2" xfId="16849"/>
    <cellStyle name="Normal 3 2 3 2 2 3" xfId="16803"/>
    <cellStyle name="Normal 3 2 3 2 2 4" xfId="17788"/>
    <cellStyle name="Normal 3 2 3 2 2 5" xfId="16636"/>
    <cellStyle name="Normal 3 2 3 2 3" xfId="16835"/>
    <cellStyle name="Normal 3 2 3 2 4" xfId="16783"/>
    <cellStyle name="Normal 3 2 3 2 5" xfId="17825"/>
    <cellStyle name="Normal 3 2 3 2 6" xfId="16635"/>
    <cellStyle name="Normal 3 2 3 3" xfId="16179"/>
    <cellStyle name="Normal 3 2 3 3 2" xfId="16848"/>
    <cellStyle name="Normal 3 2 3 3 3" xfId="16804"/>
    <cellStyle name="Normal 3 2 3 3 4" xfId="17871"/>
    <cellStyle name="Normal 3 2 3 3 5" xfId="16637"/>
    <cellStyle name="Normal 3 2 3 4" xfId="16834"/>
    <cellStyle name="Normal 3 2 3 5" xfId="16782"/>
    <cellStyle name="Normal 3 2 3 6" xfId="17842"/>
    <cellStyle name="Normal 3 2 3 7" xfId="16634"/>
    <cellStyle name="Normal 3 2 4" xfId="12428"/>
    <cellStyle name="Normal 3 2 4 2" xfId="12429"/>
    <cellStyle name="Normal 3 2 4 2 2" xfId="16850"/>
    <cellStyle name="Normal 3 2 4 2 3" xfId="16805"/>
    <cellStyle name="Normal 3 2 4 2 4" xfId="17800"/>
    <cellStyle name="Normal 3 2 4 2 5" xfId="16639"/>
    <cellStyle name="Normal 3 2 4 2 6" xfId="19802"/>
    <cellStyle name="Normal 3 2 4 3" xfId="12430"/>
    <cellStyle name="Normal 3 2 4 4" xfId="12431"/>
    <cellStyle name="Normal 3 2 4 5" xfId="12432"/>
    <cellStyle name="Normal 3 2 4 5 2" xfId="17815"/>
    <cellStyle name="Normal 3 2 4 6" xfId="16638"/>
    <cellStyle name="Normal 3 2 4 7" xfId="19775"/>
    <cellStyle name="Normal 3 2 5" xfId="12433"/>
    <cellStyle name="Normal 3 2 5 2" xfId="12434"/>
    <cellStyle name="Normal 3 2 5 3" xfId="16806"/>
    <cellStyle name="Normal 3 2 5 4" xfId="17841"/>
    <cellStyle name="Normal 3 2 5 5" xfId="16640"/>
    <cellStyle name="Normal 3 2 6" xfId="12435"/>
    <cellStyle name="Normal 3 2 6 2" xfId="12436"/>
    <cellStyle name="Normal 3 2 6 2 2" xfId="17100"/>
    <cellStyle name="Normal 3 2 6 3" xfId="16830"/>
    <cellStyle name="Normal 3 2 6 4" xfId="16294"/>
    <cellStyle name="Normal 3 2 7" xfId="12437"/>
    <cellStyle name="Normal 3 2 8" xfId="12438"/>
    <cellStyle name="Normal 3 2 8 2" xfId="17830"/>
    <cellStyle name="Normal 3 2 9" xfId="16625"/>
    <cellStyle name="Normal 3 2 9 2" xfId="19308"/>
    <cellStyle name="Normal 3 2 9 2 2" xfId="19395"/>
    <cellStyle name="Normal 3 20" xfId="12439"/>
    <cellStyle name="Normal 3 20 2" xfId="12440"/>
    <cellStyle name="Normal 3 20 3" xfId="12441"/>
    <cellStyle name="Normal 3 21" xfId="12442"/>
    <cellStyle name="Normal 3 21 2" xfId="12443"/>
    <cellStyle name="Normal 3 22" xfId="12444"/>
    <cellStyle name="Normal 3 22 2" xfId="12445"/>
    <cellStyle name="Normal 3 23" xfId="12446"/>
    <cellStyle name="Normal 3 23 2" xfId="12447"/>
    <cellStyle name="Normal 3 24" xfId="12448"/>
    <cellStyle name="Normal 3 25" xfId="12449"/>
    <cellStyle name="Normal 3 26" xfId="12450"/>
    <cellStyle name="Normal 3 27" xfId="12451"/>
    <cellStyle name="Normal 3 28" xfId="12452"/>
    <cellStyle name="Normal 3 29" xfId="12453"/>
    <cellStyle name="Normal 3 3" xfId="1577"/>
    <cellStyle name="Normal 3 3 10" xfId="1578"/>
    <cellStyle name="Normal 3 3 11" xfId="1579"/>
    <cellStyle name="Normal 3 3 12" xfId="1580"/>
    <cellStyle name="Normal 3 3 13" xfId="1581"/>
    <cellStyle name="Normal 3 3 14" xfId="1582"/>
    <cellStyle name="Normal 3 3 15" xfId="1583"/>
    <cellStyle name="Normal 3 3 16" xfId="12454"/>
    <cellStyle name="Normal 3 3 17" xfId="12455"/>
    <cellStyle name="Normal 3 3 18" xfId="16079"/>
    <cellStyle name="Normal 3 3 19" xfId="16295"/>
    <cellStyle name="Normal 3 3 2" xfId="1584"/>
    <cellStyle name="Normal 3 3 2 2" xfId="12456"/>
    <cellStyle name="Normal 3 3 2 2 2" xfId="12457"/>
    <cellStyle name="Normal 3 3 2 2 2 2" xfId="12458"/>
    <cellStyle name="Normal 3 3 2 2 2 3" xfId="12459"/>
    <cellStyle name="Normal 3 3 2 2 3" xfId="12460"/>
    <cellStyle name="Normal 3 3 2 2 3 2" xfId="12461"/>
    <cellStyle name="Normal 3 3 2 2 4" xfId="12462"/>
    <cellStyle name="Normal 3 3 2 3" xfId="12463"/>
    <cellStyle name="Normal 3 3 2 3 2" xfId="12464"/>
    <cellStyle name="Normal 3 3 2 3 2 2" xfId="12465"/>
    <cellStyle name="Normal 3 3 2 3 3" xfId="12466"/>
    <cellStyle name="Normal 3 3 2 4" xfId="12467"/>
    <cellStyle name="Normal 3 3 2 4 2" xfId="12468"/>
    <cellStyle name="Normal 3 3 2 5" xfId="12469"/>
    <cellStyle name="Normal 3 3 2 6" xfId="12470"/>
    <cellStyle name="Normal 3 3 2 7" xfId="12471"/>
    <cellStyle name="Normal 3 3 2 8" xfId="12472"/>
    <cellStyle name="Normal 3 3 3" xfId="1585"/>
    <cellStyle name="Normal 3 3 3 2" xfId="12473"/>
    <cellStyle name="Normal 3 3 3 2 2" xfId="12474"/>
    <cellStyle name="Normal 3 3 3 2 3" xfId="12475"/>
    <cellStyle name="Normal 3 3 3 3" xfId="12476"/>
    <cellStyle name="Normal 3 3 3 3 2" xfId="12477"/>
    <cellStyle name="Normal 3 3 3 4" xfId="12478"/>
    <cellStyle name="Normal 3 3 3 5" xfId="12479"/>
    <cellStyle name="Normal 3 3 3 6" xfId="12480"/>
    <cellStyle name="Normal 3 3 3 7" xfId="12481"/>
    <cellStyle name="Normal 3 3 3 8" xfId="17101"/>
    <cellStyle name="Normal 3 3 4" xfId="1586"/>
    <cellStyle name="Normal 3 3 4 2" xfId="12482"/>
    <cellStyle name="Normal 3 3 4 2 2" xfId="12483"/>
    <cellStyle name="Normal 3 3 4 3" xfId="12484"/>
    <cellStyle name="Normal 3 3 4 4" xfId="12485"/>
    <cellStyle name="Normal 3 3 4 5" xfId="12486"/>
    <cellStyle name="Normal 3 3 4 6" xfId="12487"/>
    <cellStyle name="Normal 3 3 4 7" xfId="16790"/>
    <cellStyle name="Normal 3 3 5" xfId="1587"/>
    <cellStyle name="Normal 3 3 5 2" xfId="12488"/>
    <cellStyle name="Normal 3 3 5 3" xfId="12489"/>
    <cellStyle name="Normal 3 3 5 4" xfId="12490"/>
    <cellStyle name="Normal 3 3 6" xfId="1588"/>
    <cellStyle name="Normal 3 3 6 2" xfId="12491"/>
    <cellStyle name="Normal 3 3 6 3" xfId="12492"/>
    <cellStyle name="Normal 3 3 7" xfId="1589"/>
    <cellStyle name="Normal 3 3 7 2" xfId="12493"/>
    <cellStyle name="Normal 3 3 7 3" xfId="12494"/>
    <cellStyle name="Normal 3 3 8" xfId="1590"/>
    <cellStyle name="Normal 3 3 8 2" xfId="12495"/>
    <cellStyle name="Normal 3 3 8 3" xfId="12496"/>
    <cellStyle name="Normal 3 3 9" xfId="1591"/>
    <cellStyle name="Normal 3 3 9 2" xfId="12497"/>
    <cellStyle name="Normal 3 3 9 3" xfId="12498"/>
    <cellStyle name="Normal 3 30" xfId="16131"/>
    <cellStyle name="Normal 3 4" xfId="1592"/>
    <cellStyle name="Normal 3 4 2" xfId="12499"/>
    <cellStyle name="Normal 3 4 2 2" xfId="12500"/>
    <cellStyle name="Normal 3 4 3" xfId="12501"/>
    <cellStyle name="Normal 3 4 3 2" xfId="12502"/>
    <cellStyle name="Normal 3 4 4" xfId="12503"/>
    <cellStyle name="Normal 3 4 4 2" xfId="12504"/>
    <cellStyle name="Normal 3 4 5" xfId="12505"/>
    <cellStyle name="Normal 3 4 6" xfId="12506"/>
    <cellStyle name="Normal 3 4 7" xfId="12507"/>
    <cellStyle name="Normal 3 4 8" xfId="16641"/>
    <cellStyle name="Normal 3 5" xfId="1593"/>
    <cellStyle name="Normal 3 5 10" xfId="16767"/>
    <cellStyle name="Normal 3 5 2" xfId="12508"/>
    <cellStyle name="Normal 3 5 2 2" xfId="12509"/>
    <cellStyle name="Normal 3 5 2 2 2" xfId="12510"/>
    <cellStyle name="Normal 3 5 2 2 2 2" xfId="12511"/>
    <cellStyle name="Normal 3 5 2 2 2 3" xfId="12512"/>
    <cellStyle name="Normal 3 5 2 2 3" xfId="12513"/>
    <cellStyle name="Normal 3 5 2 2 3 2" xfId="12514"/>
    <cellStyle name="Normal 3 5 2 2 4" xfId="12515"/>
    <cellStyle name="Normal 3 5 2 3" xfId="12516"/>
    <cellStyle name="Normal 3 5 2 3 2" xfId="12517"/>
    <cellStyle name="Normal 3 5 2 3 2 2" xfId="12518"/>
    <cellStyle name="Normal 3 5 2 3 3" xfId="12519"/>
    <cellStyle name="Normal 3 5 2 4" xfId="12520"/>
    <cellStyle name="Normal 3 5 2 4 2" xfId="12521"/>
    <cellStyle name="Normal 3 5 2 5" xfId="12522"/>
    <cellStyle name="Normal 3 5 2 6" xfId="12523"/>
    <cellStyle name="Normal 3 5 3" xfId="12524"/>
    <cellStyle name="Normal 3 5 3 2" xfId="12525"/>
    <cellStyle name="Normal 3 5 3 2 2" xfId="12526"/>
    <cellStyle name="Normal 3 5 3 2 3" xfId="12527"/>
    <cellStyle name="Normal 3 5 3 3" xfId="12528"/>
    <cellStyle name="Normal 3 5 3 3 2" xfId="12529"/>
    <cellStyle name="Normal 3 5 3 4" xfId="12530"/>
    <cellStyle name="Normal 3 5 3 5" xfId="12531"/>
    <cellStyle name="Normal 3 5 4" xfId="12532"/>
    <cellStyle name="Normal 3 5 4 2" xfId="12533"/>
    <cellStyle name="Normal 3 5 4 2 2" xfId="12534"/>
    <cellStyle name="Normal 3 5 4 3" xfId="12535"/>
    <cellStyle name="Normal 3 5 4 4" xfId="12536"/>
    <cellStyle name="Normal 3 5 5" xfId="12537"/>
    <cellStyle name="Normal 3 5 5 2" xfId="12538"/>
    <cellStyle name="Normal 3 5 6" xfId="12539"/>
    <cellStyle name="Normal 3 5 7" xfId="12540"/>
    <cellStyle name="Normal 3 5 8" xfId="12541"/>
    <cellStyle name="Normal 3 5 9" xfId="12542"/>
    <cellStyle name="Normal 3 6" xfId="1594"/>
    <cellStyle name="Normal 3 6 2" xfId="12543"/>
    <cellStyle name="Normal 3 6 3" xfId="12544"/>
    <cellStyle name="Normal 3 6 4" xfId="12545"/>
    <cellStyle name="Normal 3 6 5" xfId="12546"/>
    <cellStyle name="Normal 3 6 6" xfId="12547"/>
    <cellStyle name="Normal 3 6 7" xfId="12548"/>
    <cellStyle name="Normal 3 6 8" xfId="17886"/>
    <cellStyle name="Normal 3 6 9" xfId="19764"/>
    <cellStyle name="Normal 3 7" xfId="12549"/>
    <cellStyle name="Normal 3 7 2" xfId="12550"/>
    <cellStyle name="Normal 3 7 2 2" xfId="12551"/>
    <cellStyle name="Normal 3 7 2 2 2" xfId="12552"/>
    <cellStyle name="Normal 3 7 2 2 2 2" xfId="12553"/>
    <cellStyle name="Normal 3 7 2 2 2 3" xfId="12554"/>
    <cellStyle name="Normal 3 7 2 2 3" xfId="12555"/>
    <cellStyle name="Normal 3 7 2 2 3 2" xfId="12556"/>
    <cellStyle name="Normal 3 7 2 2 4" xfId="12557"/>
    <cellStyle name="Normal 3 7 2 3" xfId="12558"/>
    <cellStyle name="Normal 3 7 2 3 2" xfId="12559"/>
    <cellStyle name="Normal 3 7 2 3 2 2" xfId="12560"/>
    <cellStyle name="Normal 3 7 2 3 3" xfId="12561"/>
    <cellStyle name="Normal 3 7 2 4" xfId="12562"/>
    <cellStyle name="Normal 3 7 2 4 2" xfId="12563"/>
    <cellStyle name="Normal 3 7 2 5" xfId="12564"/>
    <cellStyle name="Normal 3 7 2 6" xfId="12565"/>
    <cellStyle name="Normal 3 7 3" xfId="12566"/>
    <cellStyle name="Normal 3 7 3 2" xfId="12567"/>
    <cellStyle name="Normal 3 7 3 2 2" xfId="12568"/>
    <cellStyle name="Normal 3 7 3 2 3" xfId="12569"/>
    <cellStyle name="Normal 3 7 3 3" xfId="12570"/>
    <cellStyle name="Normal 3 7 3 3 2" xfId="12571"/>
    <cellStyle name="Normal 3 7 3 4" xfId="12572"/>
    <cellStyle name="Normal 3 7 3 5" xfId="12573"/>
    <cellStyle name="Normal 3 7 4" xfId="12574"/>
    <cellStyle name="Normal 3 7 4 2" xfId="12575"/>
    <cellStyle name="Normal 3 7 4 2 2" xfId="12576"/>
    <cellStyle name="Normal 3 7 4 3" xfId="12577"/>
    <cellStyle name="Normal 3 7 4 4" xfId="12578"/>
    <cellStyle name="Normal 3 7 5" xfId="12579"/>
    <cellStyle name="Normal 3 7 5 2" xfId="12580"/>
    <cellStyle name="Normal 3 7 6" xfId="12581"/>
    <cellStyle name="Normal 3 7 7" xfId="12582"/>
    <cellStyle name="Normal 3 7 8" xfId="16624"/>
    <cellStyle name="Normal 3 8" xfId="12583"/>
    <cellStyle name="Normal 3 8 2" xfId="12584"/>
    <cellStyle name="Normal 3 8 2 2" xfId="12585"/>
    <cellStyle name="Normal 3 8 2 2 2" xfId="12586"/>
    <cellStyle name="Normal 3 8 2 2 3" xfId="12587"/>
    <cellStyle name="Normal 3 8 2 3" xfId="12588"/>
    <cellStyle name="Normal 3 8 2 3 2" xfId="12589"/>
    <cellStyle name="Normal 3 8 2 4" xfId="12590"/>
    <cellStyle name="Normal 3 8 2 5" xfId="12591"/>
    <cellStyle name="Normal 3 8 3" xfId="12592"/>
    <cellStyle name="Normal 3 8 3 2" xfId="12593"/>
    <cellStyle name="Normal 3 8 3 2 2" xfId="12594"/>
    <cellStyle name="Normal 3 8 3 3" xfId="12595"/>
    <cellStyle name="Normal 3 8 3 4" xfId="12596"/>
    <cellStyle name="Normal 3 8 4" xfId="12597"/>
    <cellStyle name="Normal 3 8 4 2" xfId="12598"/>
    <cellStyle name="Normal 3 8 4 3" xfId="12599"/>
    <cellStyle name="Normal 3 8 5" xfId="12600"/>
    <cellStyle name="Normal 3 8 6" xfId="12601"/>
    <cellStyle name="Normal 3 8 7" xfId="16513"/>
    <cellStyle name="Normal 3 9" xfId="12602"/>
    <cellStyle name="Normal 3 9 2" xfId="12603"/>
    <cellStyle name="Normal 3 9 2 2" xfId="12604"/>
    <cellStyle name="Normal 3 9 2 2 2" xfId="12605"/>
    <cellStyle name="Normal 3 9 2 2 3" xfId="12606"/>
    <cellStyle name="Normal 3 9 2 3" xfId="12607"/>
    <cellStyle name="Normal 3 9 2 4" xfId="12608"/>
    <cellStyle name="Normal 3 9 2 5" xfId="12609"/>
    <cellStyle name="Normal 3 9 3" xfId="12610"/>
    <cellStyle name="Normal 3 9 3 2" xfId="12611"/>
    <cellStyle name="Normal 3 9 3 3" xfId="12612"/>
    <cellStyle name="Normal 3 9 3 4" xfId="12613"/>
    <cellStyle name="Normal 3 9 4" xfId="12614"/>
    <cellStyle name="Normal 3 9 4 2" xfId="12615"/>
    <cellStyle name="Normal 3 9 4 3" xfId="12616"/>
    <cellStyle name="Normal 3 9 5" xfId="12617"/>
    <cellStyle name="Normal 3 9 6" xfId="12618"/>
    <cellStyle name="Normal 30" xfId="1595"/>
    <cellStyle name="Normal 30 2" xfId="12619"/>
    <cellStyle name="Normal 30 3" xfId="17041"/>
    <cellStyle name="Normal 30 4" xfId="16988"/>
    <cellStyle name="Normal 300" xfId="17493"/>
    <cellStyle name="Normal 300 2" xfId="18298"/>
    <cellStyle name="Normal 300 3" xfId="19034"/>
    <cellStyle name="Normal 301" xfId="17528"/>
    <cellStyle name="Normal 301 2" xfId="18333"/>
    <cellStyle name="Normal 301 3" xfId="19069"/>
    <cellStyle name="Normal 302" xfId="17686"/>
    <cellStyle name="Normal 302 2" xfId="18491"/>
    <cellStyle name="Normal 302 3" xfId="19213"/>
    <cellStyle name="Normal 303" xfId="17516"/>
    <cellStyle name="Normal 303 2" xfId="18321"/>
    <cellStyle name="Normal 303 3" xfId="19057"/>
    <cellStyle name="Normal 304" xfId="17326"/>
    <cellStyle name="Normal 304 2" xfId="18131"/>
    <cellStyle name="Normal 304 3" xfId="18867"/>
    <cellStyle name="Normal 305" xfId="17378"/>
    <cellStyle name="Normal 305 2" xfId="18183"/>
    <cellStyle name="Normal 305 3" xfId="18919"/>
    <cellStyle name="Normal 306" xfId="17651"/>
    <cellStyle name="Normal 306 2" xfId="18456"/>
    <cellStyle name="Normal 306 3" xfId="19178"/>
    <cellStyle name="Normal 307" xfId="17750"/>
    <cellStyle name="Normal 307 2" xfId="18555"/>
    <cellStyle name="Normal 307 3" xfId="19277"/>
    <cellStyle name="Normal 308" xfId="17529"/>
    <cellStyle name="Normal 308 2" xfId="18334"/>
    <cellStyle name="Normal 308 3" xfId="19070"/>
    <cellStyle name="Normal 309" xfId="17746"/>
    <cellStyle name="Normal 309 2" xfId="18551"/>
    <cellStyle name="Normal 309 3" xfId="19273"/>
    <cellStyle name="Normal 31" xfId="1596"/>
    <cellStyle name="Normal 31 2" xfId="12620"/>
    <cellStyle name="Normal 31 2 2" xfId="17576"/>
    <cellStyle name="Normal 31 2 2 2" xfId="18381"/>
    <cellStyle name="Normal 31 2 2 3" xfId="19117"/>
    <cellStyle name="Normal 31 2 3" xfId="18043"/>
    <cellStyle name="Normal 31 2 4" xfId="18802"/>
    <cellStyle name="Normal 31 2 5" xfId="17067"/>
    <cellStyle name="Normal 31 2 6" xfId="16498"/>
    <cellStyle name="Normal 31 2 7" xfId="16255"/>
    <cellStyle name="Normal 31 3" xfId="17044"/>
    <cellStyle name="Normal 31 3 2" xfId="17557"/>
    <cellStyle name="Normal 31 3 2 2" xfId="18362"/>
    <cellStyle name="Normal 31 3 2 3" xfId="19098"/>
    <cellStyle name="Normal 31 3 3" xfId="18030"/>
    <cellStyle name="Normal 31 3 4" xfId="18789"/>
    <cellStyle name="Normal 31 4" xfId="17030"/>
    <cellStyle name="Normal 31 5" xfId="16991"/>
    <cellStyle name="Normal 31 6" xfId="16484"/>
    <cellStyle name="Normal 31 7" xfId="16226"/>
    <cellStyle name="Normal 310" xfId="17737"/>
    <cellStyle name="Normal 310 2" xfId="18542"/>
    <cellStyle name="Normal 310 3" xfId="19264"/>
    <cellStyle name="Normal 311" xfId="17317"/>
    <cellStyle name="Normal 311 2" xfId="18122"/>
    <cellStyle name="Normal 311 3" xfId="18858"/>
    <cellStyle name="Normal 312" xfId="17347"/>
    <cellStyle name="Normal 312 2" xfId="18152"/>
    <cellStyle name="Normal 312 3" xfId="18888"/>
    <cellStyle name="Normal 313" xfId="17725"/>
    <cellStyle name="Normal 313 2" xfId="18530"/>
    <cellStyle name="Normal 313 3" xfId="19252"/>
    <cellStyle name="Normal 314" xfId="17441"/>
    <cellStyle name="Normal 314 2" xfId="18246"/>
    <cellStyle name="Normal 314 3" xfId="18982"/>
    <cellStyle name="Normal 315" xfId="17732"/>
    <cellStyle name="Normal 315 2" xfId="18537"/>
    <cellStyle name="Normal 315 3" xfId="19259"/>
    <cellStyle name="Normal 316" xfId="17637"/>
    <cellStyle name="Normal 316 2" xfId="18442"/>
    <cellStyle name="Normal 316 3" xfId="19165"/>
    <cellStyle name="Normal 317" xfId="17434"/>
    <cellStyle name="Normal 317 2" xfId="18239"/>
    <cellStyle name="Normal 317 3" xfId="18975"/>
    <cellStyle name="Normal 318" xfId="17402"/>
    <cellStyle name="Normal 318 2" xfId="18207"/>
    <cellStyle name="Normal 318 3" xfId="18943"/>
    <cellStyle name="Normal 319" xfId="17305"/>
    <cellStyle name="Normal 319 2" xfId="18110"/>
    <cellStyle name="Normal 319 3" xfId="18846"/>
    <cellStyle name="Normal 32" xfId="1597"/>
    <cellStyle name="Normal 32 2" xfId="2377"/>
    <cellStyle name="Normal 32 2 2" xfId="17577"/>
    <cellStyle name="Normal 32 2 2 2" xfId="18382"/>
    <cellStyle name="Normal 32 2 2 3" xfId="19118"/>
    <cellStyle name="Normal 32 2 3" xfId="18044"/>
    <cellStyle name="Normal 32 2 4" xfId="18803"/>
    <cellStyle name="Normal 32 2 5" xfId="17068"/>
    <cellStyle name="Normal 32 2 6" xfId="16499"/>
    <cellStyle name="Normal 32 2 7" xfId="16256"/>
    <cellStyle name="Normal 32 3" xfId="12621"/>
    <cellStyle name="Normal 32 3 2" xfId="17558"/>
    <cellStyle name="Normal 32 3 2 2" xfId="18363"/>
    <cellStyle name="Normal 32 3 2 3" xfId="19099"/>
    <cellStyle name="Normal 32 3 3" xfId="18031"/>
    <cellStyle name="Normal 32 3 4" xfId="18790"/>
    <cellStyle name="Normal 32 3 5" xfId="17045"/>
    <cellStyle name="Normal 32 4" xfId="17038"/>
    <cellStyle name="Normal 32 5" xfId="16993"/>
    <cellStyle name="Normal 32 6" xfId="16485"/>
    <cellStyle name="Normal 32 7" xfId="16229"/>
    <cellStyle name="Normal 320" xfId="17387"/>
    <cellStyle name="Normal 320 2" xfId="18192"/>
    <cellStyle name="Normal 320 3" xfId="18928"/>
    <cellStyle name="Normal 321" xfId="17411"/>
    <cellStyle name="Normal 321 2" xfId="18216"/>
    <cellStyle name="Normal 321 3" xfId="18952"/>
    <cellStyle name="Normal 322" xfId="17734"/>
    <cellStyle name="Normal 322 2" xfId="18539"/>
    <cellStyle name="Normal 322 3" xfId="19261"/>
    <cellStyle name="Normal 323" xfId="17473"/>
    <cellStyle name="Normal 323 2" xfId="18278"/>
    <cellStyle name="Normal 323 3" xfId="19014"/>
    <cellStyle name="Normal 324" xfId="17551"/>
    <cellStyle name="Normal 324 2" xfId="18356"/>
    <cellStyle name="Normal 324 3" xfId="19092"/>
    <cellStyle name="Normal 325" xfId="17554"/>
    <cellStyle name="Normal 325 2" xfId="18359"/>
    <cellStyle name="Normal 325 3" xfId="19095"/>
    <cellStyle name="Normal 326" xfId="17546"/>
    <cellStyle name="Normal 326 2" xfId="18351"/>
    <cellStyle name="Normal 326 3" xfId="19087"/>
    <cellStyle name="Normal 327" xfId="17743"/>
    <cellStyle name="Normal 327 2" xfId="18548"/>
    <cellStyle name="Normal 327 3" xfId="19270"/>
    <cellStyle name="Normal 328" xfId="17652"/>
    <cellStyle name="Normal 328 2" xfId="18457"/>
    <cellStyle name="Normal 328 3" xfId="19179"/>
    <cellStyle name="Normal 329" xfId="17313"/>
    <cellStyle name="Normal 329 2" xfId="18118"/>
    <cellStyle name="Normal 329 3" xfId="18854"/>
    <cellStyle name="Normal 33" xfId="1598"/>
    <cellStyle name="Normal 33 2" xfId="12622"/>
    <cellStyle name="Normal 33 2 2" xfId="12623"/>
    <cellStyle name="Normal 33 3" xfId="12624"/>
    <cellStyle name="Normal 33 4" xfId="12625"/>
    <cellStyle name="Normal 33 5" xfId="16243"/>
    <cellStyle name="Normal 330" xfId="17485"/>
    <cellStyle name="Normal 330 2" xfId="18290"/>
    <cellStyle name="Normal 330 3" xfId="19026"/>
    <cellStyle name="Normal 331" xfId="17410"/>
    <cellStyle name="Normal 331 2" xfId="18215"/>
    <cellStyle name="Normal 331 3" xfId="18951"/>
    <cellStyle name="Normal 332" xfId="17752"/>
    <cellStyle name="Normal 332 2" xfId="18557"/>
    <cellStyle name="Normal 332 3" xfId="19279"/>
    <cellStyle name="Normal 333" xfId="17460"/>
    <cellStyle name="Normal 333 2" xfId="18265"/>
    <cellStyle name="Normal 333 3" xfId="19001"/>
    <cellStyle name="Normal 334" xfId="17348"/>
    <cellStyle name="Normal 334 2" xfId="18153"/>
    <cellStyle name="Normal 334 3" xfId="18889"/>
    <cellStyle name="Normal 335" xfId="17693"/>
    <cellStyle name="Normal 335 2" xfId="18498"/>
    <cellStyle name="Normal 335 3" xfId="19220"/>
    <cellStyle name="Normal 336" xfId="17735"/>
    <cellStyle name="Normal 336 2" xfId="18540"/>
    <cellStyle name="Normal 336 3" xfId="19262"/>
    <cellStyle name="Normal 337" xfId="17642"/>
    <cellStyle name="Normal 337 2" xfId="18447"/>
    <cellStyle name="Normal 337 3" xfId="19170"/>
    <cellStyle name="Normal 338" xfId="17395"/>
    <cellStyle name="Normal 338 2" xfId="18200"/>
    <cellStyle name="Normal 338 3" xfId="18936"/>
    <cellStyle name="Normal 339" xfId="17673"/>
    <cellStyle name="Normal 339 2" xfId="18478"/>
    <cellStyle name="Normal 339 3" xfId="19200"/>
    <cellStyle name="Normal 34" xfId="1599"/>
    <cellStyle name="Normal 34 2" xfId="2285"/>
    <cellStyle name="Normal 34 2 2" xfId="12626"/>
    <cellStyle name="Normal 34 2 2 2" xfId="18383"/>
    <cellStyle name="Normal 34 2 2 3" xfId="19119"/>
    <cellStyle name="Normal 34 2 2 4" xfId="17578"/>
    <cellStyle name="Normal 34 2 3" xfId="12627"/>
    <cellStyle name="Normal 34 2 3 2" xfId="18045"/>
    <cellStyle name="Normal 34 2 4" xfId="18804"/>
    <cellStyle name="Normal 34 2 5" xfId="17069"/>
    <cellStyle name="Normal 34 2 6" xfId="16500"/>
    <cellStyle name="Normal 34 2 7" xfId="16257"/>
    <cellStyle name="Normal 34 3" xfId="12628"/>
    <cellStyle name="Normal 34 3 2" xfId="17559"/>
    <cellStyle name="Normal 34 3 2 2" xfId="18364"/>
    <cellStyle name="Normal 34 3 2 3" xfId="19100"/>
    <cellStyle name="Normal 34 3 3" xfId="18032"/>
    <cellStyle name="Normal 34 3 4" xfId="18791"/>
    <cellStyle name="Normal 34 3 5" xfId="17046"/>
    <cellStyle name="Normal 34 4" xfId="17277"/>
    <cellStyle name="Normal 34 5" xfId="16995"/>
    <cellStyle name="Normal 34 6" xfId="16486"/>
    <cellStyle name="Normal 34 7" xfId="16230"/>
    <cellStyle name="Normal 340" xfId="17704"/>
    <cellStyle name="Normal 340 2" xfId="18509"/>
    <cellStyle name="Normal 340 3" xfId="19231"/>
    <cellStyle name="Normal 341" xfId="17538"/>
    <cellStyle name="Normal 341 2" xfId="18343"/>
    <cellStyle name="Normal 341 3" xfId="19079"/>
    <cellStyle name="Normal 342" xfId="17749"/>
    <cellStyle name="Normal 342 2" xfId="18554"/>
    <cellStyle name="Normal 342 3" xfId="19276"/>
    <cellStyle name="Normal 343" xfId="17753"/>
    <cellStyle name="Normal 343 2" xfId="18558"/>
    <cellStyle name="Normal 343 3" xfId="19280"/>
    <cellStyle name="Normal 344" xfId="17748"/>
    <cellStyle name="Normal 344 2" xfId="18553"/>
    <cellStyle name="Normal 344 3" xfId="19275"/>
    <cellStyle name="Normal 345" xfId="17377"/>
    <cellStyle name="Normal 345 2" xfId="18182"/>
    <cellStyle name="Normal 345 3" xfId="18918"/>
    <cellStyle name="Normal 346" xfId="17744"/>
    <cellStyle name="Normal 346 2" xfId="18549"/>
    <cellStyle name="Normal 346 3" xfId="19271"/>
    <cellStyle name="Normal 347" xfId="17754"/>
    <cellStyle name="Normal 347 2" xfId="18559"/>
    <cellStyle name="Normal 347 3" xfId="19281"/>
    <cellStyle name="Normal 348" xfId="17543"/>
    <cellStyle name="Normal 348 2" xfId="18348"/>
    <cellStyle name="Normal 348 3" xfId="19084"/>
    <cellStyle name="Normal 349" xfId="17742"/>
    <cellStyle name="Normal 349 2" xfId="18547"/>
    <cellStyle name="Normal 349 3" xfId="19269"/>
    <cellStyle name="Normal 35" xfId="1600"/>
    <cellStyle name="Normal 35 2" xfId="12629"/>
    <cellStyle name="Normal 35 2 2" xfId="17059"/>
    <cellStyle name="Normal 35 3" xfId="17001"/>
    <cellStyle name="Normal 35 4" xfId="16491"/>
    <cellStyle name="Normal 35 5" xfId="16247"/>
    <cellStyle name="Normal 350" xfId="17506"/>
    <cellStyle name="Normal 350 2" xfId="18311"/>
    <cellStyle name="Normal 350 3" xfId="19047"/>
    <cellStyle name="Normal 351" xfId="17569"/>
    <cellStyle name="Normal 351 2" xfId="18374"/>
    <cellStyle name="Normal 351 3" xfId="19110"/>
    <cellStyle name="Normal 352" xfId="17306"/>
    <cellStyle name="Normal 352 2" xfId="18111"/>
    <cellStyle name="Normal 352 3" xfId="18847"/>
    <cellStyle name="Normal 353" xfId="17638"/>
    <cellStyle name="Normal 353 2" xfId="18443"/>
    <cellStyle name="Normal 353 3" xfId="19166"/>
    <cellStyle name="Normal 354" xfId="17697"/>
    <cellStyle name="Normal 354 2" xfId="18502"/>
    <cellStyle name="Normal 354 3" xfId="19224"/>
    <cellStyle name="Normal 355" xfId="17677"/>
    <cellStyle name="Normal 355 2" xfId="18482"/>
    <cellStyle name="Normal 355 3" xfId="19204"/>
    <cellStyle name="Normal 356" xfId="17747"/>
    <cellStyle name="Normal 356 2" xfId="18552"/>
    <cellStyle name="Normal 356 3" xfId="19274"/>
    <cellStyle name="Normal 357" xfId="17695"/>
    <cellStyle name="Normal 357 2" xfId="18500"/>
    <cellStyle name="Normal 357 3" xfId="19222"/>
    <cellStyle name="Normal 358" xfId="17711"/>
    <cellStyle name="Normal 358 2" xfId="18516"/>
    <cellStyle name="Normal 358 3" xfId="19238"/>
    <cellStyle name="Normal 359" xfId="17733"/>
    <cellStyle name="Normal 359 2" xfId="18538"/>
    <cellStyle name="Normal 359 3" xfId="19260"/>
    <cellStyle name="Normal 36" xfId="1601"/>
    <cellStyle name="Normal 36 2" xfId="12630"/>
    <cellStyle name="Normal 36 2 2" xfId="17073"/>
    <cellStyle name="Normal 36 3" xfId="16999"/>
    <cellStyle name="Normal 36 4" xfId="16504"/>
    <cellStyle name="Normal 36 5" xfId="16261"/>
    <cellStyle name="Normal 360" xfId="17739"/>
    <cellStyle name="Normal 360 2" xfId="18544"/>
    <cellStyle name="Normal 360 3" xfId="19266"/>
    <cellStyle name="Normal 361" xfId="17688"/>
    <cellStyle name="Normal 361 2" xfId="18493"/>
    <cellStyle name="Normal 361 3" xfId="19215"/>
    <cellStyle name="Normal 362" xfId="17535"/>
    <cellStyle name="Normal 362 2" xfId="18340"/>
    <cellStyle name="Normal 362 3" xfId="19076"/>
    <cellStyle name="Normal 363" xfId="17489"/>
    <cellStyle name="Normal 363 2" xfId="18294"/>
    <cellStyle name="Normal 363 3" xfId="19030"/>
    <cellStyle name="Normal 364" xfId="17368"/>
    <cellStyle name="Normal 364 2" xfId="18173"/>
    <cellStyle name="Normal 364 3" xfId="18909"/>
    <cellStyle name="Normal 365" xfId="17354"/>
    <cellStyle name="Normal 365 2" xfId="18159"/>
    <cellStyle name="Normal 365 3" xfId="18895"/>
    <cellStyle name="Normal 366" xfId="17660"/>
    <cellStyle name="Normal 366 2" xfId="18465"/>
    <cellStyle name="Normal 366 3" xfId="19187"/>
    <cellStyle name="Normal 367" xfId="17384"/>
    <cellStyle name="Normal 367 2" xfId="18189"/>
    <cellStyle name="Normal 367 3" xfId="18925"/>
    <cellStyle name="Normal 368" xfId="17759"/>
    <cellStyle name="Normal 368 2" xfId="18564"/>
    <cellStyle name="Normal 368 3" xfId="19286"/>
    <cellStyle name="Normal 369" xfId="16754"/>
    <cellStyle name="Normal 369 2" xfId="19353"/>
    <cellStyle name="Normal 37" xfId="1602"/>
    <cellStyle name="Normal 37 2" xfId="12631"/>
    <cellStyle name="Normal 37 2 2" xfId="17075"/>
    <cellStyle name="Normal 37 3" xfId="17000"/>
    <cellStyle name="Normal 37 4" xfId="16505"/>
    <cellStyle name="Normal 37 5" xfId="16263"/>
    <cellStyle name="Normal 370" xfId="16858"/>
    <cellStyle name="Normal 370 2" xfId="19333"/>
    <cellStyle name="Normal 371" xfId="17773"/>
    <cellStyle name="Normal 371 2" xfId="19319"/>
    <cellStyle name="Normal 372" xfId="17774"/>
    <cellStyle name="Normal 372 2" xfId="19365"/>
    <cellStyle name="Normal 373" xfId="16555"/>
    <cellStyle name="Normal 374" xfId="16556"/>
    <cellStyle name="Normal 375" xfId="17921"/>
    <cellStyle name="Normal 376" xfId="17919"/>
    <cellStyle name="Normal 377" xfId="17923"/>
    <cellStyle name="Normal 378" xfId="17920"/>
    <cellStyle name="Normal 379" xfId="17922"/>
    <cellStyle name="Normal 38" xfId="1603"/>
    <cellStyle name="Normal 38 2" xfId="12632"/>
    <cellStyle name="Normal 38 2 2" xfId="17568"/>
    <cellStyle name="Normal 38 2 2 2" xfId="18373"/>
    <cellStyle name="Normal 38 2 2 3" xfId="19109"/>
    <cellStyle name="Normal 38 2 3" xfId="18036"/>
    <cellStyle name="Normal 38 2 4" xfId="18795"/>
    <cellStyle name="Normal 38 2 5" xfId="17058"/>
    <cellStyle name="Normal 38 3" xfId="17280"/>
    <cellStyle name="Normal 38 4" xfId="17003"/>
    <cellStyle name="Normal 38 5" xfId="16490"/>
    <cellStyle name="Normal 38 6" xfId="16246"/>
    <cellStyle name="Normal 380" xfId="17924"/>
    <cellStyle name="Normal 381" xfId="17925"/>
    <cellStyle name="Normal 382" xfId="17926"/>
    <cellStyle name="Normal 383" xfId="17927"/>
    <cellStyle name="Normal 384" xfId="17928"/>
    <cellStyle name="Normal 385" xfId="17929"/>
    <cellStyle name="Normal 386" xfId="17930"/>
    <cellStyle name="Normal 387" xfId="17931"/>
    <cellStyle name="Normal 388" xfId="17932"/>
    <cellStyle name="Normal 389" xfId="17933"/>
    <cellStyle name="Normal 39" xfId="1604"/>
    <cellStyle name="Normal 39 2" xfId="12633"/>
    <cellStyle name="Normal 39 2 2" xfId="17572"/>
    <cellStyle name="Normal 39 2 2 2" xfId="18377"/>
    <cellStyle name="Normal 39 2 2 3" xfId="19113"/>
    <cellStyle name="Normal 39 2 3" xfId="18039"/>
    <cellStyle name="Normal 39 2 4" xfId="18798"/>
    <cellStyle name="Normal 39 2 5" xfId="17063"/>
    <cellStyle name="Normal 39 3" xfId="17005"/>
    <cellStyle name="Normal 39 4" xfId="16494"/>
    <cellStyle name="Normal 39 5" xfId="16251"/>
    <cellStyle name="Normal 390" xfId="17934"/>
    <cellStyle name="Normal 391" xfId="17935"/>
    <cellStyle name="Normal 392" xfId="17936"/>
    <cellStyle name="Normal 393" xfId="17937"/>
    <cellStyle name="Normal 394" xfId="17938"/>
    <cellStyle name="Normal 395" xfId="17939"/>
    <cellStyle name="Normal 396" xfId="17940"/>
    <cellStyle name="Normal 397" xfId="17941"/>
    <cellStyle name="Normal 398" xfId="17942"/>
    <cellStyle name="Normal 399" xfId="17943"/>
    <cellStyle name="Normal 4" xfId="1605"/>
    <cellStyle name="Normal 4 10" xfId="12634"/>
    <cellStyle name="Normal 4 10 10" xfId="16642"/>
    <cellStyle name="Normal 4 10 11" xfId="19580"/>
    <cellStyle name="Normal 4 10 2" xfId="12635"/>
    <cellStyle name="Normal 4 10 2 10" xfId="12636"/>
    <cellStyle name="Normal 4 10 2 11" xfId="12637"/>
    <cellStyle name="Normal 4 10 2 2" xfId="12638"/>
    <cellStyle name="Normal 4 10 2 2 2" xfId="12639"/>
    <cellStyle name="Normal 4 10 2 2 2 2" xfId="12640"/>
    <cellStyle name="Normal 4 10 2 2 3" xfId="12641"/>
    <cellStyle name="Normal 4 10 2 2 4" xfId="12642"/>
    <cellStyle name="Normal 4 10 2 3" xfId="12643"/>
    <cellStyle name="Normal 4 10 2 4" xfId="12644"/>
    <cellStyle name="Normal 4 10 2 5" xfId="12645"/>
    <cellStyle name="Normal 4 10 2 6" xfId="12646"/>
    <cellStyle name="Normal 4 10 2 7" xfId="12647"/>
    <cellStyle name="Normal 4 10 2 8" xfId="12648"/>
    <cellStyle name="Normal 4 10 2 9" xfId="12649"/>
    <cellStyle name="Normal 4 10 3" xfId="12650"/>
    <cellStyle name="Normal 4 10 3 2" xfId="12651"/>
    <cellStyle name="Normal 4 10 3 3" xfId="12652"/>
    <cellStyle name="Normal 4 10 3 4" xfId="12653"/>
    <cellStyle name="Normal 4 10 4" xfId="12654"/>
    <cellStyle name="Normal 4 10 4 2" xfId="12655"/>
    <cellStyle name="Normal 4 10 5" xfId="12656"/>
    <cellStyle name="Normal 4 10 6" xfId="12657"/>
    <cellStyle name="Normal 4 10 7" xfId="12658"/>
    <cellStyle name="Normal 4 10 8" xfId="12659"/>
    <cellStyle name="Normal 4 10 9" xfId="12660"/>
    <cellStyle name="Normal 4 11" xfId="12661"/>
    <cellStyle name="Normal 4 11 10" xfId="12662"/>
    <cellStyle name="Normal 4 11 11" xfId="12663"/>
    <cellStyle name="Normal 4 11 12" xfId="18645"/>
    <cellStyle name="Normal 4 11 2" xfId="12664"/>
    <cellStyle name="Normal 4 11 2 2" xfId="12665"/>
    <cellStyle name="Normal 4 11 2 2 2" xfId="12666"/>
    <cellStyle name="Normal 4 11 2 2 3" xfId="12667"/>
    <cellStyle name="Normal 4 11 2 3" xfId="12668"/>
    <cellStyle name="Normal 4 11 2 4" xfId="12669"/>
    <cellStyle name="Normal 4 11 2 5" xfId="12670"/>
    <cellStyle name="Normal 4 11 2 6" xfId="12671"/>
    <cellStyle name="Normal 4 11 2 7" xfId="12672"/>
    <cellStyle name="Normal 4 11 3" xfId="12673"/>
    <cellStyle name="Normal 4 11 3 2" xfId="12674"/>
    <cellStyle name="Normal 4 11 4" xfId="12675"/>
    <cellStyle name="Normal 4 11 4 2" xfId="12676"/>
    <cellStyle name="Normal 4 11 5" xfId="12677"/>
    <cellStyle name="Normal 4 11 6" xfId="12678"/>
    <cellStyle name="Normal 4 11 7" xfId="12679"/>
    <cellStyle name="Normal 4 11 8" xfId="12680"/>
    <cellStyle name="Normal 4 11 9" xfId="12681"/>
    <cellStyle name="Normal 4 12" xfId="12682"/>
    <cellStyle name="Normal 4 12 2" xfId="12683"/>
    <cellStyle name="Normal 4 12 2 2" xfId="12684"/>
    <cellStyle name="Normal 4 12 2 3" xfId="12685"/>
    <cellStyle name="Normal 4 12 2 4" xfId="12686"/>
    <cellStyle name="Normal 4 12 2 5" xfId="12687"/>
    <cellStyle name="Normal 4 12 2 6" xfId="12688"/>
    <cellStyle name="Normal 4 12 3" xfId="12689"/>
    <cellStyle name="Normal 4 12 3 2" xfId="12690"/>
    <cellStyle name="Normal 4 12 4" xfId="12691"/>
    <cellStyle name="Normal 4 12 4 2" xfId="12692"/>
    <cellStyle name="Normal 4 12 5" xfId="12693"/>
    <cellStyle name="Normal 4 12 6" xfId="12694"/>
    <cellStyle name="Normal 4 12 7" xfId="12695"/>
    <cellStyle name="Normal 4 13" xfId="12696"/>
    <cellStyle name="Normal 4 13 2" xfId="12697"/>
    <cellStyle name="Normal 4 13 2 2" xfId="12698"/>
    <cellStyle name="Normal 4 13 2 3" xfId="12699"/>
    <cellStyle name="Normal 4 13 2 4" xfId="12700"/>
    <cellStyle name="Normal 4 13 2 5" xfId="12701"/>
    <cellStyle name="Normal 4 13 2 6" xfId="12702"/>
    <cellStyle name="Normal 4 13 3" xfId="12703"/>
    <cellStyle name="Normal 4 13 3 2" xfId="12704"/>
    <cellStyle name="Normal 4 13 4" xfId="12705"/>
    <cellStyle name="Normal 4 13 4 2" xfId="12706"/>
    <cellStyle name="Normal 4 13 5" xfId="12707"/>
    <cellStyle name="Normal 4 13 6" xfId="12708"/>
    <cellStyle name="Normal 4 14" xfId="12709"/>
    <cellStyle name="Normal 4 14 2" xfId="12710"/>
    <cellStyle name="Normal 4 14 2 2" xfId="12711"/>
    <cellStyle name="Normal 4 14 2 3" xfId="12712"/>
    <cellStyle name="Normal 4 14 2 4" xfId="12713"/>
    <cellStyle name="Normal 4 14 2 5" xfId="12714"/>
    <cellStyle name="Normal 4 14 3" xfId="12715"/>
    <cellStyle name="Normal 4 14 3 2" xfId="12716"/>
    <cellStyle name="Normal 4 14 4" xfId="12717"/>
    <cellStyle name="Normal 4 14 4 2" xfId="12718"/>
    <cellStyle name="Normal 4 14 5" xfId="12719"/>
    <cellStyle name="Normal 4 14 6" xfId="12720"/>
    <cellStyle name="Normal 4 15" xfId="12721"/>
    <cellStyle name="Normal 4 15 2" xfId="12722"/>
    <cellStyle name="Normal 4 15 2 2" xfId="12723"/>
    <cellStyle name="Normal 4 15 2 3" xfId="12724"/>
    <cellStyle name="Normal 4 15 2 4" xfId="12725"/>
    <cellStyle name="Normal 4 15 2 5" xfId="12726"/>
    <cellStyle name="Normal 4 15 3" xfId="12727"/>
    <cellStyle name="Normal 4 15 3 2" xfId="12728"/>
    <cellStyle name="Normal 4 15 4" xfId="12729"/>
    <cellStyle name="Normal 4 15 4 2" xfId="12730"/>
    <cellStyle name="Normal 4 15 5" xfId="12731"/>
    <cellStyle name="Normal 4 15 6" xfId="12732"/>
    <cellStyle name="Normal 4 16" xfId="12733"/>
    <cellStyle name="Normal 4 16 2" xfId="12734"/>
    <cellStyle name="Normal 4 16 2 2" xfId="12735"/>
    <cellStyle name="Normal 4 16 3" xfId="12736"/>
    <cellStyle name="Normal 4 16 3 2" xfId="12737"/>
    <cellStyle name="Normal 4 16 4" xfId="12738"/>
    <cellStyle name="Normal 4 16 4 2" xfId="12739"/>
    <cellStyle name="Normal 4 16 5" xfId="12740"/>
    <cellStyle name="Normal 4 16 6" xfId="12741"/>
    <cellStyle name="Normal 4 17" xfId="12742"/>
    <cellStyle name="Normal 4 17 2" xfId="12743"/>
    <cellStyle name="Normal 4 17 2 2" xfId="12744"/>
    <cellStyle name="Normal 4 17 3" xfId="12745"/>
    <cellStyle name="Normal 4 17 3 2" xfId="12746"/>
    <cellStyle name="Normal 4 17 4" xfId="12747"/>
    <cellStyle name="Normal 4 17 4 2" xfId="12748"/>
    <cellStyle name="Normal 4 17 5" xfId="12749"/>
    <cellStyle name="Normal 4 17 6" xfId="12750"/>
    <cellStyle name="Normal 4 18" xfId="12751"/>
    <cellStyle name="Normal 4 18 2" xfId="12752"/>
    <cellStyle name="Normal 4 18 3" xfId="12753"/>
    <cellStyle name="Normal 4 18 4" xfId="12754"/>
    <cellStyle name="Normal 4 18 5" xfId="12755"/>
    <cellStyle name="Normal 4 18 6" xfId="12756"/>
    <cellStyle name="Normal 4 19" xfId="12757"/>
    <cellStyle name="Normal 4 19 2" xfId="12758"/>
    <cellStyle name="Normal 4 19 3" xfId="12759"/>
    <cellStyle name="Normal 4 19 4" xfId="12760"/>
    <cellStyle name="Normal 4 19 5" xfId="12761"/>
    <cellStyle name="Normal 4 19 6" xfId="12762"/>
    <cellStyle name="Normal 4 2" xfId="1606"/>
    <cellStyle name="Normal 4 2 10" xfId="12763"/>
    <cellStyle name="Normal 4 2 10 2" xfId="18674"/>
    <cellStyle name="Normal 4 2 11" xfId="12764"/>
    <cellStyle name="Normal 4 2 12" xfId="16080"/>
    <cellStyle name="Normal 4 2 13" xfId="19694"/>
    <cellStyle name="Normal 4 2 2" xfId="12765"/>
    <cellStyle name="Normal 4 2 2 10" xfId="19772"/>
    <cellStyle name="Normal 4 2 2 2" xfId="12766"/>
    <cellStyle name="Normal 4 2 2 2 2" xfId="16181"/>
    <cellStyle name="Normal 4 2 2 2 2 2" xfId="16852"/>
    <cellStyle name="Normal 4 2 2 2 2 3" xfId="16807"/>
    <cellStyle name="Normal 4 2 2 2 2 4" xfId="17799"/>
    <cellStyle name="Normal 4 2 2 2 2 5" xfId="16646"/>
    <cellStyle name="Normal 4 2 2 2 2 6" xfId="19867"/>
    <cellStyle name="Normal 4 2 2 2 3" xfId="16837"/>
    <cellStyle name="Normal 4 2 2 2 4" xfId="16784"/>
    <cellStyle name="Normal 4 2 2 2 5" xfId="17836"/>
    <cellStyle name="Normal 4 2 2 2 6" xfId="16645"/>
    <cellStyle name="Normal 4 2 2 2 7" xfId="19799"/>
    <cellStyle name="Normal 4 2 2 3" xfId="12767"/>
    <cellStyle name="Normal 4 2 2 3 2" xfId="16851"/>
    <cellStyle name="Normal 4 2 2 3 3" xfId="16808"/>
    <cellStyle name="Normal 4 2 2 3 4" xfId="17866"/>
    <cellStyle name="Normal 4 2 2 3 5" xfId="16647"/>
    <cellStyle name="Normal 4 2 2 4" xfId="12768"/>
    <cellStyle name="Normal 4 2 2 5" xfId="12769"/>
    <cellStyle name="Normal 4 2 2 6" xfId="17802"/>
    <cellStyle name="Normal 4 2 2 7" xfId="17917"/>
    <cellStyle name="Normal 4 2 2 7 2" xfId="18582"/>
    <cellStyle name="Normal 4 2 2 7 3" xfId="19305"/>
    <cellStyle name="Normal 4 2 2 8" xfId="16644"/>
    <cellStyle name="Normal 4 2 2 9" xfId="18736"/>
    <cellStyle name="Normal 4 2 3" xfId="12770"/>
    <cellStyle name="Normal 4 2 3 2" xfId="12771"/>
    <cellStyle name="Normal 4 2 3 2 2" xfId="16853"/>
    <cellStyle name="Normal 4 2 3 2 3" xfId="16809"/>
    <cellStyle name="Normal 4 2 3 2 4" xfId="17822"/>
    <cellStyle name="Normal 4 2 3 2 5" xfId="16649"/>
    <cellStyle name="Normal 4 2 3 3" xfId="16838"/>
    <cellStyle name="Normal 4 2 3 4" xfId="16785"/>
    <cellStyle name="Normal 4 2 3 5" xfId="17829"/>
    <cellStyle name="Normal 4 2 3 6" xfId="16648"/>
    <cellStyle name="Normal 4 2 3 7" xfId="19745"/>
    <cellStyle name="Normal 4 2 4" xfId="12772"/>
    <cellStyle name="Normal 4 2 4 2" xfId="12773"/>
    <cellStyle name="Normal 4 2 4 3" xfId="16810"/>
    <cellStyle name="Normal 4 2 4 4" xfId="17839"/>
    <cellStyle name="Normal 4 2 4 5" xfId="16650"/>
    <cellStyle name="Normal 4 2 5" xfId="12774"/>
    <cellStyle name="Normal 4 2 5 2" xfId="12775"/>
    <cellStyle name="Normal 4 2 5 2 2" xfId="12776"/>
    <cellStyle name="Normal 4 2 5 2 2 2" xfId="12777"/>
    <cellStyle name="Normal 4 2 5 2 2 2 2" xfId="18428"/>
    <cellStyle name="Normal 4 2 5 2 2 3" xfId="19158"/>
    <cellStyle name="Normal 4 2 5 2 2 4" xfId="17623"/>
    <cellStyle name="Normal 4 2 5 2 3" xfId="12778"/>
    <cellStyle name="Normal 4 2 5 2 3 2" xfId="18083"/>
    <cellStyle name="Normal 4 2 5 2 4" xfId="18817"/>
    <cellStyle name="Normal 4 2 5 2 5" xfId="17116"/>
    <cellStyle name="Normal 4 2 5 3" xfId="12779"/>
    <cellStyle name="Normal 4 2 5 3 2" xfId="12780"/>
    <cellStyle name="Normal 4 2 5 4" xfId="12781"/>
    <cellStyle name="Normal 4 2 5 4 2" xfId="17994"/>
    <cellStyle name="Normal 4 2 5 5" xfId="12782"/>
    <cellStyle name="Normal 4 2 5 5 2" xfId="18752"/>
    <cellStyle name="Normal 4 2 5 6" xfId="16651"/>
    <cellStyle name="Normal 4 2 5 7" xfId="16310"/>
    <cellStyle name="Normal 4 2 6" xfId="12783"/>
    <cellStyle name="Normal 4 2 6 2" xfId="16652"/>
    <cellStyle name="Normal 4 2 7" xfId="12784"/>
    <cellStyle name="Normal 4 2 8" xfId="12785"/>
    <cellStyle name="Normal 4 2 8 2" xfId="17832"/>
    <cellStyle name="Normal 4 2 9" xfId="12786"/>
    <cellStyle name="Normal 4 2 9 2" xfId="16643"/>
    <cellStyle name="Normal 4 20" xfId="12787"/>
    <cellStyle name="Normal 4 20 2" xfId="12788"/>
    <cellStyle name="Normal 4 20 2 2" xfId="12789"/>
    <cellStyle name="Normal 4 20 2 2 2" xfId="12790"/>
    <cellStyle name="Normal 4 20 2 3" xfId="12791"/>
    <cellStyle name="Normal 4 20 2 4" xfId="12792"/>
    <cellStyle name="Normal 4 20 3" xfId="12793"/>
    <cellStyle name="Normal 4 20 3 2" xfId="12794"/>
    <cellStyle name="Normal 4 20 4" xfId="12795"/>
    <cellStyle name="Normal 4 20 5" xfId="12796"/>
    <cellStyle name="Normal 4 21" xfId="12797"/>
    <cellStyle name="Normal 4 21 2" xfId="12798"/>
    <cellStyle name="Normal 4 21 2 2" xfId="12799"/>
    <cellStyle name="Normal 4 21 2 3" xfId="12800"/>
    <cellStyle name="Normal 4 21 3" xfId="12801"/>
    <cellStyle name="Normal 4 21 3 2" xfId="12802"/>
    <cellStyle name="Normal 4 21 4" xfId="12803"/>
    <cellStyle name="Normal 4 21 5" xfId="12804"/>
    <cellStyle name="Normal 4 22" xfId="12805"/>
    <cellStyle name="Normal 4 22 2" xfId="12806"/>
    <cellStyle name="Normal 4 22 2 2" xfId="12807"/>
    <cellStyle name="Normal 4 22 3" xfId="12808"/>
    <cellStyle name="Normal 4 22 4" xfId="12809"/>
    <cellStyle name="Normal 4 23" xfId="12810"/>
    <cellStyle name="Normal 4 23 2" xfId="12811"/>
    <cellStyle name="Normal 4 24" xfId="12812"/>
    <cellStyle name="Normal 4 25" xfId="12813"/>
    <cellStyle name="Normal 4 26" xfId="12814"/>
    <cellStyle name="Normal 4 27" xfId="12815"/>
    <cellStyle name="Normal 4 28" xfId="12816"/>
    <cellStyle name="Normal 4 29" xfId="12817"/>
    <cellStyle name="Normal 4 3" xfId="1607"/>
    <cellStyle name="Normal 4 3 10" xfId="12818"/>
    <cellStyle name="Normal 4 3 11" xfId="12819"/>
    <cellStyle name="Normal 4 3 12" xfId="19763"/>
    <cellStyle name="Normal 4 3 2" xfId="12820"/>
    <cellStyle name="Normal 4 3 2 2" xfId="12821"/>
    <cellStyle name="Normal 4 3 2 2 2" xfId="12822"/>
    <cellStyle name="Normal 4 3 2 2 2 2" xfId="12823"/>
    <cellStyle name="Normal 4 3 2 2 2 3" xfId="12824"/>
    <cellStyle name="Normal 4 3 2 2 3" xfId="12825"/>
    <cellStyle name="Normal 4 3 2 2 3 2" xfId="12826"/>
    <cellStyle name="Normal 4 3 2 2 4" xfId="12827"/>
    <cellStyle name="Normal 4 3 2 2 4 2" xfId="17901"/>
    <cellStyle name="Normal 4 3 2 2 5" xfId="16655"/>
    <cellStyle name="Normal 4 3 2 2 6" xfId="19866"/>
    <cellStyle name="Normal 4 3 2 3" xfId="12828"/>
    <cellStyle name="Normal 4 3 2 3 2" xfId="12829"/>
    <cellStyle name="Normal 4 3 2 3 2 2" xfId="12830"/>
    <cellStyle name="Normal 4 3 2 3 3" xfId="12831"/>
    <cellStyle name="Normal 4 3 2 4" xfId="12832"/>
    <cellStyle name="Normal 4 3 2 4 2" xfId="12833"/>
    <cellStyle name="Normal 4 3 2 5" xfId="12834"/>
    <cellStyle name="Normal 4 3 2 5 2" xfId="17874"/>
    <cellStyle name="Normal 4 3 2 6" xfId="12835"/>
    <cellStyle name="Normal 4 3 2 6 2" xfId="16654"/>
    <cellStyle name="Normal 4 3 2 7" xfId="12836"/>
    <cellStyle name="Normal 4 3 2 8" xfId="12837"/>
    <cellStyle name="Normal 4 3 2 9" xfId="19797"/>
    <cellStyle name="Normal 4 3 3" xfId="12838"/>
    <cellStyle name="Normal 4 3 3 2" xfId="12839"/>
    <cellStyle name="Normal 4 3 3 2 2" xfId="12840"/>
    <cellStyle name="Normal 4 3 3 2 3" xfId="12841"/>
    <cellStyle name="Normal 4 3 3 3" xfId="12842"/>
    <cellStyle name="Normal 4 3 3 3 2" xfId="12843"/>
    <cellStyle name="Normal 4 3 3 4" xfId="12844"/>
    <cellStyle name="Normal 4 3 3 4 2" xfId="17803"/>
    <cellStyle name="Normal 4 3 3 5" xfId="12845"/>
    <cellStyle name="Normal 4 3 3 5 2" xfId="16656"/>
    <cellStyle name="Normal 4 3 4" xfId="12846"/>
    <cellStyle name="Normal 4 3 4 2" xfId="12847"/>
    <cellStyle name="Normal 4 3 4 2 2" xfId="12848"/>
    <cellStyle name="Normal 4 3 4 3" xfId="12849"/>
    <cellStyle name="Normal 4 3 4 4" xfId="12850"/>
    <cellStyle name="Normal 4 3 5" xfId="12851"/>
    <cellStyle name="Normal 4 3 5 2" xfId="12852"/>
    <cellStyle name="Normal 4 3 5 2 2" xfId="12853"/>
    <cellStyle name="Normal 4 3 5 2 2 2" xfId="12854"/>
    <cellStyle name="Normal 4 3 5 2 3" xfId="12855"/>
    <cellStyle name="Normal 4 3 5 2 4" xfId="12856"/>
    <cellStyle name="Normal 4 3 5 3" xfId="12857"/>
    <cellStyle name="Normal 4 3 5 3 2" xfId="12858"/>
    <cellStyle name="Normal 4 3 5 4" xfId="12859"/>
    <cellStyle name="Normal 4 3 5 5" xfId="12860"/>
    <cellStyle name="Normal 4 3 6" xfId="12861"/>
    <cellStyle name="Normal 4 3 6 2" xfId="12862"/>
    <cellStyle name="Normal 4 3 6 3" xfId="17781"/>
    <cellStyle name="Normal 4 3 7" xfId="12863"/>
    <cellStyle name="Normal 4 3 7 2" xfId="18579"/>
    <cellStyle name="Normal 4 3 7 3" xfId="19302"/>
    <cellStyle name="Normal 4 3 7 4" xfId="17914"/>
    <cellStyle name="Normal 4 3 8" xfId="12864"/>
    <cellStyle name="Normal 4 3 8 2" xfId="16653"/>
    <cellStyle name="Normal 4 3 9" xfId="12865"/>
    <cellStyle name="Normal 4 3 9 2" xfId="18642"/>
    <cellStyle name="Normal 4 30" xfId="19689"/>
    <cellStyle name="Normal 4 4" xfId="1608"/>
    <cellStyle name="Normal 4 4 2" xfId="12866"/>
    <cellStyle name="Normal 4 4 2 2" xfId="12867"/>
    <cellStyle name="Normal 4 4 2 3" xfId="16811"/>
    <cellStyle name="Normal 4 4 2 4" xfId="17909"/>
    <cellStyle name="Normal 4 4 2 5" xfId="16658"/>
    <cellStyle name="Normal 4 4 2 6" xfId="19813"/>
    <cellStyle name="Normal 4 4 3" xfId="12868"/>
    <cellStyle name="Normal 4 4 3 2" xfId="12869"/>
    <cellStyle name="Normal 4 4 4" xfId="12870"/>
    <cellStyle name="Normal 4 4 4 2" xfId="12871"/>
    <cellStyle name="Normal 4 4 5" xfId="12872"/>
    <cellStyle name="Normal 4 4 5 2" xfId="12873"/>
    <cellStyle name="Normal 4 4 5 2 2" xfId="12874"/>
    <cellStyle name="Normal 4 4 5 2 2 2" xfId="12875"/>
    <cellStyle name="Normal 4 4 5 2 3" xfId="12876"/>
    <cellStyle name="Normal 4 4 5 3" xfId="12877"/>
    <cellStyle name="Normal 4 4 5 3 2" xfId="12878"/>
    <cellStyle name="Normal 4 4 5 4" xfId="12879"/>
    <cellStyle name="Normal 4 4 5 5" xfId="12880"/>
    <cellStyle name="Normal 4 4 5 6" xfId="17885"/>
    <cellStyle name="Normal 4 4 6" xfId="12881"/>
    <cellStyle name="Normal 4 4 6 2" xfId="16657"/>
    <cellStyle name="Normal 4 4 7" xfId="12882"/>
    <cellStyle name="Normal 4 4 8" xfId="12883"/>
    <cellStyle name="Normal 4 5" xfId="1609"/>
    <cellStyle name="Normal 4 5 10" xfId="12884"/>
    <cellStyle name="Normal 4 5 11" xfId="12885"/>
    <cellStyle name="Normal 4 5 12" xfId="16337"/>
    <cellStyle name="Normal 4 5 2" xfId="12886"/>
    <cellStyle name="Normal 4 5 2 2" xfId="12887"/>
    <cellStyle name="Normal 4 5 2 2 2" xfId="12888"/>
    <cellStyle name="Normal 4 5 2 2 2 2" xfId="12889"/>
    <cellStyle name="Normal 4 5 2 2 2 3" xfId="12890"/>
    <cellStyle name="Normal 4 5 2 2 3" xfId="12891"/>
    <cellStyle name="Normal 4 5 2 2 3 2" xfId="12892"/>
    <cellStyle name="Normal 4 5 2 2 4" xfId="12893"/>
    <cellStyle name="Normal 4 5 2 2 5" xfId="18454"/>
    <cellStyle name="Normal 4 5 2 3" xfId="12894"/>
    <cellStyle name="Normal 4 5 2 3 2" xfId="12895"/>
    <cellStyle name="Normal 4 5 2 3 2 2" xfId="12896"/>
    <cellStyle name="Normal 4 5 2 3 3" xfId="12897"/>
    <cellStyle name="Normal 4 5 2 3 4" xfId="19176"/>
    <cellStyle name="Normal 4 5 2 4" xfId="12898"/>
    <cellStyle name="Normal 4 5 2 4 2" xfId="12899"/>
    <cellStyle name="Normal 4 5 2 5" xfId="12900"/>
    <cellStyle name="Normal 4 5 2 6" xfId="12901"/>
    <cellStyle name="Normal 4 5 2 7" xfId="12902"/>
    <cellStyle name="Normal 4 5 2 8" xfId="12903"/>
    <cellStyle name="Normal 4 5 2 9" xfId="17649"/>
    <cellStyle name="Normal 4 5 3" xfId="12904"/>
    <cellStyle name="Normal 4 5 3 2" xfId="12905"/>
    <cellStyle name="Normal 4 5 3 2 2" xfId="12906"/>
    <cellStyle name="Normal 4 5 3 2 3" xfId="12907"/>
    <cellStyle name="Normal 4 5 3 2 4" xfId="18093"/>
    <cellStyle name="Normal 4 5 3 3" xfId="12908"/>
    <cellStyle name="Normal 4 5 3 3 2" xfId="12909"/>
    <cellStyle name="Normal 4 5 3 3 3" xfId="18826"/>
    <cellStyle name="Normal 4 5 3 4" xfId="12910"/>
    <cellStyle name="Normal 4 5 3 5" xfId="12911"/>
    <cellStyle name="Normal 4 5 3 6" xfId="17132"/>
    <cellStyle name="Normal 4 5 4" xfId="12912"/>
    <cellStyle name="Normal 4 5 4 2" xfId="12913"/>
    <cellStyle name="Normal 4 5 4 2 2" xfId="12914"/>
    <cellStyle name="Normal 4 5 4 3" xfId="12915"/>
    <cellStyle name="Normal 4 5 4 4" xfId="12916"/>
    <cellStyle name="Normal 4 5 4 5" xfId="17828"/>
    <cellStyle name="Normal 4 5 5" xfId="12917"/>
    <cellStyle name="Normal 4 5 5 2" xfId="12918"/>
    <cellStyle name="Normal 4 5 5 2 2" xfId="12919"/>
    <cellStyle name="Normal 4 5 5 2 2 2" xfId="12920"/>
    <cellStyle name="Normal 4 5 5 2 3" xfId="12921"/>
    <cellStyle name="Normal 4 5 5 2 4" xfId="12922"/>
    <cellStyle name="Normal 4 5 5 3" xfId="12923"/>
    <cellStyle name="Normal 4 5 5 3 2" xfId="12924"/>
    <cellStyle name="Normal 4 5 5 4" xfId="12925"/>
    <cellStyle name="Normal 4 5 5 5" xfId="12926"/>
    <cellStyle name="Normal 4 5 5 6" xfId="16659"/>
    <cellStyle name="Normal 4 5 6" xfId="12927"/>
    <cellStyle name="Normal 4 5 7" xfId="12928"/>
    <cellStyle name="Normal 4 5 8" xfId="12929"/>
    <cellStyle name="Normal 4 5 9" xfId="12930"/>
    <cellStyle name="Normal 4 6" xfId="1610"/>
    <cellStyle name="Normal 4 6 2" xfId="12931"/>
    <cellStyle name="Normal 4 6 2 2" xfId="12932"/>
    <cellStyle name="Normal 4 6 2 3" xfId="17995"/>
    <cellStyle name="Normal 4 6 3" xfId="12933"/>
    <cellStyle name="Normal 4 6 3 2" xfId="12934"/>
    <cellStyle name="Normal 4 6 3 3" xfId="18633"/>
    <cellStyle name="Normal 4 6 4" xfId="12935"/>
    <cellStyle name="Normal 4 6 4 2" xfId="12936"/>
    <cellStyle name="Normal 4 6 5" xfId="12937"/>
    <cellStyle name="Normal 4 6 5 2" xfId="12938"/>
    <cellStyle name="Normal 4 6 5 2 2" xfId="12939"/>
    <cellStyle name="Normal 4 6 5 2 2 2" xfId="12940"/>
    <cellStyle name="Normal 4 6 5 2 3" xfId="12941"/>
    <cellStyle name="Normal 4 6 5 3" xfId="12942"/>
    <cellStyle name="Normal 4 6 5 3 2" xfId="12943"/>
    <cellStyle name="Normal 4 6 5 4" xfId="12944"/>
    <cellStyle name="Normal 4 6 5 5" xfId="12945"/>
    <cellStyle name="Normal 4 6 6" xfId="12946"/>
    <cellStyle name="Normal 4 6 7" xfId="12947"/>
    <cellStyle name="Normal 4 6 8" xfId="12948"/>
    <cellStyle name="Normal 4 6 9" xfId="16660"/>
    <cellStyle name="Normal 4 7" xfId="1611"/>
    <cellStyle name="Normal 4 7 10" xfId="12949"/>
    <cellStyle name="Normal 4 7 11" xfId="12950"/>
    <cellStyle name="Normal 4 7 12" xfId="16661"/>
    <cellStyle name="Normal 4 7 13" xfId="19509"/>
    <cellStyle name="Normal 4 7 2" xfId="12951"/>
    <cellStyle name="Normal 4 7 2 2" xfId="12952"/>
    <cellStyle name="Normal 4 7 2 2 2" xfId="12953"/>
    <cellStyle name="Normal 4 7 2 2 2 2" xfId="12954"/>
    <cellStyle name="Normal 4 7 2 2 2 3" xfId="12955"/>
    <cellStyle name="Normal 4 7 2 2 3" xfId="12956"/>
    <cellStyle name="Normal 4 7 2 2 3 2" xfId="12957"/>
    <cellStyle name="Normal 4 7 2 2 4" xfId="12958"/>
    <cellStyle name="Normal 4 7 2 3" xfId="12959"/>
    <cellStyle name="Normal 4 7 2 3 2" xfId="12960"/>
    <cellStyle name="Normal 4 7 2 3 2 2" xfId="12961"/>
    <cellStyle name="Normal 4 7 2 3 3" xfId="12962"/>
    <cellStyle name="Normal 4 7 2 4" xfId="12963"/>
    <cellStyle name="Normal 4 7 2 4 2" xfId="12964"/>
    <cellStyle name="Normal 4 7 2 5" xfId="12965"/>
    <cellStyle name="Normal 4 7 2 6" xfId="12966"/>
    <cellStyle name="Normal 4 7 2 7" xfId="12967"/>
    <cellStyle name="Normal 4 7 2 8" xfId="12968"/>
    <cellStyle name="Normal 4 7 3" xfId="12969"/>
    <cellStyle name="Normal 4 7 3 2" xfId="12970"/>
    <cellStyle name="Normal 4 7 3 2 2" xfId="12971"/>
    <cellStyle name="Normal 4 7 3 2 3" xfId="12972"/>
    <cellStyle name="Normal 4 7 3 3" xfId="12973"/>
    <cellStyle name="Normal 4 7 3 3 2" xfId="12974"/>
    <cellStyle name="Normal 4 7 3 4" xfId="12975"/>
    <cellStyle name="Normal 4 7 3 5" xfId="12976"/>
    <cellStyle name="Normal 4 7 4" xfId="12977"/>
    <cellStyle name="Normal 4 7 4 2" xfId="12978"/>
    <cellStyle name="Normal 4 7 4 2 2" xfId="12979"/>
    <cellStyle name="Normal 4 7 4 3" xfId="12980"/>
    <cellStyle name="Normal 4 7 4 4" xfId="12981"/>
    <cellStyle name="Normal 4 7 5" xfId="12982"/>
    <cellStyle name="Normal 4 7 5 2" xfId="12983"/>
    <cellStyle name="Normal 4 7 5 2 2" xfId="12984"/>
    <cellStyle name="Normal 4 7 5 2 2 2" xfId="12985"/>
    <cellStyle name="Normal 4 7 5 2 3" xfId="12986"/>
    <cellStyle name="Normal 4 7 5 2 4" xfId="12987"/>
    <cellStyle name="Normal 4 7 5 3" xfId="12988"/>
    <cellStyle name="Normal 4 7 5 3 2" xfId="12989"/>
    <cellStyle name="Normal 4 7 5 4" xfId="12990"/>
    <cellStyle name="Normal 4 7 5 5" xfId="12991"/>
    <cellStyle name="Normal 4 7 6" xfId="12992"/>
    <cellStyle name="Normal 4 7 7" xfId="12993"/>
    <cellStyle name="Normal 4 7 8" xfId="12994"/>
    <cellStyle name="Normal 4 7 9" xfId="12995"/>
    <cellStyle name="Normal 4 8" xfId="1612"/>
    <cellStyle name="Normal 4 8 10" xfId="12996"/>
    <cellStyle name="Normal 4 8 11" xfId="16768"/>
    <cellStyle name="Normal 4 8 2" xfId="12997"/>
    <cellStyle name="Normal 4 8 2 2" xfId="12998"/>
    <cellStyle name="Normal 4 8 2 2 2" xfId="12999"/>
    <cellStyle name="Normal 4 8 2 2 3" xfId="13000"/>
    <cellStyle name="Normal 4 8 2 3" xfId="13001"/>
    <cellStyle name="Normal 4 8 2 3 2" xfId="13002"/>
    <cellStyle name="Normal 4 8 2 4" xfId="13003"/>
    <cellStyle name="Normal 4 8 2 5" xfId="13004"/>
    <cellStyle name="Normal 4 8 2 6" xfId="13005"/>
    <cellStyle name="Normal 4 8 2 7" xfId="13006"/>
    <cellStyle name="Normal 4 8 3" xfId="13007"/>
    <cellStyle name="Normal 4 8 3 2" xfId="13008"/>
    <cellStyle name="Normal 4 8 3 2 2" xfId="13009"/>
    <cellStyle name="Normal 4 8 3 3" xfId="13010"/>
    <cellStyle name="Normal 4 8 3 4" xfId="13011"/>
    <cellStyle name="Normal 4 8 4" xfId="13012"/>
    <cellStyle name="Normal 4 8 4 2" xfId="13013"/>
    <cellStyle name="Normal 4 8 4 3" xfId="13014"/>
    <cellStyle name="Normal 4 8 5" xfId="13015"/>
    <cellStyle name="Normal 4 8 5 2" xfId="13016"/>
    <cellStyle name="Normal 4 8 5 2 2" xfId="13017"/>
    <cellStyle name="Normal 4 8 5 2 2 2" xfId="13018"/>
    <cellStyle name="Normal 4 8 5 2 3" xfId="13019"/>
    <cellStyle name="Normal 4 8 5 3" xfId="13020"/>
    <cellStyle name="Normal 4 8 5 3 2" xfId="13021"/>
    <cellStyle name="Normal 4 8 5 4" xfId="13022"/>
    <cellStyle name="Normal 4 8 5 5" xfId="13023"/>
    <cellStyle name="Normal 4 8 6" xfId="13024"/>
    <cellStyle name="Normal 4 8 7" xfId="13025"/>
    <cellStyle name="Normal 4 8 8" xfId="13026"/>
    <cellStyle name="Normal 4 8 9" xfId="13027"/>
    <cellStyle name="Normal 4 9" xfId="1613"/>
    <cellStyle name="Normal 4 9 10" xfId="13028"/>
    <cellStyle name="Normal 4 9 11" xfId="17810"/>
    <cellStyle name="Normal 4 9 2" xfId="13029"/>
    <cellStyle name="Normal 4 9 2 2" xfId="13030"/>
    <cellStyle name="Normal 4 9 2 2 2" xfId="13031"/>
    <cellStyle name="Normal 4 9 2 2 3" xfId="13032"/>
    <cellStyle name="Normal 4 9 2 3" xfId="13033"/>
    <cellStyle name="Normal 4 9 2 4" xfId="13034"/>
    <cellStyle name="Normal 4 9 2 5" xfId="13035"/>
    <cellStyle name="Normal 4 9 2 6" xfId="13036"/>
    <cellStyle name="Normal 4 9 2 7" xfId="13037"/>
    <cellStyle name="Normal 4 9 3" xfId="13038"/>
    <cellStyle name="Normal 4 9 3 2" xfId="13039"/>
    <cellStyle name="Normal 4 9 3 3" xfId="13040"/>
    <cellStyle name="Normal 4 9 3 4" xfId="13041"/>
    <cellStyle name="Normal 4 9 4" xfId="13042"/>
    <cellStyle name="Normal 4 9 4 2" xfId="13043"/>
    <cellStyle name="Normal 4 9 4 3" xfId="13044"/>
    <cellStyle name="Normal 4 9 5" xfId="13045"/>
    <cellStyle name="Normal 4 9 6" xfId="13046"/>
    <cellStyle name="Normal 4 9 7" xfId="13047"/>
    <cellStyle name="Normal 4 9 8" xfId="13048"/>
    <cellStyle name="Normal 4 9 9" xfId="13049"/>
    <cellStyle name="Normal 40" xfId="1614"/>
    <cellStyle name="Normal 40 2" xfId="13050"/>
    <cellStyle name="Normal 40 2 2" xfId="17573"/>
    <cellStyle name="Normal 40 2 2 2" xfId="18378"/>
    <cellStyle name="Normal 40 2 2 3" xfId="19114"/>
    <cellStyle name="Normal 40 2 3" xfId="18040"/>
    <cellStyle name="Normal 40 2 4" xfId="18799"/>
    <cellStyle name="Normal 40 2 5" xfId="17064"/>
    <cellStyle name="Normal 40 3" xfId="17007"/>
    <cellStyle name="Normal 40 4" xfId="16495"/>
    <cellStyle name="Normal 40 5" xfId="16252"/>
    <cellStyle name="Normal 400" xfId="18003"/>
    <cellStyle name="Normal 401" xfId="18584"/>
    <cellStyle name="Normal 401 2" xfId="19356"/>
    <cellStyle name="Normal 402" xfId="18586"/>
    <cellStyle name="Normal 402 2" xfId="19326"/>
    <cellStyle name="Normal 403" xfId="18588"/>
    <cellStyle name="Normal 403 2" xfId="19372"/>
    <cellStyle name="Normal 404" xfId="18591"/>
    <cellStyle name="Normal 404 2" xfId="19336"/>
    <cellStyle name="Normal 405" xfId="18593"/>
    <cellStyle name="Normal 405 2" xfId="19357"/>
    <cellStyle name="Normal 406" xfId="18595"/>
    <cellStyle name="Normal 406 2" xfId="19341"/>
    <cellStyle name="Normal 407" xfId="18597"/>
    <cellStyle name="Normal 407 2" xfId="19350"/>
    <cellStyle name="Normal 408" xfId="18599"/>
    <cellStyle name="Normal 408 2" xfId="19391"/>
    <cellStyle name="Normal 409" xfId="18601"/>
    <cellStyle name="Normal 409 2" xfId="19338"/>
    <cellStyle name="Normal 41" xfId="1615"/>
    <cellStyle name="Normal 41 2" xfId="13051"/>
    <cellStyle name="Normal 41 2 2" xfId="17570"/>
    <cellStyle name="Normal 41 2 2 2" xfId="18375"/>
    <cellStyle name="Normal 41 2 2 3" xfId="19111"/>
    <cellStyle name="Normal 41 2 3" xfId="18037"/>
    <cellStyle name="Normal 41 2 4" xfId="18796"/>
    <cellStyle name="Normal 41 2 5" xfId="17060"/>
    <cellStyle name="Normal 41 3" xfId="13052"/>
    <cellStyle name="Normal 41 3 2" xfId="17009"/>
    <cellStyle name="Normal 41 4" xfId="16492"/>
    <cellStyle name="Normal 41 5" xfId="16248"/>
    <cellStyle name="Normal 410" xfId="18603"/>
    <cellStyle name="Normal 410 2" xfId="19327"/>
    <cellStyle name="Normal 411" xfId="18605"/>
    <cellStyle name="Normal 411 2" xfId="19392"/>
    <cellStyle name="Normal 412" xfId="18607"/>
    <cellStyle name="Normal 412 2" xfId="19380"/>
    <cellStyle name="Normal 413" xfId="18609"/>
    <cellStyle name="Normal 413 2" xfId="19346"/>
    <cellStyle name="Normal 414" xfId="18611"/>
    <cellStyle name="Normal 414 2" xfId="19370"/>
    <cellStyle name="Normal 415" xfId="18613"/>
    <cellStyle name="Normal 415 2" xfId="19318"/>
    <cellStyle name="Normal 416" xfId="18615"/>
    <cellStyle name="Normal 416 2" xfId="19340"/>
    <cellStyle name="Normal 417" xfId="18617"/>
    <cellStyle name="Normal 417 2" xfId="19344"/>
    <cellStyle name="Normal 418" xfId="18619"/>
    <cellStyle name="Normal 418 2" xfId="19393"/>
    <cellStyle name="Normal 419" xfId="18621"/>
    <cellStyle name="Normal 419 2" xfId="19345"/>
    <cellStyle name="Normal 42" xfId="1616"/>
    <cellStyle name="Normal 42 2" xfId="13053"/>
    <cellStyle name="Normal 42 2 2" xfId="17575"/>
    <cellStyle name="Normal 42 2 2 2" xfId="18380"/>
    <cellStyle name="Normal 42 2 2 3" xfId="19116"/>
    <cellStyle name="Normal 42 2 3" xfId="18042"/>
    <cellStyle name="Normal 42 2 4" xfId="18801"/>
    <cellStyle name="Normal 42 2 5" xfId="17066"/>
    <cellStyle name="Normal 42 3" xfId="13054"/>
    <cellStyle name="Normal 42 3 2" xfId="17011"/>
    <cellStyle name="Normal 42 4" xfId="16497"/>
    <cellStyle name="Normal 42 5" xfId="16254"/>
    <cellStyle name="Normal 420" xfId="18623"/>
    <cellStyle name="Normal 420 2" xfId="19388"/>
    <cellStyle name="Normal 421" xfId="18624"/>
    <cellStyle name="Normal 422" xfId="18626"/>
    <cellStyle name="Normal 423" xfId="18704"/>
    <cellStyle name="Normal 424" xfId="18625"/>
    <cellStyle name="Normal 425" xfId="18758"/>
    <cellStyle name="Normal 426" xfId="19300"/>
    <cellStyle name="Normal 427" xfId="18827"/>
    <cellStyle name="Normal 428" xfId="18779"/>
    <cellStyle name="Normal 429" xfId="18761"/>
    <cellStyle name="Normal 43" xfId="1617"/>
    <cellStyle name="Normal 43 2" xfId="13055"/>
    <cellStyle name="Normal 43 2 2" xfId="17571"/>
    <cellStyle name="Normal 43 2 2 2" xfId="18376"/>
    <cellStyle name="Normal 43 2 2 3" xfId="19112"/>
    <cellStyle name="Normal 43 2 3" xfId="18038"/>
    <cellStyle name="Normal 43 2 4" xfId="18797"/>
    <cellStyle name="Normal 43 2 5" xfId="17061"/>
    <cellStyle name="Normal 43 3" xfId="17013"/>
    <cellStyle name="Normal 43 4" xfId="16493"/>
    <cellStyle name="Normal 43 5" xfId="16249"/>
    <cellStyle name="Normal 430" xfId="18828"/>
    <cellStyle name="Normal 431" xfId="18759"/>
    <cellStyle name="Normal 431 2" xfId="19337"/>
    <cellStyle name="Normal 432" xfId="18760"/>
    <cellStyle name="Normal 432 2" xfId="19321"/>
    <cellStyle name="Normal 433" xfId="19310"/>
    <cellStyle name="Normal 433 2" xfId="19396"/>
    <cellStyle name="Normal 434" xfId="16511"/>
    <cellStyle name="Normal 435" xfId="19311"/>
    <cellStyle name="Normal 436" xfId="19325"/>
    <cellStyle name="Normal 437" xfId="19312"/>
    <cellStyle name="Normal 438" xfId="19331"/>
    <cellStyle name="Normal 439" xfId="19382"/>
    <cellStyle name="Normal 44" xfId="1618"/>
    <cellStyle name="Normal 44 2" xfId="17065"/>
    <cellStyle name="Normal 44 2 2" xfId="17574"/>
    <cellStyle name="Normal 44 2 2 2" xfId="18379"/>
    <cellStyle name="Normal 44 2 2 3" xfId="19115"/>
    <cellStyle name="Normal 44 2 3" xfId="18041"/>
    <cellStyle name="Normal 44 2 4" xfId="18800"/>
    <cellStyle name="Normal 44 3" xfId="17015"/>
    <cellStyle name="Normal 44 4" xfId="16496"/>
    <cellStyle name="Normal 44 5" xfId="16253"/>
    <cellStyle name="Normal 440" xfId="19322"/>
    <cellStyle name="Normal 441" xfId="19323"/>
    <cellStyle name="Normal 442" xfId="19360"/>
    <cellStyle name="Normal 443" xfId="19379"/>
    <cellStyle name="Normal 444" xfId="19343"/>
    <cellStyle name="Normal 445" xfId="19363"/>
    <cellStyle name="Normal 446" xfId="19342"/>
    <cellStyle name="Normal 447" xfId="19339"/>
    <cellStyle name="Normal 448" xfId="19397"/>
    <cellStyle name="Normal 449" xfId="19394"/>
    <cellStyle name="Normal 45" xfId="1619"/>
    <cellStyle name="Normal 45 2" xfId="17032"/>
    <cellStyle name="Normal 45 3" xfId="17018"/>
    <cellStyle name="Normal 45 4" xfId="16506"/>
    <cellStyle name="Normal 45 5" xfId="16222"/>
    <cellStyle name="Normal 450" xfId="19376"/>
    <cellStyle name="Normal 451" xfId="19389"/>
    <cellStyle name="Normal 452" xfId="16510"/>
    <cellStyle name="Normal 453" xfId="16769"/>
    <cellStyle name="Normal 454" xfId="19400"/>
    <cellStyle name="Normal 455" xfId="19434"/>
    <cellStyle name="Normal 456" xfId="19421"/>
    <cellStyle name="Normal 457" xfId="19420"/>
    <cellStyle name="Normal 458" xfId="19430"/>
    <cellStyle name="Normal 459" xfId="19429"/>
    <cellStyle name="Normal 46" xfId="1620"/>
    <cellStyle name="Normal 46 2" xfId="17077"/>
    <cellStyle name="Normal 46 3" xfId="17020"/>
    <cellStyle name="Normal 46 4" xfId="16508"/>
    <cellStyle name="Normal 46 5" xfId="16265"/>
    <cellStyle name="Normal 460" xfId="19443"/>
    <cellStyle name="Normal 461" xfId="19409"/>
    <cellStyle name="Normal 462" xfId="19427"/>
    <cellStyle name="Normal 463" xfId="19399"/>
    <cellStyle name="Normal 464" xfId="19402"/>
    <cellStyle name="Normal 465" xfId="19447"/>
    <cellStyle name="Normal 466" xfId="19416"/>
    <cellStyle name="Normal 467" xfId="19423"/>
    <cellStyle name="Normal 468" xfId="19438"/>
    <cellStyle name="Normal 469" xfId="19410"/>
    <cellStyle name="Normal 47" xfId="1621"/>
    <cellStyle name="Normal 47 2" xfId="17120"/>
    <cellStyle name="Normal 47 3" xfId="17022"/>
    <cellStyle name="Normal 47 4" xfId="16323"/>
    <cellStyle name="Normal 470" xfId="19440"/>
    <cellStyle name="Normal 471" xfId="19424"/>
    <cellStyle name="Normal 472" xfId="16757"/>
    <cellStyle name="Normal 473" xfId="19401"/>
    <cellStyle name="Normal 474" xfId="19405"/>
    <cellStyle name="Normal 475" xfId="19412"/>
    <cellStyle name="Normal 476" xfId="19422"/>
    <cellStyle name="Normal 477" xfId="19426"/>
    <cellStyle name="Normal 478" xfId="19411"/>
    <cellStyle name="Normal 479" xfId="19408"/>
    <cellStyle name="Normal 48" xfId="1622"/>
    <cellStyle name="Normal 480" xfId="19406"/>
    <cellStyle name="Normal 481" xfId="19425"/>
    <cellStyle name="Normal 482" xfId="19419"/>
    <cellStyle name="Normal 483" xfId="19446"/>
    <cellStyle name="Normal 484" xfId="19436"/>
    <cellStyle name="Normal 485" xfId="19428"/>
    <cellStyle name="Normal 486" xfId="19414"/>
    <cellStyle name="Normal 487" xfId="19437"/>
    <cellStyle name="Normal 488" xfId="16514"/>
    <cellStyle name="Normal 489" xfId="19404"/>
    <cellStyle name="Normal 49" xfId="1623"/>
    <cellStyle name="Normal 490" xfId="19432"/>
    <cellStyle name="Normal 491" xfId="19431"/>
    <cellStyle name="Normal 492" xfId="19439"/>
    <cellStyle name="Normal 493" xfId="19445"/>
    <cellStyle name="Normal 494" xfId="19418"/>
    <cellStyle name="Normal 495" xfId="19417"/>
    <cellStyle name="Normal 496" xfId="19415"/>
    <cellStyle name="Normal 497" xfId="19441"/>
    <cellStyle name="Normal 498" xfId="16758"/>
    <cellStyle name="Normal 499" xfId="19398"/>
    <cellStyle name="Normal 5" xfId="1624"/>
    <cellStyle name="Normal 5 10" xfId="13056"/>
    <cellStyle name="Normal 5 10 10" xfId="16662"/>
    <cellStyle name="Normal 5 10 2" xfId="13057"/>
    <cellStyle name="Normal 5 10 2 2" xfId="13058"/>
    <cellStyle name="Normal 5 10 2 2 2" xfId="13059"/>
    <cellStyle name="Normal 5 10 2 2 3" xfId="13060"/>
    <cellStyle name="Normal 5 10 2 3" xfId="13061"/>
    <cellStyle name="Normal 5 10 2 4" xfId="13062"/>
    <cellStyle name="Normal 5 10 2 5" xfId="13063"/>
    <cellStyle name="Normal 5 10 2 6" xfId="13064"/>
    <cellStyle name="Normal 5 10 2 7" xfId="13065"/>
    <cellStyle name="Normal 5 10 3" xfId="13066"/>
    <cellStyle name="Normal 5 10 3 2" xfId="13067"/>
    <cellStyle name="Normal 5 10 4" xfId="13068"/>
    <cellStyle name="Normal 5 10 4 2" xfId="13069"/>
    <cellStyle name="Normal 5 10 5" xfId="13070"/>
    <cellStyle name="Normal 5 10 6" xfId="13071"/>
    <cellStyle name="Normal 5 10 7" xfId="13072"/>
    <cellStyle name="Normal 5 10 8" xfId="13073"/>
    <cellStyle name="Normal 5 10 9" xfId="13074"/>
    <cellStyle name="Normal 5 11" xfId="13075"/>
    <cellStyle name="Normal 5 11 2" xfId="13076"/>
    <cellStyle name="Normal 5 11 2 2" xfId="13077"/>
    <cellStyle name="Normal 5 11 2 3" xfId="13078"/>
    <cellStyle name="Normal 5 11 2 4" xfId="13079"/>
    <cellStyle name="Normal 5 11 2 5" xfId="13080"/>
    <cellStyle name="Normal 5 11 2 6" xfId="13081"/>
    <cellStyle name="Normal 5 11 3" xfId="13082"/>
    <cellStyle name="Normal 5 11 3 2" xfId="13083"/>
    <cellStyle name="Normal 5 11 4" xfId="13084"/>
    <cellStyle name="Normal 5 11 4 2" xfId="13085"/>
    <cellStyle name="Normal 5 11 5" xfId="13086"/>
    <cellStyle name="Normal 5 11 6" xfId="13087"/>
    <cellStyle name="Normal 5 11 7" xfId="13088"/>
    <cellStyle name="Normal 5 11 8" xfId="18647"/>
    <cellStyle name="Normal 5 12" xfId="13089"/>
    <cellStyle name="Normal 5 12 2" xfId="13090"/>
    <cellStyle name="Normal 5 12 2 2" xfId="13091"/>
    <cellStyle name="Normal 5 12 2 3" xfId="13092"/>
    <cellStyle name="Normal 5 12 2 4" xfId="13093"/>
    <cellStyle name="Normal 5 12 2 5" xfId="13094"/>
    <cellStyle name="Normal 5 12 2 6" xfId="13095"/>
    <cellStyle name="Normal 5 12 3" xfId="13096"/>
    <cellStyle name="Normal 5 12 4" xfId="13097"/>
    <cellStyle name="Normal 5 12 5" xfId="13098"/>
    <cellStyle name="Normal 5 13" xfId="13099"/>
    <cellStyle name="Normal 5 13 2" xfId="13100"/>
    <cellStyle name="Normal 5 13 2 2" xfId="13101"/>
    <cellStyle name="Normal 5 13 3" xfId="13102"/>
    <cellStyle name="Normal 5 13 4" xfId="13103"/>
    <cellStyle name="Normal 5 13 5" xfId="13104"/>
    <cellStyle name="Normal 5 14" xfId="13105"/>
    <cellStyle name="Normal 5 14 2" xfId="13106"/>
    <cellStyle name="Normal 5 14 2 2" xfId="13107"/>
    <cellStyle name="Normal 5 14 3" xfId="13108"/>
    <cellStyle name="Normal 5 14 4" xfId="13109"/>
    <cellStyle name="Normal 5 14 5" xfId="13110"/>
    <cellStyle name="Normal 5 15" xfId="13111"/>
    <cellStyle name="Normal 5 15 2" xfId="13112"/>
    <cellStyle name="Normal 5 15 2 2" xfId="13113"/>
    <cellStyle name="Normal 5 15 3" xfId="13114"/>
    <cellStyle name="Normal 5 15 4" xfId="13115"/>
    <cellStyle name="Normal 5 15 5" xfId="13116"/>
    <cellStyle name="Normal 5 16" xfId="13117"/>
    <cellStyle name="Normal 5 16 2" xfId="13118"/>
    <cellStyle name="Normal 5 16 2 2" xfId="13119"/>
    <cellStyle name="Normal 5 16 3" xfId="13120"/>
    <cellStyle name="Normal 5 16 4" xfId="13121"/>
    <cellStyle name="Normal 5 16 5" xfId="13122"/>
    <cellStyle name="Normal 5 17" xfId="13123"/>
    <cellStyle name="Normal 5 17 2" xfId="13124"/>
    <cellStyle name="Normal 5 17 2 2" xfId="13125"/>
    <cellStyle name="Normal 5 17 3" xfId="13126"/>
    <cellStyle name="Normal 5 17 4" xfId="13127"/>
    <cellStyle name="Normal 5 17 5" xfId="13128"/>
    <cellStyle name="Normal 5 18" xfId="13129"/>
    <cellStyle name="Normal 5 18 2" xfId="13130"/>
    <cellStyle name="Normal 5 18 3" xfId="13131"/>
    <cellStyle name="Normal 5 18 4" xfId="13132"/>
    <cellStyle name="Normal 5 18 5" xfId="13133"/>
    <cellStyle name="Normal 5 18 6" xfId="13134"/>
    <cellStyle name="Normal 5 19" xfId="13135"/>
    <cellStyle name="Normal 5 19 2" xfId="13136"/>
    <cellStyle name="Normal 5 19 2 2" xfId="13137"/>
    <cellStyle name="Normal 5 19 2 2 2" xfId="13138"/>
    <cellStyle name="Normal 5 19 2 3" xfId="13139"/>
    <cellStyle name="Normal 5 19 2 4" xfId="13140"/>
    <cellStyle name="Normal 5 19 3" xfId="13141"/>
    <cellStyle name="Normal 5 19 3 2" xfId="13142"/>
    <cellStyle name="Normal 5 19 4" xfId="13143"/>
    <cellStyle name="Normal 5 19 5" xfId="13144"/>
    <cellStyle name="Normal 5 2" xfId="1625"/>
    <cellStyle name="Normal 5 2 10" xfId="13145"/>
    <cellStyle name="Normal 5 2 10 2" xfId="18676"/>
    <cellStyle name="Normal 5 2 11" xfId="13146"/>
    <cellStyle name="Normal 5 2 2" xfId="13147"/>
    <cellStyle name="Normal 5 2 2 2" xfId="13148"/>
    <cellStyle name="Normal 5 2 2 2 2" xfId="13149"/>
    <cellStyle name="Normal 5 2 2 2 2 2" xfId="13150"/>
    <cellStyle name="Normal 5 2 2 2 2 3" xfId="13151"/>
    <cellStyle name="Normal 5 2 2 2 2 4" xfId="17905"/>
    <cellStyle name="Normal 5 2 2 2 2 5" xfId="16666"/>
    <cellStyle name="Normal 5 2 2 2 3" xfId="13152"/>
    <cellStyle name="Normal 5 2 2 2 3 2" xfId="13153"/>
    <cellStyle name="Normal 5 2 2 2 4" xfId="13154"/>
    <cellStyle name="Normal 5 2 2 2 5" xfId="17794"/>
    <cellStyle name="Normal 5 2 2 2 6" xfId="16665"/>
    <cellStyle name="Normal 5 2 2 3" xfId="13155"/>
    <cellStyle name="Normal 5 2 2 3 2" xfId="13156"/>
    <cellStyle name="Normal 5 2 2 3 2 2" xfId="13157"/>
    <cellStyle name="Normal 5 2 2 3 3" xfId="13158"/>
    <cellStyle name="Normal 5 2 2 3 4" xfId="17823"/>
    <cellStyle name="Normal 5 2 2 3 5" xfId="16667"/>
    <cellStyle name="Normal 5 2 2 4" xfId="13159"/>
    <cellStyle name="Normal 5 2 2 4 2" xfId="13160"/>
    <cellStyle name="Normal 5 2 2 5" xfId="13161"/>
    <cellStyle name="Normal 5 2 2 6" xfId="13162"/>
    <cellStyle name="Normal 5 2 2 6 2" xfId="17898"/>
    <cellStyle name="Normal 5 2 2 7" xfId="13163"/>
    <cellStyle name="Normal 5 2 2 7 2" xfId="18583"/>
    <cellStyle name="Normal 5 2 2 7 3" xfId="19306"/>
    <cellStyle name="Normal 5 2 2 7 4" xfId="17918"/>
    <cellStyle name="Normal 5 2 2 8" xfId="13164"/>
    <cellStyle name="Normal 5 2 2 8 2" xfId="16664"/>
    <cellStyle name="Normal 5 2 2 9" xfId="18738"/>
    <cellStyle name="Normal 5 2 3" xfId="13165"/>
    <cellStyle name="Normal 5 2 3 2" xfId="13166"/>
    <cellStyle name="Normal 5 2 3 2 2" xfId="16854"/>
    <cellStyle name="Normal 5 2 3 2 3" xfId="16812"/>
    <cellStyle name="Normal 5 2 3 2 4" xfId="17817"/>
    <cellStyle name="Normal 5 2 3 2 5" xfId="16669"/>
    <cellStyle name="Normal 5 2 3 3" xfId="13167"/>
    <cellStyle name="Normal 5 2 3 3 2" xfId="13168"/>
    <cellStyle name="Normal 5 2 3 3 3" xfId="13169"/>
    <cellStyle name="Normal 5 2 3 4" xfId="13170"/>
    <cellStyle name="Normal 5 2 3 4 2" xfId="13171"/>
    <cellStyle name="Normal 5 2 3 5" xfId="13172"/>
    <cellStyle name="Normal 5 2 3 5 2" xfId="17851"/>
    <cellStyle name="Normal 5 2 3 6" xfId="13173"/>
    <cellStyle name="Normal 5 2 3 6 2" xfId="16668"/>
    <cellStyle name="Normal 5 2 3 7" xfId="19765"/>
    <cellStyle name="Normal 5 2 4" xfId="13174"/>
    <cellStyle name="Normal 5 2 4 2" xfId="13175"/>
    <cellStyle name="Normal 5 2 4 2 2" xfId="13176"/>
    <cellStyle name="Normal 5 2 4 2 3" xfId="13177"/>
    <cellStyle name="Normal 5 2 4 3" xfId="13178"/>
    <cellStyle name="Normal 5 2 4 4" xfId="13179"/>
    <cellStyle name="Normal 5 2 4 4 2" xfId="17884"/>
    <cellStyle name="Normal 5 2 4 5" xfId="13180"/>
    <cellStyle name="Normal 5 2 4 5 2" xfId="16670"/>
    <cellStyle name="Normal 5 2 5" xfId="13181"/>
    <cellStyle name="Normal 5 2 5 2" xfId="13182"/>
    <cellStyle name="Normal 5 2 5 2 2" xfId="13183"/>
    <cellStyle name="Normal 5 2 5 2 2 2" xfId="13184"/>
    <cellStyle name="Normal 5 2 5 2 2 2 2" xfId="18400"/>
    <cellStyle name="Normal 5 2 5 2 2 3" xfId="19136"/>
    <cellStyle name="Normal 5 2 5 2 2 4" xfId="17595"/>
    <cellStyle name="Normal 5 2 5 2 3" xfId="13185"/>
    <cellStyle name="Normal 5 2 5 2 3 2" xfId="18062"/>
    <cellStyle name="Normal 5 2 5 2 4" xfId="13186"/>
    <cellStyle name="Normal 5 2 5 2 4 2" xfId="18809"/>
    <cellStyle name="Normal 5 2 5 2 5" xfId="17092"/>
    <cellStyle name="Normal 5 2 5 3" xfId="13187"/>
    <cellStyle name="Normal 5 2 5 3 2" xfId="13188"/>
    <cellStyle name="Normal 5 2 5 4" xfId="13189"/>
    <cellStyle name="Normal 5 2 5 4 2" xfId="17996"/>
    <cellStyle name="Normal 5 2 5 5" xfId="13190"/>
    <cellStyle name="Normal 5 2 5 5 2" xfId="18754"/>
    <cellStyle name="Normal 5 2 5 6" xfId="16671"/>
    <cellStyle name="Normal 5 2 5 7" xfId="16280"/>
    <cellStyle name="Normal 5 2 6" xfId="13191"/>
    <cellStyle name="Normal 5 2 6 2" xfId="16672"/>
    <cellStyle name="Normal 5 2 7" xfId="13192"/>
    <cellStyle name="Normal 5 2 8" xfId="13193"/>
    <cellStyle name="Normal 5 2 8 2" xfId="17795"/>
    <cellStyle name="Normal 5 2 9" xfId="13194"/>
    <cellStyle name="Normal 5 2 9 2" xfId="16663"/>
    <cellStyle name="Normal 5 20" xfId="13195"/>
    <cellStyle name="Normal 5 20 2" xfId="13196"/>
    <cellStyle name="Normal 5 20 3" xfId="13197"/>
    <cellStyle name="Normal 5 21" xfId="13198"/>
    <cellStyle name="Normal 5 21 2" xfId="13199"/>
    <cellStyle name="Normal 5 21 3" xfId="13200"/>
    <cellStyle name="Normal 5 22" xfId="13201"/>
    <cellStyle name="Normal 5 22 2" xfId="13202"/>
    <cellStyle name="Normal 5 22 3" xfId="13203"/>
    <cellStyle name="Normal 5 23" xfId="13204"/>
    <cellStyle name="Normal 5 23 2" xfId="13205"/>
    <cellStyle name="Normal 5 24" xfId="13206"/>
    <cellStyle name="Normal 5 24 2" xfId="13207"/>
    <cellStyle name="Normal 5 25" xfId="13208"/>
    <cellStyle name="Normal 5 26" xfId="13209"/>
    <cellStyle name="Normal 5 27" xfId="13210"/>
    <cellStyle name="Normal 5 28" xfId="16164"/>
    <cellStyle name="Normal 5 29" xfId="16171"/>
    <cellStyle name="Normal 5 3" xfId="13211"/>
    <cellStyle name="Normal 5 3 2" xfId="13212"/>
    <cellStyle name="Normal 5 3 2 2" xfId="13213"/>
    <cellStyle name="Normal 5 3 2 2 2" xfId="16856"/>
    <cellStyle name="Normal 5 3 2 2 3" xfId="16813"/>
    <cellStyle name="Normal 5 3 2 2 4" xfId="17891"/>
    <cellStyle name="Normal 5 3 2 2 5" xfId="16675"/>
    <cellStyle name="Normal 5 3 2 3" xfId="16839"/>
    <cellStyle name="Normal 5 3 2 4" xfId="16786"/>
    <cellStyle name="Normal 5 3 2 5" xfId="17861"/>
    <cellStyle name="Normal 5 3 2 6" xfId="16674"/>
    <cellStyle name="Normal 5 3 3" xfId="13214"/>
    <cellStyle name="Normal 5 3 3 2" xfId="16855"/>
    <cellStyle name="Normal 5 3 3 3" xfId="16814"/>
    <cellStyle name="Normal 5 3 3 4" xfId="17858"/>
    <cellStyle name="Normal 5 3 3 5" xfId="16676"/>
    <cellStyle name="Normal 5 3 4" xfId="13215"/>
    <cellStyle name="Normal 5 3 5" xfId="13216"/>
    <cellStyle name="Normal 5 3 6" xfId="17852"/>
    <cellStyle name="Normal 5 3 7" xfId="17915"/>
    <cellStyle name="Normal 5 3 7 2" xfId="18580"/>
    <cellStyle name="Normal 5 3 7 3" xfId="19303"/>
    <cellStyle name="Normal 5 3 8" xfId="16673"/>
    <cellStyle name="Normal 5 3 9" xfId="18708"/>
    <cellStyle name="Normal 5 4" xfId="13217"/>
    <cellStyle name="Normal 5 4 2" xfId="13218"/>
    <cellStyle name="Normal 5 4 2 2" xfId="13219"/>
    <cellStyle name="Normal 5 4 2 2 2" xfId="13220"/>
    <cellStyle name="Normal 5 4 2 2 2 2" xfId="13221"/>
    <cellStyle name="Normal 5 4 2 2 2 3" xfId="13222"/>
    <cellStyle name="Normal 5 4 2 2 3" xfId="13223"/>
    <cellStyle name="Normal 5 4 2 2 3 2" xfId="13224"/>
    <cellStyle name="Normal 5 4 2 2 4" xfId="13225"/>
    <cellStyle name="Normal 5 4 2 3" xfId="13226"/>
    <cellStyle name="Normal 5 4 2 3 2" xfId="13227"/>
    <cellStyle name="Normal 5 4 2 3 2 2" xfId="13228"/>
    <cellStyle name="Normal 5 4 2 3 3" xfId="13229"/>
    <cellStyle name="Normal 5 4 2 4" xfId="13230"/>
    <cellStyle name="Normal 5 4 2 4 2" xfId="13231"/>
    <cellStyle name="Normal 5 4 2 4 3" xfId="17833"/>
    <cellStyle name="Normal 5 4 2 5" xfId="13232"/>
    <cellStyle name="Normal 5 4 2 5 2" xfId="16678"/>
    <cellStyle name="Normal 5 4 2 6" xfId="13233"/>
    <cellStyle name="Normal 5 4 2 7" xfId="13234"/>
    <cellStyle name="Normal 5 4 2 8" xfId="13235"/>
    <cellStyle name="Normal 5 4 3" xfId="13236"/>
    <cellStyle name="Normal 5 4 3 2" xfId="13237"/>
    <cellStyle name="Normal 5 4 3 2 2" xfId="13238"/>
    <cellStyle name="Normal 5 4 3 2 3" xfId="13239"/>
    <cellStyle name="Normal 5 4 3 3" xfId="13240"/>
    <cellStyle name="Normal 5 4 3 3 2" xfId="13241"/>
    <cellStyle name="Normal 5 4 3 4" xfId="13242"/>
    <cellStyle name="Normal 5 4 3 5" xfId="13243"/>
    <cellStyle name="Normal 5 4 4" xfId="13244"/>
    <cellStyle name="Normal 5 4 4 2" xfId="13245"/>
    <cellStyle name="Normal 5 4 4 2 2" xfId="13246"/>
    <cellStyle name="Normal 5 4 4 3" xfId="13247"/>
    <cellStyle name="Normal 5 4 4 4" xfId="13248"/>
    <cellStyle name="Normal 5 4 5" xfId="13249"/>
    <cellStyle name="Normal 5 4 5 2" xfId="13250"/>
    <cellStyle name="Normal 5 4 5 3" xfId="17808"/>
    <cellStyle name="Normal 5 4 6" xfId="13251"/>
    <cellStyle name="Normal 5 4 6 2" xfId="16677"/>
    <cellStyle name="Normal 5 4 7" xfId="13252"/>
    <cellStyle name="Normal 5 4 8" xfId="13253"/>
    <cellStyle name="Normal 5 4 9" xfId="13254"/>
    <cellStyle name="Normal 5 5" xfId="13255"/>
    <cellStyle name="Normal 5 5 2" xfId="13256"/>
    <cellStyle name="Normal 5 5 2 2" xfId="13257"/>
    <cellStyle name="Normal 5 5 2 2 2" xfId="18414"/>
    <cellStyle name="Normal 5 5 2 3" xfId="19144"/>
    <cellStyle name="Normal 5 5 2 4" xfId="17609"/>
    <cellStyle name="Normal 5 5 3" xfId="13258"/>
    <cellStyle name="Normal 5 5 3 2" xfId="18069"/>
    <cellStyle name="Normal 5 5 3 3" xfId="18816"/>
    <cellStyle name="Normal 5 5 3 4" xfId="17102"/>
    <cellStyle name="Normal 5 5 4" xfId="13259"/>
    <cellStyle name="Normal 5 5 4 2" xfId="17806"/>
    <cellStyle name="Normal 5 5 5" xfId="13260"/>
    <cellStyle name="Normal 5 5 5 2" xfId="16679"/>
    <cellStyle name="Normal 5 5 6" xfId="16515"/>
    <cellStyle name="Normal 5 5 7" xfId="16296"/>
    <cellStyle name="Normal 5 6" xfId="13261"/>
    <cellStyle name="Normal 5 6 10" xfId="16680"/>
    <cellStyle name="Normal 5 6 2" xfId="13262"/>
    <cellStyle name="Normal 5 6 2 2" xfId="13263"/>
    <cellStyle name="Normal 5 6 2 2 2" xfId="13264"/>
    <cellStyle name="Normal 5 6 2 2 2 2" xfId="13265"/>
    <cellStyle name="Normal 5 6 2 2 2 3" xfId="13266"/>
    <cellStyle name="Normal 5 6 2 2 3" xfId="13267"/>
    <cellStyle name="Normal 5 6 2 2 3 2" xfId="13268"/>
    <cellStyle name="Normal 5 6 2 2 4" xfId="13269"/>
    <cellStyle name="Normal 5 6 2 3" xfId="13270"/>
    <cellStyle name="Normal 5 6 2 3 2" xfId="13271"/>
    <cellStyle name="Normal 5 6 2 3 2 2" xfId="13272"/>
    <cellStyle name="Normal 5 6 2 3 3" xfId="13273"/>
    <cellStyle name="Normal 5 6 2 4" xfId="13274"/>
    <cellStyle name="Normal 5 6 2 4 2" xfId="13275"/>
    <cellStyle name="Normal 5 6 2 5" xfId="13276"/>
    <cellStyle name="Normal 5 6 2 6" xfId="13277"/>
    <cellStyle name="Normal 5 6 2 7" xfId="13278"/>
    <cellStyle name="Normal 5 6 2 8" xfId="13279"/>
    <cellStyle name="Normal 5 6 2 9" xfId="17997"/>
    <cellStyle name="Normal 5 6 3" xfId="13280"/>
    <cellStyle name="Normal 5 6 3 2" xfId="13281"/>
    <cellStyle name="Normal 5 6 3 2 2" xfId="13282"/>
    <cellStyle name="Normal 5 6 3 2 3" xfId="13283"/>
    <cellStyle name="Normal 5 6 3 3" xfId="13284"/>
    <cellStyle name="Normal 5 6 3 3 2" xfId="13285"/>
    <cellStyle name="Normal 5 6 3 4" xfId="13286"/>
    <cellStyle name="Normal 5 6 3 5" xfId="13287"/>
    <cellStyle name="Normal 5 6 3 6" xfId="18755"/>
    <cellStyle name="Normal 5 6 4" xfId="13288"/>
    <cellStyle name="Normal 5 6 4 2" xfId="13289"/>
    <cellStyle name="Normal 5 6 4 2 2" xfId="13290"/>
    <cellStyle name="Normal 5 6 4 3" xfId="13291"/>
    <cellStyle name="Normal 5 6 4 4" xfId="13292"/>
    <cellStyle name="Normal 5 6 5" xfId="13293"/>
    <cellStyle name="Normal 5 6 5 2" xfId="13294"/>
    <cellStyle name="Normal 5 6 6" xfId="13295"/>
    <cellStyle name="Normal 5 6 7" xfId="13296"/>
    <cellStyle name="Normal 5 6 8" xfId="13297"/>
    <cellStyle name="Normal 5 6 9" xfId="13298"/>
    <cellStyle name="Normal 5 7" xfId="13299"/>
    <cellStyle name="Normal 5 7 2" xfId="13300"/>
    <cellStyle name="Normal 5 7 2 2" xfId="13301"/>
    <cellStyle name="Normal 5 7 2 2 2" xfId="13302"/>
    <cellStyle name="Normal 5 7 2 2 3" xfId="13303"/>
    <cellStyle name="Normal 5 7 2 3" xfId="13304"/>
    <cellStyle name="Normal 5 7 2 3 2" xfId="13305"/>
    <cellStyle name="Normal 5 7 2 4" xfId="13306"/>
    <cellStyle name="Normal 5 7 2 5" xfId="13307"/>
    <cellStyle name="Normal 5 7 2 6" xfId="13308"/>
    <cellStyle name="Normal 5 7 2 7" xfId="13309"/>
    <cellStyle name="Normal 5 7 3" xfId="13310"/>
    <cellStyle name="Normal 5 7 3 2" xfId="13311"/>
    <cellStyle name="Normal 5 7 3 2 2" xfId="13312"/>
    <cellStyle name="Normal 5 7 3 3" xfId="13313"/>
    <cellStyle name="Normal 5 7 3 4" xfId="13314"/>
    <cellStyle name="Normal 5 7 4" xfId="13315"/>
    <cellStyle name="Normal 5 7 4 2" xfId="13316"/>
    <cellStyle name="Normal 5 7 4 3" xfId="13317"/>
    <cellStyle name="Normal 5 7 5" xfId="13318"/>
    <cellStyle name="Normal 5 7 6" xfId="13319"/>
    <cellStyle name="Normal 5 7 7" xfId="13320"/>
    <cellStyle name="Normal 5 7 8" xfId="13321"/>
    <cellStyle name="Normal 5 7 9" xfId="16681"/>
    <cellStyle name="Normal 5 8" xfId="13322"/>
    <cellStyle name="Normal 5 8 2" xfId="13323"/>
    <cellStyle name="Normal 5 8 2 2" xfId="13324"/>
    <cellStyle name="Normal 5 8 2 2 2" xfId="13325"/>
    <cellStyle name="Normal 5 8 2 2 3" xfId="13326"/>
    <cellStyle name="Normal 5 8 2 3" xfId="13327"/>
    <cellStyle name="Normal 5 8 2 4" xfId="13328"/>
    <cellStyle name="Normal 5 8 2 5" xfId="13329"/>
    <cellStyle name="Normal 5 8 2 6" xfId="13330"/>
    <cellStyle name="Normal 5 8 2 7" xfId="13331"/>
    <cellStyle name="Normal 5 8 3" xfId="13332"/>
    <cellStyle name="Normal 5 8 3 2" xfId="13333"/>
    <cellStyle name="Normal 5 8 3 3" xfId="13334"/>
    <cellStyle name="Normal 5 8 3 4" xfId="13335"/>
    <cellStyle name="Normal 5 8 4" xfId="13336"/>
    <cellStyle name="Normal 5 8 4 2" xfId="13337"/>
    <cellStyle name="Normal 5 8 5" xfId="13338"/>
    <cellStyle name="Normal 5 8 6" xfId="13339"/>
    <cellStyle name="Normal 5 8 7" xfId="13340"/>
    <cellStyle name="Normal 5 8 8" xfId="13341"/>
    <cellStyle name="Normal 5 8 9" xfId="16770"/>
    <cellStyle name="Normal 5 9" xfId="13342"/>
    <cellStyle name="Normal 5 9 2" xfId="13343"/>
    <cellStyle name="Normal 5 9 2 2" xfId="13344"/>
    <cellStyle name="Normal 5 9 2 3" xfId="13345"/>
    <cellStyle name="Normal 5 9 2 4" xfId="13346"/>
    <cellStyle name="Normal 5 9 2 5" xfId="13347"/>
    <cellStyle name="Normal 5 9 2 6" xfId="13348"/>
    <cellStyle name="Normal 5 9 3" xfId="13349"/>
    <cellStyle name="Normal 5 9 3 2" xfId="13350"/>
    <cellStyle name="Normal 5 9 4" xfId="13351"/>
    <cellStyle name="Normal 5 9 4 2" xfId="13352"/>
    <cellStyle name="Normal 5 9 5" xfId="13353"/>
    <cellStyle name="Normal 5 9 6" xfId="13354"/>
    <cellStyle name="Normal 5 9 7" xfId="13355"/>
    <cellStyle name="Normal 5 9 8" xfId="17796"/>
    <cellStyle name="Normal 50" xfId="1626"/>
    <cellStyle name="Normal 500" xfId="19407"/>
    <cellStyle name="Normal 501" xfId="16755"/>
    <cellStyle name="Normal 502" xfId="19403"/>
    <cellStyle name="Normal 503" xfId="19413"/>
    <cellStyle name="Normal 504" xfId="19444"/>
    <cellStyle name="Normal 505" xfId="19435"/>
    <cellStyle name="Normal 506" xfId="19442"/>
    <cellStyle name="Normal 507" xfId="19433"/>
    <cellStyle name="Normal 508" xfId="19460"/>
    <cellStyle name="Normal 509" xfId="19470"/>
    <cellStyle name="Normal 51" xfId="1627"/>
    <cellStyle name="Normal 510" xfId="19465"/>
    <cellStyle name="Normal 511" xfId="19493"/>
    <cellStyle name="Normal 512" xfId="19472"/>
    <cellStyle name="Normal 513" xfId="19468"/>
    <cellStyle name="Normal 514" xfId="19464"/>
    <cellStyle name="Normal 515" xfId="19462"/>
    <cellStyle name="Normal 516" xfId="19481"/>
    <cellStyle name="Normal 517" xfId="19489"/>
    <cellStyle name="Normal 518" xfId="19488"/>
    <cellStyle name="Normal 519" xfId="19486"/>
    <cellStyle name="Normal 52" xfId="1628"/>
    <cellStyle name="Normal 520" xfId="19463"/>
    <cellStyle name="Normal 521" xfId="19492"/>
    <cellStyle name="Normal 522" xfId="19467"/>
    <cellStyle name="Normal 523" xfId="19495"/>
    <cellStyle name="Normal 524" xfId="19491"/>
    <cellStyle name="Normal 525" xfId="19474"/>
    <cellStyle name="Normal 526" xfId="19483"/>
    <cellStyle name="Normal 527" xfId="19484"/>
    <cellStyle name="Normal 528" xfId="19466"/>
    <cellStyle name="Normal 529" xfId="19475"/>
    <cellStyle name="Normal 53" xfId="1629"/>
    <cellStyle name="Normal 530" xfId="19479"/>
    <cellStyle name="Normal 531" xfId="19478"/>
    <cellStyle name="Normal 532" xfId="19482"/>
    <cellStyle name="Normal 533" xfId="19487"/>
    <cellStyle name="Normal 534" xfId="19480"/>
    <cellStyle name="Normal 535" xfId="19476"/>
    <cellStyle name="Normal 536" xfId="19477"/>
    <cellStyle name="Normal 537" xfId="19490"/>
    <cellStyle name="Normal 538" xfId="19485"/>
    <cellStyle name="Normal 539" xfId="19469"/>
    <cellStyle name="Normal 54" xfId="1630"/>
    <cellStyle name="Normal 540" xfId="19494"/>
    <cellStyle name="Normal 541" xfId="19461"/>
    <cellStyle name="Normal 542" xfId="19473"/>
    <cellStyle name="Normal 543" xfId="19496"/>
    <cellStyle name="Normal 544" xfId="19499"/>
    <cellStyle name="Normal 545" xfId="16483"/>
    <cellStyle name="Normal 546" xfId="19500"/>
    <cellStyle name="Normal 547" xfId="19502"/>
    <cellStyle name="Normal 548" xfId="16100"/>
    <cellStyle name="Normal 549" xfId="16926"/>
    <cellStyle name="Normal 55" xfId="1631"/>
    <cellStyle name="Normal 550" xfId="16172"/>
    <cellStyle name="Normal 550 2" xfId="19921"/>
    <cellStyle name="Normal 551" xfId="19523"/>
    <cellStyle name="Normal 551 2" xfId="19923"/>
    <cellStyle name="Normal 552" xfId="19507"/>
    <cellStyle name="Normal 552 2" xfId="19922"/>
    <cellStyle name="Normal 553" xfId="19510"/>
    <cellStyle name="Normal 554" xfId="19506"/>
    <cellStyle name="Normal 555" xfId="19508"/>
    <cellStyle name="Normal 556" xfId="16118"/>
    <cellStyle name="Normal 557" xfId="19516"/>
    <cellStyle name="Normal 558" xfId="19521"/>
    <cellStyle name="Normal 559" xfId="19517"/>
    <cellStyle name="Normal 56" xfId="1632"/>
    <cellStyle name="Normal 560" xfId="19520"/>
    <cellStyle name="Normal 561" xfId="19515"/>
    <cellStyle name="Normal 562" xfId="19512"/>
    <cellStyle name="Normal 563" xfId="19513"/>
    <cellStyle name="Normal 564" xfId="19519"/>
    <cellStyle name="Normal 565" xfId="19514"/>
    <cellStyle name="Normal 566" xfId="19504"/>
    <cellStyle name="Normal 567" xfId="19522"/>
    <cellStyle name="Normal 568" xfId="19511"/>
    <cellStyle name="Normal 569" xfId="19505"/>
    <cellStyle name="Normal 57" xfId="1633"/>
    <cellStyle name="Normal 570" xfId="19518"/>
    <cellStyle name="Normal 571" xfId="19524"/>
    <cellStyle name="Normal 571 2" xfId="19610"/>
    <cellStyle name="Normal 572" xfId="19530"/>
    <cellStyle name="Normal 572 2" xfId="19612"/>
    <cellStyle name="Normal 573" xfId="19532"/>
    <cellStyle name="Normal 573 2" xfId="19614"/>
    <cellStyle name="Normal 574" xfId="19533"/>
    <cellStyle name="Normal 574 2" xfId="19615"/>
    <cellStyle name="Normal 575" xfId="19534"/>
    <cellStyle name="Normal 575 2" xfId="19616"/>
    <cellStyle name="Normal 576" xfId="19535"/>
    <cellStyle name="Normal 576 2" xfId="19617"/>
    <cellStyle name="Normal 577" xfId="19528"/>
    <cellStyle name="Normal 577 2" xfId="19611"/>
    <cellStyle name="Normal 578" xfId="19536"/>
    <cellStyle name="Normal 578 2" xfId="19618"/>
    <cellStyle name="Normal 579" xfId="19537"/>
    <cellStyle name="Normal 579 2" xfId="19619"/>
    <cellStyle name="Normal 58" xfId="1634"/>
    <cellStyle name="Normal 58 2" xfId="13356"/>
    <cellStyle name="Normal 58 3" xfId="13357"/>
    <cellStyle name="Normal 580" xfId="19531"/>
    <cellStyle name="Normal 580 2" xfId="19613"/>
    <cellStyle name="Normal 581" xfId="19538"/>
    <cellStyle name="Normal 581 2" xfId="19620"/>
    <cellStyle name="Normal 582" xfId="19539"/>
    <cellStyle name="Normal 582 2" xfId="19621"/>
    <cellStyle name="Normal 583" xfId="19540"/>
    <cellStyle name="Normal 583 2" xfId="19622"/>
    <cellStyle name="Normal 584" xfId="19541"/>
    <cellStyle name="Normal 584 2" xfId="19623"/>
    <cellStyle name="Normal 585" xfId="19542"/>
    <cellStyle name="Normal 585 2" xfId="19624"/>
    <cellStyle name="Normal 586" xfId="19543"/>
    <cellStyle name="Normal 586 2" xfId="19625"/>
    <cellStyle name="Normal 587" xfId="19544"/>
    <cellStyle name="Normal 587 2" xfId="19626"/>
    <cellStyle name="Normal 588" xfId="19545"/>
    <cellStyle name="Normal 588 2" xfId="19627"/>
    <cellStyle name="Normal 589" xfId="19546"/>
    <cellStyle name="Normal 589 2" xfId="19628"/>
    <cellStyle name="Normal 59" xfId="1635"/>
    <cellStyle name="Normal 59 2" xfId="13358"/>
    <cellStyle name="Normal 59 3" xfId="13359"/>
    <cellStyle name="Normal 59 4" xfId="13360"/>
    <cellStyle name="Normal 590" xfId="19547"/>
    <cellStyle name="Normal 590 2" xfId="19629"/>
    <cellStyle name="Normal 591" xfId="19548"/>
    <cellStyle name="Normal 591 2" xfId="19630"/>
    <cellStyle name="Normal 592" xfId="19549"/>
    <cellStyle name="Normal 592 2" xfId="19631"/>
    <cellStyle name="Normal 593" xfId="19550"/>
    <cellStyle name="Normal 593 2" xfId="19632"/>
    <cellStyle name="Normal 594" xfId="19553"/>
    <cellStyle name="Normal 594 2" xfId="19633"/>
    <cellStyle name="Normal 595" xfId="19554"/>
    <cellStyle name="Normal 596" xfId="19555"/>
    <cellStyle name="Normal 597" xfId="19556"/>
    <cellStyle name="Normal 598" xfId="19557"/>
    <cellStyle name="Normal 599" xfId="19558"/>
    <cellStyle name="Normal 599 2" xfId="19634"/>
    <cellStyle name="Normal 6" xfId="1636"/>
    <cellStyle name="Normal 6 10" xfId="13361"/>
    <cellStyle name="Normal 6 10 2" xfId="13362"/>
    <cellStyle name="Normal 6 10 2 2" xfId="13363"/>
    <cellStyle name="Normal 6 10 2 3" xfId="13364"/>
    <cellStyle name="Normal 6 10 2 4" xfId="13365"/>
    <cellStyle name="Normal 6 10 2 5" xfId="13366"/>
    <cellStyle name="Normal 6 10 3" xfId="13367"/>
    <cellStyle name="Normal 6 10 3 2" xfId="13368"/>
    <cellStyle name="Normal 6 10 4" xfId="13369"/>
    <cellStyle name="Normal 6 10 4 2" xfId="13370"/>
    <cellStyle name="Normal 6 10 5" xfId="13371"/>
    <cellStyle name="Normal 6 10 6" xfId="13372"/>
    <cellStyle name="Normal 6 11" xfId="13373"/>
    <cellStyle name="Normal 6 11 2" xfId="13374"/>
    <cellStyle name="Normal 6 11 2 2" xfId="13375"/>
    <cellStyle name="Normal 6 11 3" xfId="13376"/>
    <cellStyle name="Normal 6 11 3 2" xfId="13377"/>
    <cellStyle name="Normal 6 11 4" xfId="13378"/>
    <cellStyle name="Normal 6 11 4 2" xfId="13379"/>
    <cellStyle name="Normal 6 11 5" xfId="13380"/>
    <cellStyle name="Normal 6 11 6" xfId="13381"/>
    <cellStyle name="Normal 6 12" xfId="13382"/>
    <cellStyle name="Normal 6 12 2" xfId="13383"/>
    <cellStyle name="Normal 6 12 2 2" xfId="13384"/>
    <cellStyle name="Normal 6 12 3" xfId="13385"/>
    <cellStyle name="Normal 6 12 4" xfId="13386"/>
    <cellStyle name="Normal 6 12 5" xfId="13387"/>
    <cellStyle name="Normal 6 13" xfId="13388"/>
    <cellStyle name="Normal 6 13 2" xfId="13389"/>
    <cellStyle name="Normal 6 13 2 2" xfId="13390"/>
    <cellStyle name="Normal 6 13 3" xfId="13391"/>
    <cellStyle name="Normal 6 13 4" xfId="13392"/>
    <cellStyle name="Normal 6 13 5" xfId="13393"/>
    <cellStyle name="Normal 6 14" xfId="13394"/>
    <cellStyle name="Normal 6 14 2" xfId="13395"/>
    <cellStyle name="Normal 6 14 2 2" xfId="13396"/>
    <cellStyle name="Normal 6 14 3" xfId="13397"/>
    <cellStyle name="Normal 6 14 4" xfId="13398"/>
    <cellStyle name="Normal 6 14 5" xfId="13399"/>
    <cellStyle name="Normal 6 15" xfId="13400"/>
    <cellStyle name="Normal 6 15 2" xfId="13401"/>
    <cellStyle name="Normal 6 15 2 2" xfId="13402"/>
    <cellStyle name="Normal 6 15 3" xfId="13403"/>
    <cellStyle name="Normal 6 15 4" xfId="13404"/>
    <cellStyle name="Normal 6 15 5" xfId="13405"/>
    <cellStyle name="Normal 6 16" xfId="13406"/>
    <cellStyle name="Normal 6 16 2" xfId="13407"/>
    <cellStyle name="Normal 6 16 2 2" xfId="13408"/>
    <cellStyle name="Normal 6 16 3" xfId="13409"/>
    <cellStyle name="Normal 6 16 4" xfId="13410"/>
    <cellStyle name="Normal 6 16 5" xfId="13411"/>
    <cellStyle name="Normal 6 17" xfId="13412"/>
    <cellStyle name="Normal 6 17 2" xfId="13413"/>
    <cellStyle name="Normal 6 17 2 2" xfId="13414"/>
    <cellStyle name="Normal 6 17 3" xfId="13415"/>
    <cellStyle name="Normal 6 17 4" xfId="13416"/>
    <cellStyle name="Normal 6 17 5" xfId="13417"/>
    <cellStyle name="Normal 6 18" xfId="13418"/>
    <cellStyle name="Normal 6 18 2" xfId="13419"/>
    <cellStyle name="Normal 6 18 2 2" xfId="13420"/>
    <cellStyle name="Normal 6 18 2 2 2" xfId="13421"/>
    <cellStyle name="Normal 6 18 2 3" xfId="13422"/>
    <cellStyle name="Normal 6 18 2 4" xfId="13423"/>
    <cellStyle name="Normal 6 18 3" xfId="13424"/>
    <cellStyle name="Normal 6 18 3 2" xfId="13425"/>
    <cellStyle name="Normal 6 18 4" xfId="13426"/>
    <cellStyle name="Normal 6 18 5" xfId="13427"/>
    <cellStyle name="Normal 6 19" xfId="13428"/>
    <cellStyle name="Normal 6 19 2" xfId="13429"/>
    <cellStyle name="Normal 6 19 3" xfId="13430"/>
    <cellStyle name="Normal 6 2" xfId="1637"/>
    <cellStyle name="Normal 6 2 10" xfId="13431"/>
    <cellStyle name="Normal 6 2 11" xfId="13432"/>
    <cellStyle name="Normal 6 2 12" xfId="19762"/>
    <cellStyle name="Normal 6 2 2" xfId="13433"/>
    <cellStyle name="Normal 6 2 2 2" xfId="13434"/>
    <cellStyle name="Normal 6 2 2 2 2" xfId="13435"/>
    <cellStyle name="Normal 6 2 2 2 2 2" xfId="13436"/>
    <cellStyle name="Normal 6 2 2 2 2 3" xfId="13437"/>
    <cellStyle name="Normal 6 2 2 2 2 4" xfId="17805"/>
    <cellStyle name="Normal 6 2 2 2 2 5" xfId="16686"/>
    <cellStyle name="Normal 6 2 2 2 3" xfId="13438"/>
    <cellStyle name="Normal 6 2 2 2 3 2" xfId="13439"/>
    <cellStyle name="Normal 6 2 2 2 4" xfId="13440"/>
    <cellStyle name="Normal 6 2 2 2 5" xfId="13441"/>
    <cellStyle name="Normal 6 2 2 2 5 2" xfId="17834"/>
    <cellStyle name="Normal 6 2 2 2 6" xfId="13442"/>
    <cellStyle name="Normal 6 2 2 2 6 2" xfId="16685"/>
    <cellStyle name="Normal 6 2 2 3" xfId="13443"/>
    <cellStyle name="Normal 6 2 2 3 2" xfId="13444"/>
    <cellStyle name="Normal 6 2 2 3 2 2" xfId="13445"/>
    <cellStyle name="Normal 6 2 2 3 3" xfId="13446"/>
    <cellStyle name="Normal 6 2 2 3 4" xfId="17883"/>
    <cellStyle name="Normal 6 2 2 3 5" xfId="16687"/>
    <cellStyle name="Normal 6 2 2 4" xfId="13447"/>
    <cellStyle name="Normal 6 2 2 4 2" xfId="13448"/>
    <cellStyle name="Normal 6 2 2 5" xfId="13449"/>
    <cellStyle name="Normal 6 2 2 6" xfId="13450"/>
    <cellStyle name="Normal 6 2 2 6 2" xfId="17797"/>
    <cellStyle name="Normal 6 2 2 7" xfId="13451"/>
    <cellStyle name="Normal 6 2 2 7 2" xfId="16684"/>
    <cellStyle name="Normal 6 2 2 8" xfId="13452"/>
    <cellStyle name="Normal 6 2 3" xfId="13453"/>
    <cellStyle name="Normal 6 2 3 2" xfId="13454"/>
    <cellStyle name="Normal 6 2 3 2 2" xfId="13455"/>
    <cellStyle name="Normal 6 2 3 2 3" xfId="13456"/>
    <cellStyle name="Normal 6 2 3 2 4" xfId="17790"/>
    <cellStyle name="Normal 6 2 3 2 5" xfId="16689"/>
    <cellStyle name="Normal 6 2 3 3" xfId="13457"/>
    <cellStyle name="Normal 6 2 3 3 2" xfId="13458"/>
    <cellStyle name="Normal 6 2 3 4" xfId="13459"/>
    <cellStyle name="Normal 6 2 3 5" xfId="13460"/>
    <cellStyle name="Normal 6 2 3 5 2" xfId="17875"/>
    <cellStyle name="Normal 6 2 3 6" xfId="13461"/>
    <cellStyle name="Normal 6 2 3 6 2" xfId="16688"/>
    <cellStyle name="Normal 6 2 3 7" xfId="13462"/>
    <cellStyle name="Normal 6 2 4" xfId="13463"/>
    <cellStyle name="Normal 6 2 4 2" xfId="13464"/>
    <cellStyle name="Normal 6 2 4 2 2" xfId="13465"/>
    <cellStyle name="Normal 6 2 4 3" xfId="13466"/>
    <cellStyle name="Normal 6 2 4 4" xfId="13467"/>
    <cellStyle name="Normal 6 2 4 4 2" xfId="17777"/>
    <cellStyle name="Normal 6 2 4 5" xfId="16690"/>
    <cellStyle name="Normal 6 2 5" xfId="13468"/>
    <cellStyle name="Normal 6 2 5 2" xfId="13469"/>
    <cellStyle name="Normal 6 2 5 3" xfId="13470"/>
    <cellStyle name="Normal 6 2 6" xfId="13471"/>
    <cellStyle name="Normal 6 2 6 2" xfId="13472"/>
    <cellStyle name="Normal 6 2 7" xfId="13473"/>
    <cellStyle name="Normal 6 2 7 2" xfId="17816"/>
    <cellStyle name="Normal 6 2 8" xfId="13474"/>
    <cellStyle name="Normal 6 2 8 2" xfId="16683"/>
    <cellStyle name="Normal 6 2 9" xfId="13475"/>
    <cellStyle name="Normal 6 20" xfId="13476"/>
    <cellStyle name="Normal 6 20 2" xfId="13477"/>
    <cellStyle name="Normal 6 20 3" xfId="13478"/>
    <cellStyle name="Normal 6 21" xfId="13479"/>
    <cellStyle name="Normal 6 21 2" xfId="13480"/>
    <cellStyle name="Normal 6 21 3" xfId="13481"/>
    <cellStyle name="Normal 6 22" xfId="13482"/>
    <cellStyle name="Normal 6 22 2" xfId="13483"/>
    <cellStyle name="Normal 6 23" xfId="13484"/>
    <cellStyle name="Normal 6 23 2" xfId="13485"/>
    <cellStyle name="Normal 6 24" xfId="13486"/>
    <cellStyle name="Normal 6 24 2" xfId="13487"/>
    <cellStyle name="Normal 6 25" xfId="13488"/>
    <cellStyle name="Normal 6 26" xfId="13489"/>
    <cellStyle name="Normal 6 27" xfId="13490"/>
    <cellStyle name="Normal 6 28" xfId="13491"/>
    <cellStyle name="Normal 6 29" xfId="13492"/>
    <cellStyle name="Normal 6 3" xfId="1638"/>
    <cellStyle name="Normal 6 3 10" xfId="13493"/>
    <cellStyle name="Normal 6 3 2" xfId="13494"/>
    <cellStyle name="Normal 6 3 2 2" xfId="13495"/>
    <cellStyle name="Normal 6 3 2 2 2" xfId="13496"/>
    <cellStyle name="Normal 6 3 2 2 3" xfId="13497"/>
    <cellStyle name="Normal 6 3 2 2 4" xfId="17838"/>
    <cellStyle name="Normal 6 3 2 2 5" xfId="16693"/>
    <cellStyle name="Normal 6 3 2 3" xfId="13498"/>
    <cellStyle name="Normal 6 3 2 3 2" xfId="13499"/>
    <cellStyle name="Normal 6 3 2 4" xfId="13500"/>
    <cellStyle name="Normal 6 3 2 5" xfId="13501"/>
    <cellStyle name="Normal 6 3 2 5 2" xfId="17827"/>
    <cellStyle name="Normal 6 3 2 6" xfId="13502"/>
    <cellStyle name="Normal 6 3 2 6 2" xfId="16692"/>
    <cellStyle name="Normal 6 3 2 7" xfId="13503"/>
    <cellStyle name="Normal 6 3 3" xfId="13504"/>
    <cellStyle name="Normal 6 3 3 2" xfId="13505"/>
    <cellStyle name="Normal 6 3 3 2 2" xfId="13506"/>
    <cellStyle name="Normal 6 3 3 3" xfId="13507"/>
    <cellStyle name="Normal 6 3 3 4" xfId="13508"/>
    <cellStyle name="Normal 6 3 3 4 2" xfId="17811"/>
    <cellStyle name="Normal 6 3 3 5" xfId="16694"/>
    <cellStyle name="Normal 6 3 4" xfId="13509"/>
    <cellStyle name="Normal 6 3 4 2" xfId="13510"/>
    <cellStyle name="Normal 6 3 4 3" xfId="13511"/>
    <cellStyle name="Normal 6 3 5" xfId="13512"/>
    <cellStyle name="Normal 6 3 6" xfId="13513"/>
    <cellStyle name="Normal 6 3 6 2" xfId="17887"/>
    <cellStyle name="Normal 6 3 7" xfId="13514"/>
    <cellStyle name="Normal 6 3 7 2" xfId="16691"/>
    <cellStyle name="Normal 6 3 8" xfId="13515"/>
    <cellStyle name="Normal 6 3 9" xfId="13516"/>
    <cellStyle name="Normal 6 30" xfId="13517"/>
    <cellStyle name="Normal 6 31" xfId="13518"/>
    <cellStyle name="Normal 6 32" xfId="19690"/>
    <cellStyle name="Normal 6 33" xfId="19883"/>
    <cellStyle name="Normal 6 4" xfId="13519"/>
    <cellStyle name="Normal 6 4 2" xfId="13520"/>
    <cellStyle name="Normal 6 4 2 2" xfId="13521"/>
    <cellStyle name="Normal 6 4 2 2 2" xfId="13522"/>
    <cellStyle name="Normal 6 4 2 2 3" xfId="13523"/>
    <cellStyle name="Normal 6 4 2 3" xfId="13524"/>
    <cellStyle name="Normal 6 4 2 3 2" xfId="13525"/>
    <cellStyle name="Normal 6 4 2 4" xfId="13526"/>
    <cellStyle name="Normal 6 4 2 4 2" xfId="17848"/>
    <cellStyle name="Normal 6 4 2 5" xfId="13527"/>
    <cellStyle name="Normal 6 4 2 5 2" xfId="16696"/>
    <cellStyle name="Normal 6 4 2 6" xfId="13528"/>
    <cellStyle name="Normal 6 4 2 7" xfId="13529"/>
    <cellStyle name="Normal 6 4 3" xfId="13530"/>
    <cellStyle name="Normal 6 4 3 2" xfId="13531"/>
    <cellStyle name="Normal 6 4 3 2 2" xfId="13532"/>
    <cellStyle name="Normal 6 4 3 3" xfId="13533"/>
    <cellStyle name="Normal 6 4 3 4" xfId="13534"/>
    <cellStyle name="Normal 6 4 4" xfId="13535"/>
    <cellStyle name="Normal 6 4 4 2" xfId="13536"/>
    <cellStyle name="Normal 6 4 4 3" xfId="13537"/>
    <cellStyle name="Normal 6 4 5" xfId="13538"/>
    <cellStyle name="Normal 6 4 5 2" xfId="17813"/>
    <cellStyle name="Normal 6 4 6" xfId="13539"/>
    <cellStyle name="Normal 6 4 6 2" xfId="16695"/>
    <cellStyle name="Normal 6 4 7" xfId="13540"/>
    <cellStyle name="Normal 6 4 8" xfId="13541"/>
    <cellStyle name="Normal 6 5" xfId="13542"/>
    <cellStyle name="Normal 6 5 2" xfId="13543"/>
    <cellStyle name="Normal 6 5 2 2" xfId="13544"/>
    <cellStyle name="Normal 6 5 2 2 2" xfId="13545"/>
    <cellStyle name="Normal 6 5 2 2 3" xfId="13546"/>
    <cellStyle name="Normal 6 5 2 3" xfId="13547"/>
    <cellStyle name="Normal 6 5 2 4" xfId="13548"/>
    <cellStyle name="Normal 6 5 2 5" xfId="13549"/>
    <cellStyle name="Normal 6 5 2 6" xfId="13550"/>
    <cellStyle name="Normal 6 5 2 7" xfId="13551"/>
    <cellStyle name="Normal 6 5 3" xfId="13552"/>
    <cellStyle name="Normal 6 5 3 2" xfId="13553"/>
    <cellStyle name="Normal 6 5 3 3" xfId="13554"/>
    <cellStyle name="Normal 6 5 3 4" xfId="13555"/>
    <cellStyle name="Normal 6 5 4" xfId="13556"/>
    <cellStyle name="Normal 6 5 4 2" xfId="13557"/>
    <cellStyle name="Normal 6 5 4 3" xfId="13558"/>
    <cellStyle name="Normal 6 5 4 4" xfId="17844"/>
    <cellStyle name="Normal 6 5 5" xfId="13559"/>
    <cellStyle name="Normal 6 5 5 2" xfId="16697"/>
    <cellStyle name="Normal 6 5 6" xfId="13560"/>
    <cellStyle name="Normal 6 5 7" xfId="13561"/>
    <cellStyle name="Normal 6 5 8" xfId="13562"/>
    <cellStyle name="Normal 6 6" xfId="13563"/>
    <cellStyle name="Normal 6 6 2" xfId="13564"/>
    <cellStyle name="Normal 6 6 2 2" xfId="13565"/>
    <cellStyle name="Normal 6 6 2 3" xfId="13566"/>
    <cellStyle name="Normal 6 6 2 4" xfId="13567"/>
    <cellStyle name="Normal 6 6 2 5" xfId="13568"/>
    <cellStyle name="Normal 6 6 2 6" xfId="13569"/>
    <cellStyle name="Normal 6 6 3" xfId="13570"/>
    <cellStyle name="Normal 6 6 3 2" xfId="13571"/>
    <cellStyle name="Normal 6 6 3 3" xfId="13572"/>
    <cellStyle name="Normal 6 6 4" xfId="13573"/>
    <cellStyle name="Normal 6 6 4 2" xfId="13574"/>
    <cellStyle name="Normal 6 6 5" xfId="13575"/>
    <cellStyle name="Normal 6 6 6" xfId="13576"/>
    <cellStyle name="Normal 6 6 7" xfId="13577"/>
    <cellStyle name="Normal 6 7" xfId="13578"/>
    <cellStyle name="Normal 6 7 2" xfId="13579"/>
    <cellStyle name="Normal 6 7 2 2" xfId="13580"/>
    <cellStyle name="Normal 6 7 2 3" xfId="13581"/>
    <cellStyle name="Normal 6 7 2 4" xfId="13582"/>
    <cellStyle name="Normal 6 7 2 5" xfId="13583"/>
    <cellStyle name="Normal 6 7 2 6" xfId="13584"/>
    <cellStyle name="Normal 6 7 3" xfId="13585"/>
    <cellStyle name="Normal 6 7 3 2" xfId="13586"/>
    <cellStyle name="Normal 6 7 3 3" xfId="13587"/>
    <cellStyle name="Normal 6 7 4" xfId="13588"/>
    <cellStyle name="Normal 6 7 4 2" xfId="13589"/>
    <cellStyle name="Normal 6 7 5" xfId="13590"/>
    <cellStyle name="Normal 6 7 6" xfId="13591"/>
    <cellStyle name="Normal 6 7 7" xfId="13592"/>
    <cellStyle name="Normal 6 7 8" xfId="16698"/>
    <cellStyle name="Normal 6 8" xfId="13593"/>
    <cellStyle name="Normal 6 8 2" xfId="13594"/>
    <cellStyle name="Normal 6 8 2 2" xfId="13595"/>
    <cellStyle name="Normal 6 8 2 3" xfId="13596"/>
    <cellStyle name="Normal 6 8 2 4" xfId="13597"/>
    <cellStyle name="Normal 6 8 2 5" xfId="13598"/>
    <cellStyle name="Normal 6 8 2 6" xfId="13599"/>
    <cellStyle name="Normal 6 8 3" xfId="13600"/>
    <cellStyle name="Normal 6 8 3 2" xfId="13601"/>
    <cellStyle name="Normal 6 8 4" xfId="13602"/>
    <cellStyle name="Normal 6 8 4 2" xfId="13603"/>
    <cellStyle name="Normal 6 8 5" xfId="13604"/>
    <cellStyle name="Normal 6 8 6" xfId="13605"/>
    <cellStyle name="Normal 6 8 7" xfId="13606"/>
    <cellStyle name="Normal 6 8 8" xfId="17776"/>
    <cellStyle name="Normal 6 9" xfId="13607"/>
    <cellStyle name="Normal 6 9 2" xfId="13608"/>
    <cellStyle name="Normal 6 9 2 2" xfId="13609"/>
    <cellStyle name="Normal 6 9 2 3" xfId="13610"/>
    <cellStyle name="Normal 6 9 2 4" xfId="13611"/>
    <cellStyle name="Normal 6 9 2 5" xfId="13612"/>
    <cellStyle name="Normal 6 9 3" xfId="13613"/>
    <cellStyle name="Normal 6 9 3 2" xfId="13614"/>
    <cellStyle name="Normal 6 9 4" xfId="13615"/>
    <cellStyle name="Normal 6 9 4 2" xfId="13616"/>
    <cellStyle name="Normal 6 9 5" xfId="13617"/>
    <cellStyle name="Normal 6 9 6" xfId="13618"/>
    <cellStyle name="Normal 6 9 7" xfId="16682"/>
    <cellStyle name="Normal 60" xfId="1639"/>
    <cellStyle name="Normal 60 2" xfId="13619"/>
    <cellStyle name="Normal 60 3" xfId="13620"/>
    <cellStyle name="Normal 60 4" xfId="13621"/>
    <cellStyle name="Normal 600" xfId="19560"/>
    <cellStyle name="Normal 600 2" xfId="19635"/>
    <cellStyle name="Normal 601" xfId="19562"/>
    <cellStyle name="Normal 601 2" xfId="19636"/>
    <cellStyle name="Normal 602" xfId="19564"/>
    <cellStyle name="Normal 603" xfId="19581"/>
    <cellStyle name="Normal 604" xfId="19583"/>
    <cellStyle name="Normal 605" xfId="19585"/>
    <cellStyle name="Normal 606" xfId="19587"/>
    <cellStyle name="Normal 607" xfId="19589"/>
    <cellStyle name="Normal 608" xfId="19591"/>
    <cellStyle name="Normal 609" xfId="19598"/>
    <cellStyle name="Normal 61" xfId="1640"/>
    <cellStyle name="Normal 61 2" xfId="13622"/>
    <cellStyle name="Normal 610" xfId="19677"/>
    <cellStyle name="Normal 611" xfId="19679"/>
    <cellStyle name="Normal 612" xfId="19682"/>
    <cellStyle name="Normal 613" xfId="19686"/>
    <cellStyle name="Normal 614" xfId="19868"/>
    <cellStyle name="Normal 615" xfId="19871"/>
    <cellStyle name="Normal 616" xfId="19874"/>
    <cellStyle name="Normal 617" xfId="19877"/>
    <cellStyle name="Normal 618" xfId="19879"/>
    <cellStyle name="Normal 619" xfId="19882"/>
    <cellStyle name="Normal 62" xfId="1641"/>
    <cellStyle name="Normal 62 2" xfId="13623"/>
    <cellStyle name="Normal 620" xfId="19887"/>
    <cellStyle name="Normal 621" xfId="19890"/>
    <cellStyle name="Normal 622" xfId="19893"/>
    <cellStyle name="Normal 623" xfId="19896"/>
    <cellStyle name="Normal 624" xfId="19899"/>
    <cellStyle name="Normal 625" xfId="19902"/>
    <cellStyle name="Normal 626" xfId="19905"/>
    <cellStyle name="Normal 627" xfId="19908"/>
    <cellStyle name="Normal 628" xfId="19912"/>
    <cellStyle name="Normal 629" xfId="19918"/>
    <cellStyle name="Normal 63" xfId="1642"/>
    <cellStyle name="Normal 63 2" xfId="13624"/>
    <cellStyle name="Normal 630" xfId="19919"/>
    <cellStyle name="Normal 631" xfId="19936"/>
    <cellStyle name="Normal 632" xfId="19937"/>
    <cellStyle name="Normal 633" xfId="19938"/>
    <cellStyle name="Normal 634" xfId="19939"/>
    <cellStyle name="Normal 635" xfId="19940"/>
    <cellStyle name="Normal 636" xfId="19941"/>
    <cellStyle name="Normal 637" xfId="19942"/>
    <cellStyle name="Normal 638" xfId="19943"/>
    <cellStyle name="Normal 639" xfId="19944"/>
    <cellStyle name="Normal 64" xfId="1643"/>
    <cellStyle name="Normal 64 2" xfId="13625"/>
    <cellStyle name="Normal 640" xfId="19945"/>
    <cellStyle name="Normal 641" xfId="19946"/>
    <cellStyle name="Normal 65" xfId="1644"/>
    <cellStyle name="Normal 65 2" xfId="13626"/>
    <cellStyle name="Normal 66" xfId="1645"/>
    <cellStyle name="Normal 66 2" xfId="13627"/>
    <cellStyle name="Normal 66 3" xfId="13628"/>
    <cellStyle name="Normal 66 4" xfId="13629"/>
    <cellStyle name="Normal 67" xfId="1646"/>
    <cellStyle name="Normal 67 2" xfId="13630"/>
    <cellStyle name="Normal 67 3" xfId="13631"/>
    <cellStyle name="Normal 67 4" xfId="13632"/>
    <cellStyle name="Normal 68" xfId="1647"/>
    <cellStyle name="Normal 68 2" xfId="13633"/>
    <cellStyle name="Normal 68 3" xfId="13634"/>
    <cellStyle name="Normal 69" xfId="1648"/>
    <cellStyle name="Normal 69 2" xfId="13635"/>
    <cellStyle name="Normal 69 3" xfId="13636"/>
    <cellStyle name="Normal 7" xfId="1649"/>
    <cellStyle name="Normal 7 10" xfId="13637"/>
    <cellStyle name="Normal 7 10 2" xfId="13638"/>
    <cellStyle name="Normal 7 10 3" xfId="13639"/>
    <cellStyle name="Normal 7 10 4" xfId="13640"/>
    <cellStyle name="Normal 7 10 5" xfId="13641"/>
    <cellStyle name="Normal 7 10 6" xfId="16699"/>
    <cellStyle name="Normal 7 11" xfId="13642"/>
    <cellStyle name="Normal 7 11 2" xfId="13643"/>
    <cellStyle name="Normal 7 11 3" xfId="13644"/>
    <cellStyle name="Normal 7 11 4" xfId="13645"/>
    <cellStyle name="Normal 7 11 5" xfId="13646"/>
    <cellStyle name="Normal 7 11 6" xfId="18661"/>
    <cellStyle name="Normal 7 12" xfId="13647"/>
    <cellStyle name="Normal 7 12 2" xfId="13648"/>
    <cellStyle name="Normal 7 12 3" xfId="13649"/>
    <cellStyle name="Normal 7 12 4" xfId="13650"/>
    <cellStyle name="Normal 7 12 5" xfId="13651"/>
    <cellStyle name="Normal 7 13" xfId="13652"/>
    <cellStyle name="Normal 7 13 2" xfId="13653"/>
    <cellStyle name="Normal 7 13 3" xfId="13654"/>
    <cellStyle name="Normal 7 13 4" xfId="13655"/>
    <cellStyle name="Normal 7 14" xfId="13656"/>
    <cellStyle name="Normal 7 14 2" xfId="13657"/>
    <cellStyle name="Normal 7 14 3" xfId="13658"/>
    <cellStyle name="Normal 7 14 4" xfId="13659"/>
    <cellStyle name="Normal 7 15" xfId="13660"/>
    <cellStyle name="Normal 7 15 2" xfId="13661"/>
    <cellStyle name="Normal 7 15 3" xfId="13662"/>
    <cellStyle name="Normal 7 15 4" xfId="13663"/>
    <cellStyle name="Normal 7 16" xfId="13664"/>
    <cellStyle name="Normal 7 16 2" xfId="13665"/>
    <cellStyle name="Normal 7 16 3" xfId="13666"/>
    <cellStyle name="Normal 7 16 4" xfId="13667"/>
    <cellStyle name="Normal 7 17" xfId="13668"/>
    <cellStyle name="Normal 7 17 2" xfId="13669"/>
    <cellStyle name="Normal 7 17 3" xfId="13670"/>
    <cellStyle name="Normal 7 17 4" xfId="13671"/>
    <cellStyle name="Normal 7 18" xfId="13672"/>
    <cellStyle name="Normal 7 18 2" xfId="13673"/>
    <cellStyle name="Normal 7 18 2 2" xfId="13674"/>
    <cellStyle name="Normal 7 18 2 2 2" xfId="13675"/>
    <cellStyle name="Normal 7 18 2 3" xfId="13676"/>
    <cellStyle name="Normal 7 18 3" xfId="13677"/>
    <cellStyle name="Normal 7 18 3 2" xfId="13678"/>
    <cellStyle name="Normal 7 18 4" xfId="13679"/>
    <cellStyle name="Normal 7 19" xfId="13680"/>
    <cellStyle name="Normal 7 2" xfId="1650"/>
    <cellStyle name="Normal 7 2 10" xfId="1651"/>
    <cellStyle name="Normal 7 2 10 2" xfId="18723"/>
    <cellStyle name="Normal 7 2 11" xfId="1652"/>
    <cellStyle name="Normal 7 2 12" xfId="1653"/>
    <cellStyle name="Normal 7 2 13" xfId="1654"/>
    <cellStyle name="Normal 7 2 14" xfId="1655"/>
    <cellStyle name="Normal 7 2 15" xfId="1656"/>
    <cellStyle name="Normal 7 2 16" xfId="13681"/>
    <cellStyle name="Normal 7 2 17" xfId="13682"/>
    <cellStyle name="Normal 7 2 18" xfId="19768"/>
    <cellStyle name="Normal 7 2 2" xfId="1657"/>
    <cellStyle name="Normal 7 2 2 10" xfId="13683"/>
    <cellStyle name="Normal 7 2 2 11" xfId="19798"/>
    <cellStyle name="Normal 7 2 2 2" xfId="13684"/>
    <cellStyle name="Normal 7 2 2 2 2" xfId="13685"/>
    <cellStyle name="Normal 7 2 2 2 2 2" xfId="13686"/>
    <cellStyle name="Normal 7 2 2 2 2 3" xfId="13687"/>
    <cellStyle name="Normal 7 2 2 2 2 4" xfId="17864"/>
    <cellStyle name="Normal 7 2 2 2 2 5" xfId="16703"/>
    <cellStyle name="Normal 7 2 2 2 3" xfId="13688"/>
    <cellStyle name="Normal 7 2 2 2 3 2" xfId="13689"/>
    <cellStyle name="Normal 7 2 2 2 4" xfId="13690"/>
    <cellStyle name="Normal 7 2 2 2 5" xfId="17845"/>
    <cellStyle name="Normal 7 2 2 2 6" xfId="16702"/>
    <cellStyle name="Normal 7 2 2 3" xfId="13691"/>
    <cellStyle name="Normal 7 2 2 3 2" xfId="13692"/>
    <cellStyle name="Normal 7 2 2 3 2 2" xfId="13693"/>
    <cellStyle name="Normal 7 2 2 3 3" xfId="13694"/>
    <cellStyle name="Normal 7 2 2 3 4" xfId="17820"/>
    <cellStyle name="Normal 7 2 2 3 5" xfId="16704"/>
    <cellStyle name="Normal 7 2 2 4" xfId="13695"/>
    <cellStyle name="Normal 7 2 2 4 2" xfId="13696"/>
    <cellStyle name="Normal 7 2 2 5" xfId="13697"/>
    <cellStyle name="Normal 7 2 2 6" xfId="13698"/>
    <cellStyle name="Normal 7 2 2 6 2" xfId="17912"/>
    <cellStyle name="Normal 7 2 2 7" xfId="13699"/>
    <cellStyle name="Normal 7 2 2 7 2" xfId="16701"/>
    <cellStyle name="Normal 7 2 2 8" xfId="13700"/>
    <cellStyle name="Normal 7 2 2 9" xfId="13701"/>
    <cellStyle name="Normal 7 2 3" xfId="1658"/>
    <cellStyle name="Normal 7 2 3 2" xfId="13702"/>
    <cellStyle name="Normal 7 2 3 2 2" xfId="13703"/>
    <cellStyle name="Normal 7 2 3 2 3" xfId="13704"/>
    <cellStyle name="Normal 7 2 3 2 4" xfId="17865"/>
    <cellStyle name="Normal 7 2 3 2 5" xfId="16706"/>
    <cellStyle name="Normal 7 2 3 3" xfId="13705"/>
    <cellStyle name="Normal 7 2 3 3 2" xfId="13706"/>
    <cellStyle name="Normal 7 2 3 4" xfId="13707"/>
    <cellStyle name="Normal 7 2 3 5" xfId="13708"/>
    <cellStyle name="Normal 7 2 3 5 2" xfId="17818"/>
    <cellStyle name="Normal 7 2 3 6" xfId="13709"/>
    <cellStyle name="Normal 7 2 3 6 2" xfId="16705"/>
    <cellStyle name="Normal 7 2 3 7" xfId="13710"/>
    <cellStyle name="Normal 7 2 4" xfId="1659"/>
    <cellStyle name="Normal 7 2 4 2" xfId="13711"/>
    <cellStyle name="Normal 7 2 4 2 2" xfId="13712"/>
    <cellStyle name="Normal 7 2 4 3" xfId="13713"/>
    <cellStyle name="Normal 7 2 4 4" xfId="13714"/>
    <cellStyle name="Normal 7 2 4 4 2" xfId="17798"/>
    <cellStyle name="Normal 7 2 4 5" xfId="13715"/>
    <cellStyle name="Normal 7 2 4 5 2" xfId="16707"/>
    <cellStyle name="Normal 7 2 4 6" xfId="13716"/>
    <cellStyle name="Normal 7 2 5" xfId="1660"/>
    <cellStyle name="Normal 7 2 5 2" xfId="13717"/>
    <cellStyle name="Normal 7 2 5 2 2" xfId="13718"/>
    <cellStyle name="Normal 7 2 5 2 2 2" xfId="13719"/>
    <cellStyle name="Normal 7 2 5 2 3" xfId="13720"/>
    <cellStyle name="Normal 7 2 5 2 4" xfId="13721"/>
    <cellStyle name="Normal 7 2 5 3" xfId="13722"/>
    <cellStyle name="Normal 7 2 5 3 2" xfId="13723"/>
    <cellStyle name="Normal 7 2 5 4" xfId="13724"/>
    <cellStyle name="Normal 7 2 5 5" xfId="13725"/>
    <cellStyle name="Normal 7 2 5 6" xfId="13726"/>
    <cellStyle name="Normal 7 2 5 7" xfId="13727"/>
    <cellStyle name="Normal 7 2 6" xfId="1661"/>
    <cellStyle name="Normal 7 2 6 2" xfId="13728"/>
    <cellStyle name="Normal 7 2 6 3" xfId="13729"/>
    <cellStyle name="Normal 7 2 6 4" xfId="13730"/>
    <cellStyle name="Normal 7 2 7" xfId="1662"/>
    <cellStyle name="Normal 7 2 7 2" xfId="13731"/>
    <cellStyle name="Normal 7 2 7 3" xfId="13732"/>
    <cellStyle name="Normal 7 2 7 4" xfId="17879"/>
    <cellStyle name="Normal 7 2 8" xfId="1663"/>
    <cellStyle name="Normal 7 2 8 2" xfId="13733"/>
    <cellStyle name="Normal 7 2 8 2 2" xfId="18581"/>
    <cellStyle name="Normal 7 2 8 3" xfId="13734"/>
    <cellStyle name="Normal 7 2 8 3 2" xfId="19304"/>
    <cellStyle name="Normal 7 2 8 4" xfId="17916"/>
    <cellStyle name="Normal 7 2 9" xfId="1664"/>
    <cellStyle name="Normal 7 2 9 2" xfId="13735"/>
    <cellStyle name="Normal 7 2 9 3" xfId="13736"/>
    <cellStyle name="Normal 7 2 9 4" xfId="16700"/>
    <cellStyle name="Normal 7 20" xfId="13737"/>
    <cellStyle name="Normal 7 20 2" xfId="13738"/>
    <cellStyle name="Normal 7 20 2 2" xfId="13739"/>
    <cellStyle name="Normal 7 20 3" xfId="13740"/>
    <cellStyle name="Normal 7 21" xfId="13741"/>
    <cellStyle name="Normal 7 21 2" xfId="13742"/>
    <cellStyle name="Normal 7 22" xfId="13743"/>
    <cellStyle name="Normal 7 23" xfId="13744"/>
    <cellStyle name="Normal 7 24" xfId="13745"/>
    <cellStyle name="Normal 7 25" xfId="13746"/>
    <cellStyle name="Normal 7 26" xfId="13747"/>
    <cellStyle name="Normal 7 27" xfId="19692"/>
    <cellStyle name="Normal 7 3" xfId="1665"/>
    <cellStyle name="Normal 7 3 10" xfId="13748"/>
    <cellStyle name="Normal 7 3 2" xfId="13749"/>
    <cellStyle name="Normal 7 3 2 2" xfId="13750"/>
    <cellStyle name="Normal 7 3 2 2 2" xfId="13751"/>
    <cellStyle name="Normal 7 3 2 2 3" xfId="13752"/>
    <cellStyle name="Normal 7 3 2 2 4" xfId="17872"/>
    <cellStyle name="Normal 7 3 2 2 5" xfId="16710"/>
    <cellStyle name="Normal 7 3 2 3" xfId="13753"/>
    <cellStyle name="Normal 7 3 2 3 2" xfId="13754"/>
    <cellStyle name="Normal 7 3 2 4" xfId="13755"/>
    <cellStyle name="Normal 7 3 2 5" xfId="13756"/>
    <cellStyle name="Normal 7 3 2 5 2" xfId="17890"/>
    <cellStyle name="Normal 7 3 2 6" xfId="16709"/>
    <cellStyle name="Normal 7 3 3" xfId="13757"/>
    <cellStyle name="Normal 7 3 3 2" xfId="13758"/>
    <cellStyle name="Normal 7 3 3 2 2" xfId="13759"/>
    <cellStyle name="Normal 7 3 3 3" xfId="13760"/>
    <cellStyle name="Normal 7 3 3 4" xfId="13761"/>
    <cellStyle name="Normal 7 3 3 4 2" xfId="17870"/>
    <cellStyle name="Normal 7 3 3 5" xfId="16711"/>
    <cellStyle name="Normal 7 3 4" xfId="13762"/>
    <cellStyle name="Normal 7 3 4 2" xfId="13763"/>
    <cellStyle name="Normal 7 3 4 3" xfId="13764"/>
    <cellStyle name="Normal 7 3 5" xfId="13765"/>
    <cellStyle name="Normal 7 3 6" xfId="13766"/>
    <cellStyle name="Normal 7 3 6 2" xfId="17809"/>
    <cellStyle name="Normal 7 3 7" xfId="13767"/>
    <cellStyle name="Normal 7 3 7 2" xfId="16708"/>
    <cellStyle name="Normal 7 3 8" xfId="13768"/>
    <cellStyle name="Normal 7 3 9" xfId="13769"/>
    <cellStyle name="Normal 7 4" xfId="13770"/>
    <cellStyle name="Normal 7 4 2" xfId="13771"/>
    <cellStyle name="Normal 7 4 2 2" xfId="13772"/>
    <cellStyle name="Normal 7 4 2 2 2" xfId="13773"/>
    <cellStyle name="Normal 7 4 2 2 3" xfId="13774"/>
    <cellStyle name="Normal 7 4 2 3" xfId="13775"/>
    <cellStyle name="Normal 7 4 2 4" xfId="13776"/>
    <cellStyle name="Normal 7 4 2 4 2" xfId="17868"/>
    <cellStyle name="Normal 7 4 2 5" xfId="13777"/>
    <cellStyle name="Normal 7 4 2 5 2" xfId="16713"/>
    <cellStyle name="Normal 7 4 3" xfId="13778"/>
    <cellStyle name="Normal 7 4 3 2" xfId="13779"/>
    <cellStyle name="Normal 7 4 3 3" xfId="13780"/>
    <cellStyle name="Normal 7 4 3 4" xfId="13781"/>
    <cellStyle name="Normal 7 4 4" xfId="13782"/>
    <cellStyle name="Normal 7 4 4 2" xfId="13783"/>
    <cellStyle name="Normal 7 4 4 3" xfId="13784"/>
    <cellStyle name="Normal 7 4 5" xfId="13785"/>
    <cellStyle name="Normal 7 4 5 2" xfId="17869"/>
    <cellStyle name="Normal 7 4 6" xfId="13786"/>
    <cellStyle name="Normal 7 4 6 2" xfId="16712"/>
    <cellStyle name="Normal 7 5" xfId="13787"/>
    <cellStyle name="Normal 7 5 2" xfId="13788"/>
    <cellStyle name="Normal 7 5 2 2" xfId="13789"/>
    <cellStyle name="Normal 7 5 3" xfId="13790"/>
    <cellStyle name="Normal 7 5 3 2" xfId="13791"/>
    <cellStyle name="Normal 7 5 3 3" xfId="13792"/>
    <cellStyle name="Normal 7 5 3 4" xfId="13793"/>
    <cellStyle name="Normal 7 5 4" xfId="13794"/>
    <cellStyle name="Normal 7 5 4 2" xfId="13795"/>
    <cellStyle name="Normal 7 5 4 3" xfId="13796"/>
    <cellStyle name="Normal 7 5 4 4" xfId="17843"/>
    <cellStyle name="Normal 7 5 5" xfId="13797"/>
    <cellStyle name="Normal 7 5 5 2" xfId="16714"/>
    <cellStyle name="Normal 7 5 6" xfId="13798"/>
    <cellStyle name="Normal 7 6" xfId="13799"/>
    <cellStyle name="Normal 7 6 2" xfId="13800"/>
    <cellStyle name="Normal 7 6 2 2" xfId="13801"/>
    <cellStyle name="Normal 7 6 2 2 2" xfId="18393"/>
    <cellStyle name="Normal 7 6 2 2 3" xfId="19129"/>
    <cellStyle name="Normal 7 6 2 2 4" xfId="17588"/>
    <cellStyle name="Normal 7 6 2 3" xfId="13802"/>
    <cellStyle name="Normal 7 6 2 3 2" xfId="18055"/>
    <cellStyle name="Normal 7 6 2 4" xfId="13803"/>
    <cellStyle name="Normal 7 6 2 4 2" xfId="18808"/>
    <cellStyle name="Normal 7 6 2 5" xfId="17085"/>
    <cellStyle name="Normal 7 6 3" xfId="13804"/>
    <cellStyle name="Normal 7 6 3 2" xfId="13805"/>
    <cellStyle name="Normal 7 6 4" xfId="13806"/>
    <cellStyle name="Normal 7 6 4 2" xfId="13807"/>
    <cellStyle name="Normal 7 6 4 3" xfId="17998"/>
    <cellStyle name="Normal 7 6 5" xfId="13808"/>
    <cellStyle name="Normal 7 6 5 2" xfId="18757"/>
    <cellStyle name="Normal 7 6 6" xfId="16715"/>
    <cellStyle name="Normal 7 6 7" xfId="16273"/>
    <cellStyle name="Normal 7 7" xfId="13809"/>
    <cellStyle name="Normal 7 7 2" xfId="13810"/>
    <cellStyle name="Normal 7 7 2 2" xfId="13811"/>
    <cellStyle name="Normal 7 7 3" xfId="13812"/>
    <cellStyle name="Normal 7 7 4" xfId="13813"/>
    <cellStyle name="Normal 7 7 5" xfId="13814"/>
    <cellStyle name="Normal 7 7 6" xfId="16716"/>
    <cellStyle name="Normal 7 8" xfId="13815"/>
    <cellStyle name="Normal 7 8 2" xfId="13816"/>
    <cellStyle name="Normal 7 8 3" xfId="13817"/>
    <cellStyle name="Normal 7 8 4" xfId="13818"/>
    <cellStyle name="Normal 7 8 5" xfId="13819"/>
    <cellStyle name="Normal 7 9" xfId="13820"/>
    <cellStyle name="Normal 7 9 2" xfId="13821"/>
    <cellStyle name="Normal 7 9 3" xfId="13822"/>
    <cellStyle name="Normal 7 9 4" xfId="13823"/>
    <cellStyle name="Normal 7 9 5" xfId="13824"/>
    <cellStyle name="Normal 7 9 6" xfId="17881"/>
    <cellStyle name="Normal 70" xfId="1666"/>
    <cellStyle name="Normal 70 2" xfId="13825"/>
    <cellStyle name="Normal 70 3" xfId="13826"/>
    <cellStyle name="Normal 71" xfId="1667"/>
    <cellStyle name="Normal 71 2" xfId="13827"/>
    <cellStyle name="Normal 71 3" xfId="13828"/>
    <cellStyle name="Normal 72" xfId="1668"/>
    <cellStyle name="Normal 72 2" xfId="13829"/>
    <cellStyle name="Normal 72 3" xfId="13830"/>
    <cellStyle name="Normal 73" xfId="1669"/>
    <cellStyle name="Normal 73 2" xfId="13831"/>
    <cellStyle name="Normal 73 3" xfId="13832"/>
    <cellStyle name="Normal 74" xfId="1670"/>
    <cellStyle name="Normal 74 2" xfId="13833"/>
    <cellStyle name="Normal 74 3" xfId="13834"/>
    <cellStyle name="Normal 75" xfId="1671"/>
    <cellStyle name="Normal 75 2" xfId="13835"/>
    <cellStyle name="Normal 75 3" xfId="13836"/>
    <cellStyle name="Normal 76" xfId="1672"/>
    <cellStyle name="Normal 76 2" xfId="13837"/>
    <cellStyle name="Normal 76 3" xfId="13838"/>
    <cellStyle name="Normal 77" xfId="1673"/>
    <cellStyle name="Normal 77 2" xfId="13839"/>
    <cellStyle name="Normal 77 3" xfId="13840"/>
    <cellStyle name="Normal 78" xfId="1674"/>
    <cellStyle name="Normal 78 2" xfId="13841"/>
    <cellStyle name="Normal 78 3" xfId="13842"/>
    <cellStyle name="Normal 79" xfId="1675"/>
    <cellStyle name="Normal 79 2" xfId="13843"/>
    <cellStyle name="Normal 79 3" xfId="13844"/>
    <cellStyle name="Normal 8" xfId="1676"/>
    <cellStyle name="Normal 8 10" xfId="13845"/>
    <cellStyle name="Normal 8 10 2" xfId="13846"/>
    <cellStyle name="Normal 8 10 2 2" xfId="13847"/>
    <cellStyle name="Normal 8 10 3" xfId="13848"/>
    <cellStyle name="Normal 8 10 3 2" xfId="13849"/>
    <cellStyle name="Normal 8 10 4" xfId="13850"/>
    <cellStyle name="Normal 8 10 4 2" xfId="13851"/>
    <cellStyle name="Normal 8 10 5" xfId="13852"/>
    <cellStyle name="Normal 8 10 6" xfId="13853"/>
    <cellStyle name="Normal 8 10 7" xfId="18690"/>
    <cellStyle name="Normal 8 11" xfId="13854"/>
    <cellStyle name="Normal 8 11 2" xfId="13855"/>
    <cellStyle name="Normal 8 11 2 2" xfId="13856"/>
    <cellStyle name="Normal 8 11 3" xfId="13857"/>
    <cellStyle name="Normal 8 11 3 2" xfId="13858"/>
    <cellStyle name="Normal 8 11 4" xfId="13859"/>
    <cellStyle name="Normal 8 11 4 2" xfId="13860"/>
    <cellStyle name="Normal 8 11 5" xfId="13861"/>
    <cellStyle name="Normal 8 11 6" xfId="13862"/>
    <cellStyle name="Normal 8 12" xfId="13863"/>
    <cellStyle name="Normal 8 12 2" xfId="13864"/>
    <cellStyle name="Normal 8 12 2 2" xfId="13865"/>
    <cellStyle name="Normal 8 12 3" xfId="13866"/>
    <cellStyle name="Normal 8 12 4" xfId="13867"/>
    <cellStyle name="Normal 8 12 5" xfId="13868"/>
    <cellStyle name="Normal 8 13" xfId="13869"/>
    <cellStyle name="Normal 8 13 2" xfId="13870"/>
    <cellStyle name="Normal 8 13 2 2" xfId="13871"/>
    <cellStyle name="Normal 8 13 3" xfId="13872"/>
    <cellStyle name="Normal 8 13 4" xfId="13873"/>
    <cellStyle name="Normal 8 13 5" xfId="13874"/>
    <cellStyle name="Normal 8 14" xfId="13875"/>
    <cellStyle name="Normal 8 14 2" xfId="13876"/>
    <cellStyle name="Normal 8 14 2 2" xfId="13877"/>
    <cellStyle name="Normal 8 14 3" xfId="13878"/>
    <cellStyle name="Normal 8 14 4" xfId="13879"/>
    <cellStyle name="Normal 8 14 5" xfId="13880"/>
    <cellStyle name="Normal 8 15" xfId="13881"/>
    <cellStyle name="Normal 8 15 2" xfId="13882"/>
    <cellStyle name="Normal 8 15 2 2" xfId="13883"/>
    <cellStyle name="Normal 8 15 3" xfId="13884"/>
    <cellStyle name="Normal 8 15 4" xfId="13885"/>
    <cellStyle name="Normal 8 15 5" xfId="13886"/>
    <cellStyle name="Normal 8 16" xfId="13887"/>
    <cellStyle name="Normal 8 16 2" xfId="13888"/>
    <cellStyle name="Normal 8 16 2 2" xfId="13889"/>
    <cellStyle name="Normal 8 16 3" xfId="13890"/>
    <cellStyle name="Normal 8 16 4" xfId="13891"/>
    <cellStyle name="Normal 8 16 5" xfId="13892"/>
    <cellStyle name="Normal 8 17" xfId="13893"/>
    <cellStyle name="Normal 8 17 2" xfId="13894"/>
    <cellStyle name="Normal 8 17 2 2" xfId="13895"/>
    <cellStyle name="Normal 8 17 3" xfId="13896"/>
    <cellStyle name="Normal 8 17 4" xfId="13897"/>
    <cellStyle name="Normal 8 17 5" xfId="13898"/>
    <cellStyle name="Normal 8 18" xfId="13899"/>
    <cellStyle name="Normal 8 18 2" xfId="13900"/>
    <cellStyle name="Normal 8 18 2 2" xfId="13901"/>
    <cellStyle name="Normal 8 18 2 2 2" xfId="13902"/>
    <cellStyle name="Normal 8 18 2 3" xfId="13903"/>
    <cellStyle name="Normal 8 18 2 4" xfId="13904"/>
    <cellStyle name="Normal 8 18 3" xfId="13905"/>
    <cellStyle name="Normal 8 18 3 2" xfId="13906"/>
    <cellStyle name="Normal 8 18 4" xfId="13907"/>
    <cellStyle name="Normal 8 18 5" xfId="13908"/>
    <cellStyle name="Normal 8 19" xfId="13909"/>
    <cellStyle name="Normal 8 19 2" xfId="13910"/>
    <cellStyle name="Normal 8 19 3" xfId="13911"/>
    <cellStyle name="Normal 8 2" xfId="13912"/>
    <cellStyle name="Normal 8 2 2" xfId="13913"/>
    <cellStyle name="Normal 8 2 2 2" xfId="13914"/>
    <cellStyle name="Normal 8 2 2 2 2" xfId="13915"/>
    <cellStyle name="Normal 8 2 2 2 2 2" xfId="13916"/>
    <cellStyle name="Normal 8 2 2 2 2 3" xfId="13917"/>
    <cellStyle name="Normal 8 2 2 2 2 4" xfId="17807"/>
    <cellStyle name="Normal 8 2 2 2 2 5" xfId="16721"/>
    <cellStyle name="Normal 8 2 2 2 3" xfId="13918"/>
    <cellStyle name="Normal 8 2 2 2 3 2" xfId="13919"/>
    <cellStyle name="Normal 8 2 2 2 4" xfId="13920"/>
    <cellStyle name="Normal 8 2 2 2 5" xfId="17880"/>
    <cellStyle name="Normal 8 2 2 2 6" xfId="16720"/>
    <cellStyle name="Normal 8 2 2 3" xfId="13921"/>
    <cellStyle name="Normal 8 2 2 3 2" xfId="13922"/>
    <cellStyle name="Normal 8 2 2 3 2 2" xfId="13923"/>
    <cellStyle name="Normal 8 2 2 3 3" xfId="13924"/>
    <cellStyle name="Normal 8 2 2 3 4" xfId="17911"/>
    <cellStyle name="Normal 8 2 2 3 5" xfId="16722"/>
    <cellStyle name="Normal 8 2 2 4" xfId="13925"/>
    <cellStyle name="Normal 8 2 2 4 2" xfId="13926"/>
    <cellStyle name="Normal 8 2 2 5" xfId="13927"/>
    <cellStyle name="Normal 8 2 2 6" xfId="13928"/>
    <cellStyle name="Normal 8 2 2 6 2" xfId="17789"/>
    <cellStyle name="Normal 8 2 2 7" xfId="13929"/>
    <cellStyle name="Normal 8 2 2 7 2" xfId="16719"/>
    <cellStyle name="Normal 8 2 2 8" xfId="13930"/>
    <cellStyle name="Normal 8 2 3" xfId="13931"/>
    <cellStyle name="Normal 8 2 3 2" xfId="13932"/>
    <cellStyle name="Normal 8 2 3 2 2" xfId="13933"/>
    <cellStyle name="Normal 8 2 3 2 3" xfId="13934"/>
    <cellStyle name="Normal 8 2 3 2 4" xfId="17791"/>
    <cellStyle name="Normal 8 2 3 2 5" xfId="16724"/>
    <cellStyle name="Normal 8 2 3 3" xfId="13935"/>
    <cellStyle name="Normal 8 2 3 3 2" xfId="13936"/>
    <cellStyle name="Normal 8 2 3 4" xfId="13937"/>
    <cellStyle name="Normal 8 2 3 5" xfId="13938"/>
    <cellStyle name="Normal 8 2 3 5 2" xfId="17826"/>
    <cellStyle name="Normal 8 2 3 6" xfId="16723"/>
    <cellStyle name="Normal 8 2 4" xfId="13939"/>
    <cellStyle name="Normal 8 2 4 2" xfId="13940"/>
    <cellStyle name="Normal 8 2 4 2 2" xfId="13941"/>
    <cellStyle name="Normal 8 2 4 3" xfId="13942"/>
    <cellStyle name="Normal 8 2 4 4" xfId="13943"/>
    <cellStyle name="Normal 8 2 4 4 2" xfId="17910"/>
    <cellStyle name="Normal 8 2 4 5" xfId="16725"/>
    <cellStyle name="Normal 8 2 5" xfId="13944"/>
    <cellStyle name="Normal 8 2 5 2" xfId="13945"/>
    <cellStyle name="Normal 8 2 6" xfId="13946"/>
    <cellStyle name="Normal 8 2 7" xfId="13947"/>
    <cellStyle name="Normal 8 2 7 2" xfId="17775"/>
    <cellStyle name="Normal 8 2 8" xfId="13948"/>
    <cellStyle name="Normal 8 2 8 2" xfId="16718"/>
    <cellStyle name="Normal 8 2 9" xfId="13949"/>
    <cellStyle name="Normal 8 20" xfId="13950"/>
    <cellStyle name="Normal 8 20 2" xfId="13951"/>
    <cellStyle name="Normal 8 21" xfId="13952"/>
    <cellStyle name="Normal 8 21 2" xfId="13953"/>
    <cellStyle name="Normal 8 22" xfId="13954"/>
    <cellStyle name="Normal 8 22 2" xfId="13955"/>
    <cellStyle name="Normal 8 23" xfId="13956"/>
    <cellStyle name="Normal 8 23 2" xfId="13957"/>
    <cellStyle name="Normal 8 24" xfId="13958"/>
    <cellStyle name="Normal 8 24 2" xfId="13959"/>
    <cellStyle name="Normal 8 25" xfId="13960"/>
    <cellStyle name="Normal 8 26" xfId="13961"/>
    <cellStyle name="Normal 8 27" xfId="13962"/>
    <cellStyle name="Normal 8 28" xfId="13963"/>
    <cellStyle name="Normal 8 29" xfId="13964"/>
    <cellStyle name="Normal 8 3" xfId="13965"/>
    <cellStyle name="Normal 8 3 2" xfId="13966"/>
    <cellStyle name="Normal 8 3 2 2" xfId="13967"/>
    <cellStyle name="Normal 8 3 2 2 2" xfId="13968"/>
    <cellStyle name="Normal 8 3 2 2 3" xfId="13969"/>
    <cellStyle name="Normal 8 3 2 2 4" xfId="17804"/>
    <cellStyle name="Normal 8 3 2 2 5" xfId="16728"/>
    <cellStyle name="Normal 8 3 2 3" xfId="13970"/>
    <cellStyle name="Normal 8 3 2 3 2" xfId="13971"/>
    <cellStyle name="Normal 8 3 2 4" xfId="13972"/>
    <cellStyle name="Normal 8 3 2 5" xfId="13973"/>
    <cellStyle name="Normal 8 3 2 5 2" xfId="17895"/>
    <cellStyle name="Normal 8 3 2 6" xfId="13974"/>
    <cellStyle name="Normal 8 3 2 6 2" xfId="16727"/>
    <cellStyle name="Normal 8 3 2 7" xfId="13975"/>
    <cellStyle name="Normal 8 3 3" xfId="13976"/>
    <cellStyle name="Normal 8 3 3 2" xfId="13977"/>
    <cellStyle name="Normal 8 3 3 2 2" xfId="13978"/>
    <cellStyle name="Normal 8 3 3 3" xfId="13979"/>
    <cellStyle name="Normal 8 3 3 4" xfId="13980"/>
    <cellStyle name="Normal 8 3 3 4 2" xfId="17785"/>
    <cellStyle name="Normal 8 3 3 5" xfId="16729"/>
    <cellStyle name="Normal 8 3 4" xfId="13981"/>
    <cellStyle name="Normal 8 3 4 2" xfId="13982"/>
    <cellStyle name="Normal 8 3 4 3" xfId="13983"/>
    <cellStyle name="Normal 8 3 5" xfId="13984"/>
    <cellStyle name="Normal 8 3 6" xfId="13985"/>
    <cellStyle name="Normal 8 3 6 2" xfId="17814"/>
    <cellStyle name="Normal 8 3 7" xfId="13986"/>
    <cellStyle name="Normal 8 3 7 2" xfId="16726"/>
    <cellStyle name="Normal 8 3 8" xfId="13987"/>
    <cellStyle name="Normal 8 3 9" xfId="19746"/>
    <cellStyle name="Normal 8 4" xfId="13988"/>
    <cellStyle name="Normal 8 4 2" xfId="13989"/>
    <cellStyle name="Normal 8 4 2 2" xfId="13990"/>
    <cellStyle name="Normal 8 4 2 2 2" xfId="13991"/>
    <cellStyle name="Normal 8 4 2 2 3" xfId="13992"/>
    <cellStyle name="Normal 8 4 2 3" xfId="13993"/>
    <cellStyle name="Normal 8 4 2 4" xfId="13994"/>
    <cellStyle name="Normal 8 4 2 4 2" xfId="17846"/>
    <cellStyle name="Normal 8 4 2 5" xfId="13995"/>
    <cellStyle name="Normal 8 4 2 5 2" xfId="16731"/>
    <cellStyle name="Normal 8 4 2 6" xfId="13996"/>
    <cellStyle name="Normal 8 4 2 7" xfId="13997"/>
    <cellStyle name="Normal 8 4 3" xfId="13998"/>
    <cellStyle name="Normal 8 4 3 2" xfId="13999"/>
    <cellStyle name="Normal 8 4 3 3" xfId="14000"/>
    <cellStyle name="Normal 8 4 3 4" xfId="14001"/>
    <cellStyle name="Normal 8 4 4" xfId="14002"/>
    <cellStyle name="Normal 8 4 4 2" xfId="14003"/>
    <cellStyle name="Normal 8 4 4 3" xfId="14004"/>
    <cellStyle name="Normal 8 4 5" xfId="14005"/>
    <cellStyle name="Normal 8 4 5 2" xfId="17893"/>
    <cellStyle name="Normal 8 4 6" xfId="14006"/>
    <cellStyle name="Normal 8 4 6 2" xfId="16730"/>
    <cellStyle name="Normal 8 4 7" xfId="14007"/>
    <cellStyle name="Normal 8 4 8" xfId="14008"/>
    <cellStyle name="Normal 8 5" xfId="14009"/>
    <cellStyle name="Normal 8 5 2" xfId="14010"/>
    <cellStyle name="Normal 8 5 2 2" xfId="14011"/>
    <cellStyle name="Normal 8 5 2 3" xfId="14012"/>
    <cellStyle name="Normal 8 5 2 4" xfId="14013"/>
    <cellStyle name="Normal 8 5 2 5" xfId="14014"/>
    <cellStyle name="Normal 8 5 3" xfId="14015"/>
    <cellStyle name="Normal 8 5 3 2" xfId="14016"/>
    <cellStyle name="Normal 8 5 3 3" xfId="14017"/>
    <cellStyle name="Normal 8 5 3 4" xfId="14018"/>
    <cellStyle name="Normal 8 5 4" xfId="14019"/>
    <cellStyle name="Normal 8 5 4 2" xfId="14020"/>
    <cellStyle name="Normal 8 5 4 3" xfId="14021"/>
    <cellStyle name="Normal 8 5 4 4" xfId="17876"/>
    <cellStyle name="Normal 8 5 5" xfId="14022"/>
    <cellStyle name="Normal 8 5 5 2" xfId="16732"/>
    <cellStyle name="Normal 8 5 6" xfId="14023"/>
    <cellStyle name="Normal 8 6" xfId="14024"/>
    <cellStyle name="Normal 8 6 2" xfId="14025"/>
    <cellStyle name="Normal 8 6 2 2" xfId="14026"/>
    <cellStyle name="Normal 8 6 2 2 2" xfId="18406"/>
    <cellStyle name="Normal 8 6 2 2 3" xfId="19137"/>
    <cellStyle name="Normal 8 6 2 2 4" xfId="17601"/>
    <cellStyle name="Normal 8 6 2 3" xfId="14027"/>
    <cellStyle name="Normal 8 6 2 3 2" xfId="18063"/>
    <cellStyle name="Normal 8 6 2 4" xfId="14028"/>
    <cellStyle name="Normal 8 6 2 4 2" xfId="18810"/>
    <cellStyle name="Normal 8 6 2 5" xfId="14029"/>
    <cellStyle name="Normal 8 6 2 6" xfId="14030"/>
    <cellStyle name="Normal 8 6 2 7" xfId="14031"/>
    <cellStyle name="Normal 8 6 2 8" xfId="17093"/>
    <cellStyle name="Normal 8 6 3" xfId="14032"/>
    <cellStyle name="Normal 8 6 3 2" xfId="14033"/>
    <cellStyle name="Normal 8 6 4" xfId="14034"/>
    <cellStyle name="Normal 8 6 4 2" xfId="14035"/>
    <cellStyle name="Normal 8 6 5" xfId="14036"/>
    <cellStyle name="Normal 8 6 6" xfId="16286"/>
    <cellStyle name="Normal 8 7" xfId="14037"/>
    <cellStyle name="Normal 8 7 2" xfId="14038"/>
    <cellStyle name="Normal 8 7 2 2" xfId="14039"/>
    <cellStyle name="Normal 8 7 2 3" xfId="14040"/>
    <cellStyle name="Normal 8 7 2 4" xfId="14041"/>
    <cellStyle name="Normal 8 7 2 5" xfId="14042"/>
    <cellStyle name="Normal 8 7 3" xfId="14043"/>
    <cellStyle name="Normal 8 7 3 2" xfId="14044"/>
    <cellStyle name="Normal 8 7 4" xfId="14045"/>
    <cellStyle name="Normal 8 7 4 2" xfId="14046"/>
    <cellStyle name="Normal 8 7 5" xfId="14047"/>
    <cellStyle name="Normal 8 7 6" xfId="14048"/>
    <cellStyle name="Normal 8 7 7" xfId="16733"/>
    <cellStyle name="Normal 8 8" xfId="14049"/>
    <cellStyle name="Normal 8 8 2" xfId="14050"/>
    <cellStyle name="Normal 8 8 2 2" xfId="14051"/>
    <cellStyle name="Normal 8 8 3" xfId="14052"/>
    <cellStyle name="Normal 8 8 3 2" xfId="14053"/>
    <cellStyle name="Normal 8 8 4" xfId="14054"/>
    <cellStyle name="Normal 8 8 4 2" xfId="14055"/>
    <cellStyle name="Normal 8 8 5" xfId="14056"/>
    <cellStyle name="Normal 8 8 6" xfId="14057"/>
    <cellStyle name="Normal 8 8 7" xfId="17894"/>
    <cellStyle name="Normal 8 9" xfId="14058"/>
    <cellStyle name="Normal 8 9 2" xfId="14059"/>
    <cellStyle name="Normal 8 9 2 2" xfId="14060"/>
    <cellStyle name="Normal 8 9 3" xfId="14061"/>
    <cellStyle name="Normal 8 9 3 2" xfId="14062"/>
    <cellStyle name="Normal 8 9 4" xfId="14063"/>
    <cellStyle name="Normal 8 9 4 2" xfId="14064"/>
    <cellStyle name="Normal 8 9 5" xfId="14065"/>
    <cellStyle name="Normal 8 9 6" xfId="14066"/>
    <cellStyle name="Normal 8 9 7" xfId="16717"/>
    <cellStyle name="Normal 80" xfId="1677"/>
    <cellStyle name="Normal 80 2" xfId="14067"/>
    <cellStyle name="Normal 80 3" xfId="14068"/>
    <cellStyle name="Normal 81" xfId="1678"/>
    <cellStyle name="Normal 81 2" xfId="14069"/>
    <cellStyle name="Normal 81 3" xfId="14070"/>
    <cellStyle name="Normal 82" xfId="1679"/>
    <cellStyle name="Normal 82 2" xfId="14071"/>
    <cellStyle name="Normal 82 3" xfId="14072"/>
    <cellStyle name="Normal 83" xfId="1680"/>
    <cellStyle name="Normal 83 2" xfId="14073"/>
    <cellStyle name="Normal 83 3" xfId="14074"/>
    <cellStyle name="Normal 84" xfId="1681"/>
    <cellStyle name="Normal 84 2" xfId="14075"/>
    <cellStyle name="Normal 84 3" xfId="14076"/>
    <cellStyle name="Normal 85" xfId="1682"/>
    <cellStyle name="Normal 85 2" xfId="14077"/>
    <cellStyle name="Normal 85 3" xfId="14078"/>
    <cellStyle name="Normal 86" xfId="1683"/>
    <cellStyle name="Normal 86 2" xfId="14079"/>
    <cellStyle name="Normal 86 3" xfId="14080"/>
    <cellStyle name="Normal 87" xfId="1684"/>
    <cellStyle name="Normal 87 2" xfId="14081"/>
    <cellStyle name="Normal 87 3" xfId="14082"/>
    <cellStyle name="Normal 88" xfId="1685"/>
    <cellStyle name="Normal 88 2" xfId="14083"/>
    <cellStyle name="Normal 88 3" xfId="14084"/>
    <cellStyle name="Normal 89" xfId="1686"/>
    <cellStyle name="Normal 89 2" xfId="14085"/>
    <cellStyle name="Normal 89 3" xfId="14086"/>
    <cellStyle name="Normal 9" xfId="1687"/>
    <cellStyle name="Normal 9 10" xfId="14087"/>
    <cellStyle name="Normal 9 10 2" xfId="14088"/>
    <cellStyle name="Normal 9 10 3" xfId="14089"/>
    <cellStyle name="Normal 9 10 4" xfId="14090"/>
    <cellStyle name="Normal 9 10 5" xfId="14091"/>
    <cellStyle name="Normal 9 10 6" xfId="16734"/>
    <cellStyle name="Normal 9 11" xfId="14092"/>
    <cellStyle name="Normal 9 11 2" xfId="14093"/>
    <cellStyle name="Normal 9 11 3" xfId="14094"/>
    <cellStyle name="Normal 9 11 4" xfId="14095"/>
    <cellStyle name="Normal 9 11 5" xfId="14096"/>
    <cellStyle name="Normal 9 12" xfId="14097"/>
    <cellStyle name="Normal 9 12 2" xfId="14098"/>
    <cellStyle name="Normal 9 12 3" xfId="14099"/>
    <cellStyle name="Normal 9 12 4" xfId="14100"/>
    <cellStyle name="Normal 9 13" xfId="14101"/>
    <cellStyle name="Normal 9 13 2" xfId="14102"/>
    <cellStyle name="Normal 9 13 3" xfId="14103"/>
    <cellStyle name="Normal 9 13 4" xfId="14104"/>
    <cellStyle name="Normal 9 14" xfId="14105"/>
    <cellStyle name="Normal 9 14 2" xfId="14106"/>
    <cellStyle name="Normal 9 14 3" xfId="14107"/>
    <cellStyle name="Normal 9 14 4" xfId="14108"/>
    <cellStyle name="Normal 9 15" xfId="14109"/>
    <cellStyle name="Normal 9 15 2" xfId="14110"/>
    <cellStyle name="Normal 9 15 3" xfId="14111"/>
    <cellStyle name="Normal 9 15 4" xfId="14112"/>
    <cellStyle name="Normal 9 16" xfId="14113"/>
    <cellStyle name="Normal 9 16 2" xfId="14114"/>
    <cellStyle name="Normal 9 16 3" xfId="14115"/>
    <cellStyle name="Normal 9 16 4" xfId="14116"/>
    <cellStyle name="Normal 9 17" xfId="14117"/>
    <cellStyle name="Normal 9 17 2" xfId="14118"/>
    <cellStyle name="Normal 9 17 3" xfId="14119"/>
    <cellStyle name="Normal 9 17 4" xfId="14120"/>
    <cellStyle name="Normal 9 18" xfId="14121"/>
    <cellStyle name="Normal 9 18 2" xfId="14122"/>
    <cellStyle name="Normal 9 18 2 2" xfId="14123"/>
    <cellStyle name="Normal 9 18 2 2 2" xfId="14124"/>
    <cellStyle name="Normal 9 18 2 3" xfId="14125"/>
    <cellStyle name="Normal 9 18 3" xfId="14126"/>
    <cellStyle name="Normal 9 18 3 2" xfId="14127"/>
    <cellStyle name="Normal 9 18 4" xfId="14128"/>
    <cellStyle name="Normal 9 19" xfId="14129"/>
    <cellStyle name="Normal 9 2" xfId="14130"/>
    <cellStyle name="Normal 9 2 2" xfId="14131"/>
    <cellStyle name="Normal 9 2 2 10" xfId="14132"/>
    <cellStyle name="Normal 9 2 2 11" xfId="14133"/>
    <cellStyle name="Normal 9 2 2 2" xfId="14134"/>
    <cellStyle name="Normal 9 2 2 2 2" xfId="14135"/>
    <cellStyle name="Normal 9 2 2 2 2 2" xfId="14136"/>
    <cellStyle name="Normal 9 2 2 2 2 3" xfId="16815"/>
    <cellStyle name="Normal 9 2 2 2 2 4" xfId="17902"/>
    <cellStyle name="Normal 9 2 2 2 2 5" xfId="16738"/>
    <cellStyle name="Normal 9 2 2 2 3" xfId="14137"/>
    <cellStyle name="Normal 9 2 2 2 4" xfId="14138"/>
    <cellStyle name="Normal 9 2 2 2 5" xfId="14139"/>
    <cellStyle name="Normal 9 2 2 2 5 2" xfId="17900"/>
    <cellStyle name="Normal 9 2 2 2 6" xfId="14140"/>
    <cellStyle name="Normal 9 2 2 2 6 2" xfId="16737"/>
    <cellStyle name="Normal 9 2 2 3" xfId="14141"/>
    <cellStyle name="Normal 9 2 2 3 2" xfId="14142"/>
    <cellStyle name="Normal 9 2 2 3 2 2" xfId="14143"/>
    <cellStyle name="Normal 9 2 2 3 3" xfId="14144"/>
    <cellStyle name="Normal 9 2 2 3 4" xfId="14145"/>
    <cellStyle name="Normal 9 2 2 3 4 2" xfId="17786"/>
    <cellStyle name="Normal 9 2 2 3 5" xfId="16739"/>
    <cellStyle name="Normal 9 2 2 4" xfId="14146"/>
    <cellStyle name="Normal 9 2 2 5" xfId="14147"/>
    <cellStyle name="Normal 9 2 2 6" xfId="14148"/>
    <cellStyle name="Normal 9 2 2 6 2" xfId="17888"/>
    <cellStyle name="Normal 9 2 2 7" xfId="14149"/>
    <cellStyle name="Normal 9 2 2 7 2" xfId="16736"/>
    <cellStyle name="Normal 9 2 2 8" xfId="14150"/>
    <cellStyle name="Normal 9 2 2 9" xfId="14151"/>
    <cellStyle name="Normal 9 2 3" xfId="14152"/>
    <cellStyle name="Normal 9 2 3 2" xfId="14153"/>
    <cellStyle name="Normal 9 2 3 2 2" xfId="16857"/>
    <cellStyle name="Normal 9 2 3 2 3" xfId="16816"/>
    <cellStyle name="Normal 9 2 3 2 4" xfId="17855"/>
    <cellStyle name="Normal 9 2 3 2 5" xfId="16741"/>
    <cellStyle name="Normal 9 2 3 3" xfId="14154"/>
    <cellStyle name="Normal 9 2 3 4" xfId="16787"/>
    <cellStyle name="Normal 9 2 3 5" xfId="17897"/>
    <cellStyle name="Normal 9 2 3 6" xfId="16740"/>
    <cellStyle name="Normal 9 2 4" xfId="14155"/>
    <cellStyle name="Normal 9 2 4 2" xfId="14156"/>
    <cellStyle name="Normal 9 2 4 3" xfId="16817"/>
    <cellStyle name="Normal 9 2 4 4" xfId="17857"/>
    <cellStyle name="Normal 9 2 4 5" xfId="16742"/>
    <cellStyle name="Normal 9 2 5" xfId="14157"/>
    <cellStyle name="Normal 9 2 6" xfId="14158"/>
    <cellStyle name="Normal 9 2 7" xfId="14159"/>
    <cellStyle name="Normal 9 2 7 2" xfId="17819"/>
    <cellStyle name="Normal 9 2 8" xfId="14160"/>
    <cellStyle name="Normal 9 2 8 2" xfId="19307"/>
    <cellStyle name="Normal 9 2 8 3" xfId="16735"/>
    <cellStyle name="Normal 9 2 9" xfId="18643"/>
    <cellStyle name="Normal 9 20" xfId="14161"/>
    <cellStyle name="Normal 9 21" xfId="14162"/>
    <cellStyle name="Normal 9 22" xfId="14163"/>
    <cellStyle name="Normal 9 23" xfId="19747"/>
    <cellStyle name="Normal 9 3" xfId="14164"/>
    <cellStyle name="Normal 9 3 2" xfId="14165"/>
    <cellStyle name="Normal 9 3 2 2" xfId="14166"/>
    <cellStyle name="Normal 9 3 2 2 2" xfId="14167"/>
    <cellStyle name="Normal 9 3 2 2 3" xfId="14168"/>
    <cellStyle name="Normal 9 3 2 2 4" xfId="17859"/>
    <cellStyle name="Normal 9 3 2 2 5" xfId="16745"/>
    <cellStyle name="Normal 9 3 2 3" xfId="14169"/>
    <cellStyle name="Normal 9 3 2 3 2" xfId="14170"/>
    <cellStyle name="Normal 9 3 2 4" xfId="14171"/>
    <cellStyle name="Normal 9 3 2 5" xfId="14172"/>
    <cellStyle name="Normal 9 3 2 5 2" xfId="17863"/>
    <cellStyle name="Normal 9 3 2 6" xfId="14173"/>
    <cellStyle name="Normal 9 3 2 6 2" xfId="16744"/>
    <cellStyle name="Normal 9 3 2 7" xfId="14174"/>
    <cellStyle name="Normal 9 3 3" xfId="14175"/>
    <cellStyle name="Normal 9 3 3 2" xfId="14176"/>
    <cellStyle name="Normal 9 3 3 2 2" xfId="14177"/>
    <cellStyle name="Normal 9 3 3 3" xfId="14178"/>
    <cellStyle name="Normal 9 3 3 4" xfId="14179"/>
    <cellStyle name="Normal 9 3 3 4 2" xfId="17860"/>
    <cellStyle name="Normal 9 3 3 5" xfId="16746"/>
    <cellStyle name="Normal 9 3 4" xfId="14180"/>
    <cellStyle name="Normal 9 3 4 2" xfId="14181"/>
    <cellStyle name="Normal 9 3 4 3" xfId="14182"/>
    <cellStyle name="Normal 9 3 5" xfId="14183"/>
    <cellStyle name="Normal 9 3 6" xfId="14184"/>
    <cellStyle name="Normal 9 3 6 2" xfId="17849"/>
    <cellStyle name="Normal 9 3 7" xfId="14185"/>
    <cellStyle name="Normal 9 3 7 2" xfId="16743"/>
    <cellStyle name="Normal 9 3 8" xfId="14186"/>
    <cellStyle name="Normal 9 4" xfId="14187"/>
    <cellStyle name="Normal 9 4 2" xfId="14188"/>
    <cellStyle name="Normal 9 4 2 2" xfId="14189"/>
    <cellStyle name="Normal 9 4 2 3" xfId="14190"/>
    <cellStyle name="Normal 9 4 2 4" xfId="14191"/>
    <cellStyle name="Normal 9 4 2 4 2" xfId="17867"/>
    <cellStyle name="Normal 9 4 2 5" xfId="14192"/>
    <cellStyle name="Normal 9 4 2 5 2" xfId="16748"/>
    <cellStyle name="Normal 9 4 3" xfId="14193"/>
    <cellStyle name="Normal 9 4 4" xfId="14194"/>
    <cellStyle name="Normal 9 4 5" xfId="14195"/>
    <cellStyle name="Normal 9 4 5 2" xfId="17906"/>
    <cellStyle name="Normal 9 4 6" xfId="16747"/>
    <cellStyle name="Normal 9 5" xfId="14196"/>
    <cellStyle name="Normal 9 5 2" xfId="14197"/>
    <cellStyle name="Normal 9 5 2 2" xfId="14198"/>
    <cellStyle name="Normal 9 5 2 3" xfId="14199"/>
    <cellStyle name="Normal 9 5 2 4" xfId="14200"/>
    <cellStyle name="Normal 9 5 2 5" xfId="14201"/>
    <cellStyle name="Normal 9 5 3" xfId="14202"/>
    <cellStyle name="Normal 9 5 3 2" xfId="14203"/>
    <cellStyle name="Normal 9 5 3 3" xfId="14204"/>
    <cellStyle name="Normal 9 5 3 4" xfId="14205"/>
    <cellStyle name="Normal 9 5 4" xfId="14206"/>
    <cellStyle name="Normal 9 5 4 2" xfId="14207"/>
    <cellStyle name="Normal 9 5 4 3" xfId="14208"/>
    <cellStyle name="Normal 9 5 4 4" xfId="17801"/>
    <cellStyle name="Normal 9 5 5" xfId="14209"/>
    <cellStyle name="Normal 9 5 5 2" xfId="16749"/>
    <cellStyle name="Normal 9 5 6" xfId="14210"/>
    <cellStyle name="Normal 9 6" xfId="14211"/>
    <cellStyle name="Normal 9 6 2" xfId="14212"/>
    <cellStyle name="Normal 9 6 2 2" xfId="14213"/>
    <cellStyle name="Normal 9 6 2 3" xfId="14214"/>
    <cellStyle name="Normal 9 6 2 4" xfId="14215"/>
    <cellStyle name="Normal 9 6 3" xfId="14216"/>
    <cellStyle name="Normal 9 6 3 2" xfId="14217"/>
    <cellStyle name="Normal 9 6 4" xfId="14218"/>
    <cellStyle name="Normal 9 6 4 2" xfId="14219"/>
    <cellStyle name="Normal 9 6 5" xfId="14220"/>
    <cellStyle name="Normal 9 6 6" xfId="14221"/>
    <cellStyle name="Normal 9 6 7" xfId="14222"/>
    <cellStyle name="Normal 9 7" xfId="14223"/>
    <cellStyle name="Normal 9 7 2" xfId="14224"/>
    <cellStyle name="Normal 9 7 2 2" xfId="14225"/>
    <cellStyle name="Normal 9 7 3" xfId="14226"/>
    <cellStyle name="Normal 9 7 4" xfId="14227"/>
    <cellStyle name="Normal 9 7 5" xfId="14228"/>
    <cellStyle name="Normal 9 8" xfId="14229"/>
    <cellStyle name="Normal 9 8 2" xfId="14230"/>
    <cellStyle name="Normal 9 8 3" xfId="14231"/>
    <cellStyle name="Normal 9 8 4" xfId="14232"/>
    <cellStyle name="Normal 9 8 5" xfId="14233"/>
    <cellStyle name="Normal 9 8 6" xfId="17856"/>
    <cellStyle name="Normal 9 9" xfId="14234"/>
    <cellStyle name="Normal 9 9 2" xfId="14235"/>
    <cellStyle name="Normal 9 9 2 2" xfId="18578"/>
    <cellStyle name="Normal 9 9 3" xfId="14236"/>
    <cellStyle name="Normal 9 9 3 2" xfId="19301"/>
    <cellStyle name="Normal 9 9 4" xfId="14237"/>
    <cellStyle name="Normal 9 9 5" xfId="14238"/>
    <cellStyle name="Normal 9 9 6" xfId="17913"/>
    <cellStyle name="Normal 90" xfId="1688"/>
    <cellStyle name="Normal 90 2" xfId="14239"/>
    <cellStyle name="Normal 90 3" xfId="14240"/>
    <cellStyle name="Normal 91" xfId="1689"/>
    <cellStyle name="Normal 91 2" xfId="14241"/>
    <cellStyle name="Normal 91 3" xfId="14242"/>
    <cellStyle name="Normal 92" xfId="1690"/>
    <cellStyle name="Normal 92 2" xfId="14243"/>
    <cellStyle name="Normal 92 3" xfId="14244"/>
    <cellStyle name="Normal 93" xfId="1691"/>
    <cellStyle name="Normal 93 2" xfId="14245"/>
    <cellStyle name="Normal 93 3" xfId="14246"/>
    <cellStyle name="Normal 94" xfId="1692"/>
    <cellStyle name="Normal 94 2" xfId="14247"/>
    <cellStyle name="Normal 94 3" xfId="14248"/>
    <cellStyle name="Normal 95" xfId="1693"/>
    <cellStyle name="Normal 95 2" xfId="14249"/>
    <cellStyle name="Normal 95 3" xfId="14250"/>
    <cellStyle name="Normal 96" xfId="1694"/>
    <cellStyle name="Normal 96 2" xfId="14251"/>
    <cellStyle name="Normal 96 3" xfId="14252"/>
    <cellStyle name="Normal 97" xfId="1695"/>
    <cellStyle name="Normal 97 2" xfId="14253"/>
    <cellStyle name="Normal 97 3" xfId="14254"/>
    <cellStyle name="Normal 97 4" xfId="14255"/>
    <cellStyle name="Normal 98" xfId="1696"/>
    <cellStyle name="Normal 98 2" xfId="14256"/>
    <cellStyle name="Normal 98 3" xfId="14257"/>
    <cellStyle name="Normal 99" xfId="1697"/>
    <cellStyle name="Normal 99 2" xfId="14258"/>
    <cellStyle name="Normal 99 2 2" xfId="17133"/>
    <cellStyle name="Normal 99 3" xfId="14259"/>
    <cellStyle name="Normal 99 4" xfId="16339"/>
    <cellStyle name="Normal[0]" xfId="14260"/>
    <cellStyle name="Normal[hi" xfId="14261"/>
    <cellStyle name="Normal_RPS List 2" xfId="2368"/>
    <cellStyle name="Normal_Sheet1" xfId="1698"/>
    <cellStyle name="Normal_Sheet2" xfId="2370"/>
    <cellStyle name="Normal_Sheet3" xfId="2371"/>
    <cellStyle name="NormalRO" xfId="14262"/>
    <cellStyle name="NormalUP" xfId="14263"/>
    <cellStyle name="NormalUP 2" xfId="14264"/>
    <cellStyle name="NormalUP 3" xfId="14265"/>
    <cellStyle name="NormalUP 3 2" xfId="14266"/>
    <cellStyle name="NormalUP 4" xfId="14267"/>
    <cellStyle name="NormalUP 4 2" xfId="14268"/>
    <cellStyle name="NormalUP 5" xfId="14269"/>
    <cellStyle name="NormalUP 5 2" xfId="14270"/>
    <cellStyle name="Note" xfId="19650" builtinId="10" customBuiltin="1"/>
    <cellStyle name="Note 10" xfId="14271"/>
    <cellStyle name="Note 10 2" xfId="18627"/>
    <cellStyle name="Note 11" xfId="15999"/>
    <cellStyle name="Note 11 2" xfId="19471"/>
    <cellStyle name="Note 2" xfId="2339"/>
    <cellStyle name="Note 2 10" xfId="14272"/>
    <cellStyle name="Note 2 11" xfId="14273"/>
    <cellStyle name="Note 2 12" xfId="14274"/>
    <cellStyle name="Note 2 13" xfId="14275"/>
    <cellStyle name="Note 2 14" xfId="14276"/>
    <cellStyle name="Note 2 15" xfId="16081"/>
    <cellStyle name="Note 2 16" xfId="16271"/>
    <cellStyle name="Note 2 17" xfId="19691"/>
    <cellStyle name="Note 2 2" xfId="1699"/>
    <cellStyle name="Note 2 2 10" xfId="14277"/>
    <cellStyle name="Note 2 2 11" xfId="14278"/>
    <cellStyle name="Note 2 2 12" xfId="14279"/>
    <cellStyle name="Note 2 2 13" xfId="16281"/>
    <cellStyle name="Note 2 2 14" xfId="19695"/>
    <cellStyle name="Note 2 2 2" xfId="14280"/>
    <cellStyle name="Note 2 2 2 2" xfId="14281"/>
    <cellStyle name="Note 2 2 2 2 2" xfId="14282"/>
    <cellStyle name="Note 2 2 2 2 2 2" xfId="14283"/>
    <cellStyle name="Note 2 2 2 2 3" xfId="14284"/>
    <cellStyle name="Note 2 2 2 2 4" xfId="14285"/>
    <cellStyle name="Note 2 2 2 2 5" xfId="14286"/>
    <cellStyle name="Note 2 2 2 2 6" xfId="14287"/>
    <cellStyle name="Note 2 2 2 2 7" xfId="18401"/>
    <cellStyle name="Note 2 2 2 2 8" xfId="19864"/>
    <cellStyle name="Note 2 2 2 3" xfId="14288"/>
    <cellStyle name="Note 2 2 2 3 2" xfId="14289"/>
    <cellStyle name="Note 2 2 2 3 3" xfId="18737"/>
    <cellStyle name="Note 2 2 2 4" xfId="14290"/>
    <cellStyle name="Note 2 2 2 5" xfId="14291"/>
    <cellStyle name="Note 2 2 2 6" xfId="14292"/>
    <cellStyle name="Note 2 2 2 7" xfId="14293"/>
    <cellStyle name="Note 2 2 2 8" xfId="17596"/>
    <cellStyle name="Note 2 2 2 9" xfId="19773"/>
    <cellStyle name="Note 2 2 3" xfId="14294"/>
    <cellStyle name="Note 2 2 3 2" xfId="14295"/>
    <cellStyle name="Note 2 2 3 3" xfId="14296"/>
    <cellStyle name="Note 2 2 3 4" xfId="14297"/>
    <cellStyle name="Note 2 2 3 5" xfId="18000"/>
    <cellStyle name="Note 2 2 3 6" xfId="19800"/>
    <cellStyle name="Note 2 2 4" xfId="14298"/>
    <cellStyle name="Note 2 2 4 2" xfId="18675"/>
    <cellStyle name="Note 2 2 5" xfId="14299"/>
    <cellStyle name="Note 2 2 5 2" xfId="16751"/>
    <cellStyle name="Note 2 2 6" xfId="14300"/>
    <cellStyle name="Note 2 2 7" xfId="14301"/>
    <cellStyle name="Note 2 2 8" xfId="14302"/>
    <cellStyle name="Note 2 2 9" xfId="14303"/>
    <cellStyle name="Note 2 3" xfId="14304"/>
    <cellStyle name="Note 2 3 2" xfId="14305"/>
    <cellStyle name="Note 2 3 2 2" xfId="18391"/>
    <cellStyle name="Note 2 3 2 3" xfId="19127"/>
    <cellStyle name="Note 2 3 2 4" xfId="17586"/>
    <cellStyle name="Note 2 3 2 5" xfId="19810"/>
    <cellStyle name="Note 2 3 3" xfId="18053"/>
    <cellStyle name="Note 2 3 4" xfId="18644"/>
    <cellStyle name="Note 2 3 5" xfId="17083"/>
    <cellStyle name="Note 2 3 6" xfId="19749"/>
    <cellStyle name="Note 2 4" xfId="14306"/>
    <cellStyle name="Note 2 4 2" xfId="14307"/>
    <cellStyle name="Note 2 4 2 2" xfId="14308"/>
    <cellStyle name="Note 2 4 3" xfId="14309"/>
    <cellStyle name="Note 2 4 4" xfId="14310"/>
    <cellStyle name="Note 2 4 5" xfId="14311"/>
    <cellStyle name="Note 2 4 6" xfId="14312"/>
    <cellStyle name="Note 2 4 7" xfId="14313"/>
    <cellStyle name="Note 2 4 8" xfId="16923"/>
    <cellStyle name="Note 2 4 9" xfId="19792"/>
    <cellStyle name="Note 2 5" xfId="14314"/>
    <cellStyle name="Note 2 5 2" xfId="14315"/>
    <cellStyle name="Note 2 5 3" xfId="14316"/>
    <cellStyle name="Note 2 5 4" xfId="17999"/>
    <cellStyle name="Note 2 6" xfId="14317"/>
    <cellStyle name="Note 2 6 2" xfId="18646"/>
    <cellStyle name="Note 2 7" xfId="14318"/>
    <cellStyle name="Note 2 7 2" xfId="16750"/>
    <cellStyle name="Note 2 8" xfId="14319"/>
    <cellStyle name="Note 2 9" xfId="14320"/>
    <cellStyle name="Note 3" xfId="14321"/>
    <cellStyle name="Note 3 2" xfId="14322"/>
    <cellStyle name="Note 3 2 2" xfId="14323"/>
    <cellStyle name="Note 3 2 2 2" xfId="18429"/>
    <cellStyle name="Note 3 2 2 3" xfId="18739"/>
    <cellStyle name="Note 3 2 2 4" xfId="17624"/>
    <cellStyle name="Note 3 2 3" xfId="14324"/>
    <cellStyle name="Note 3 2 3 2" xfId="18002"/>
    <cellStyle name="Note 3 2 4" xfId="14325"/>
    <cellStyle name="Note 3 2 4 2" xfId="18677"/>
    <cellStyle name="Note 3 2 5" xfId="14326"/>
    <cellStyle name="Note 3 2 5 2" xfId="16753"/>
    <cellStyle name="Note 3 2 6" xfId="14327"/>
    <cellStyle name="Note 3 2 7" xfId="16311"/>
    <cellStyle name="Note 3 2 8" xfId="19793"/>
    <cellStyle name="Note 3 3" xfId="14328"/>
    <cellStyle name="Note 3 3 2" xfId="14329"/>
    <cellStyle name="Note 3 3 2 2" xfId="18390"/>
    <cellStyle name="Note 3 3 2 3" xfId="19126"/>
    <cellStyle name="Note 3 3 2 4" xfId="17585"/>
    <cellStyle name="Note 3 3 3" xfId="18052"/>
    <cellStyle name="Note 3 3 4" xfId="18707"/>
    <cellStyle name="Note 3 3 5" xfId="17082"/>
    <cellStyle name="Note 3 4" xfId="14330"/>
    <cellStyle name="Note 3 4 2" xfId="14331"/>
    <cellStyle name="Note 3 4 3" xfId="16960"/>
    <cellStyle name="Note 3 5" xfId="14332"/>
    <cellStyle name="Note 3 5 2" xfId="18001"/>
    <cellStyle name="Note 3 6" xfId="14333"/>
    <cellStyle name="Note 3 6 2" xfId="18648"/>
    <cellStyle name="Note 3 7" xfId="14334"/>
    <cellStyle name="Note 3 7 2" xfId="16752"/>
    <cellStyle name="Note 3 8" xfId="16270"/>
    <cellStyle name="Note 3 9" xfId="19750"/>
    <cellStyle name="Note 4" xfId="14335"/>
    <cellStyle name="Note 4 2" xfId="14336"/>
    <cellStyle name="Note 4 2 2" xfId="14337"/>
    <cellStyle name="Note 4 2 2 2" xfId="14338"/>
    <cellStyle name="Note 4 2 2 2 2" xfId="14339"/>
    <cellStyle name="Note 4 2 2 2 3" xfId="18452"/>
    <cellStyle name="Note 4 2 2 3" xfId="14340"/>
    <cellStyle name="Note 4 2 2 3 2" xfId="19174"/>
    <cellStyle name="Note 4 2 2 4" xfId="17647"/>
    <cellStyle name="Note 4 2 3" xfId="14341"/>
    <cellStyle name="Note 4 2 3 2" xfId="14342"/>
    <cellStyle name="Note 4 2 3 3" xfId="18092"/>
    <cellStyle name="Note 4 2 4" xfId="14343"/>
    <cellStyle name="Note 4 2 4 2" xfId="18825"/>
    <cellStyle name="Note 4 2 5" xfId="14344"/>
    <cellStyle name="Note 4 2 6" xfId="17130"/>
    <cellStyle name="Note 4 2 7" xfId="19812"/>
    <cellStyle name="Note 4 3" xfId="14345"/>
    <cellStyle name="Note 4 3 2" xfId="18691"/>
    <cellStyle name="Note 4 4" xfId="14346"/>
    <cellStyle name="Note 4 4 2" xfId="16904"/>
    <cellStyle name="Note 4 5" xfId="14347"/>
    <cellStyle name="Note 4 6" xfId="14348"/>
    <cellStyle name="Note 4 7" xfId="14349"/>
    <cellStyle name="Note 4 8" xfId="16335"/>
    <cellStyle name="Note 4 9" xfId="19748"/>
    <cellStyle name="Note 5" xfId="14350"/>
    <cellStyle name="Note 5 2" xfId="14351"/>
    <cellStyle name="Note 5 2 2" xfId="14352"/>
    <cellStyle name="Note 5 2 2 2" xfId="14353"/>
    <cellStyle name="Note 5 2 2 2 2" xfId="14354"/>
    <cellStyle name="Note 5 2 2 3" xfId="14355"/>
    <cellStyle name="Note 5 2 3" xfId="14356"/>
    <cellStyle name="Note 5 2 3 2" xfId="14357"/>
    <cellStyle name="Note 5 2 4" xfId="14358"/>
    <cellStyle name="Note 5 2 5" xfId="14359"/>
    <cellStyle name="Note 5 2 6" xfId="18019"/>
    <cellStyle name="Note 5 3" xfId="14360"/>
    <cellStyle name="Note 5 3 2" xfId="18777"/>
    <cellStyle name="Note 5 4" xfId="14361"/>
    <cellStyle name="Note 5 5" xfId="14362"/>
    <cellStyle name="Note 5 6" xfId="14363"/>
    <cellStyle name="Note 5 7" xfId="16875"/>
    <cellStyle name="Note 5 8" xfId="19791"/>
    <cellStyle name="Note 6" xfId="14364"/>
    <cellStyle name="Note 6 2" xfId="14365"/>
    <cellStyle name="Note 6 2 2" xfId="18256"/>
    <cellStyle name="Note 6 3" xfId="14366"/>
    <cellStyle name="Note 6 3 2" xfId="14367"/>
    <cellStyle name="Note 6 3 2 2" xfId="14368"/>
    <cellStyle name="Note 6 3 3" xfId="14369"/>
    <cellStyle name="Note 6 3 4" xfId="18992"/>
    <cellStyle name="Note 6 4" xfId="14370"/>
    <cellStyle name="Note 6 4 2" xfId="14371"/>
    <cellStyle name="Note 6 5" xfId="14372"/>
    <cellStyle name="Note 6 6" xfId="14373"/>
    <cellStyle name="Note 6 7" xfId="17451"/>
    <cellStyle name="Note 7" xfId="14374"/>
    <cellStyle name="Note 7 2" xfId="14375"/>
    <cellStyle name="Note 7 2 2" xfId="14376"/>
    <cellStyle name="Note 7 2 2 2" xfId="14377"/>
    <cellStyle name="Note 7 2 3" xfId="14378"/>
    <cellStyle name="Note 7 2 4" xfId="18565"/>
    <cellStyle name="Note 7 3" xfId="14379"/>
    <cellStyle name="Note 7 3 2" xfId="14380"/>
    <cellStyle name="Note 7 3 3" xfId="19287"/>
    <cellStyle name="Note 7 4" xfId="14381"/>
    <cellStyle name="Note 7 5" xfId="14382"/>
    <cellStyle name="Note 7 6" xfId="17760"/>
    <cellStyle name="Note 8" xfId="14383"/>
    <cellStyle name="Note 8 2" xfId="14384"/>
    <cellStyle name="Note 8 3" xfId="16557"/>
    <cellStyle name="Note 9" xfId="14385"/>
    <cellStyle name="Note 9 2" xfId="17944"/>
    <cellStyle name="nPlodedDetails" xfId="14386"/>
    <cellStyle name="NullValueStyle" xfId="14387"/>
    <cellStyle name="NullValueStyle 2" xfId="14388"/>
    <cellStyle name="NullValueStyle 3" xfId="14389"/>
    <cellStyle name="NullValueStyle 4" xfId="14390"/>
    <cellStyle name="ook63" xfId="14391"/>
    <cellStyle name="ook6D" xfId="14392"/>
    <cellStyle name="Output" xfId="19645" builtinId="21" customBuiltin="1"/>
    <cellStyle name="Output 10" xfId="14393"/>
    <cellStyle name="Output 11" xfId="16000"/>
    <cellStyle name="Output 12" xfId="16190"/>
    <cellStyle name="Output 2" xfId="1700"/>
    <cellStyle name="Output 2 2" xfId="14394"/>
    <cellStyle name="Output 2 2 2" xfId="14395"/>
    <cellStyle name="Output 2 2 3" xfId="14396"/>
    <cellStyle name="Output 2 3" xfId="14397"/>
    <cellStyle name="Output 2 3 2" xfId="14398"/>
    <cellStyle name="Output 2 4" xfId="14399"/>
    <cellStyle name="Output 2 5" xfId="14400"/>
    <cellStyle name="Output 2 6" xfId="14401"/>
    <cellStyle name="Output 2 7" xfId="14402"/>
    <cellStyle name="Output 2 8" xfId="14403"/>
    <cellStyle name="Output 2 9" xfId="19830"/>
    <cellStyle name="Output 3" xfId="14404"/>
    <cellStyle name="Output 3 2" xfId="14405"/>
    <cellStyle name="Output 3 2 2" xfId="14406"/>
    <cellStyle name="Output 3 3" xfId="14407"/>
    <cellStyle name="Output 3 4" xfId="14408"/>
    <cellStyle name="Output 3 5" xfId="14409"/>
    <cellStyle name="Output 3 6" xfId="16961"/>
    <cellStyle name="Output 4" xfId="14410"/>
    <cellStyle name="Output 4 2" xfId="14411"/>
    <cellStyle name="Output 4 2 2" xfId="14412"/>
    <cellStyle name="Output 4 3" xfId="14413"/>
    <cellStyle name="Output 4 4" xfId="16905"/>
    <cellStyle name="Output 5" xfId="14414"/>
    <cellStyle name="Output 5 2" xfId="14415"/>
    <cellStyle name="Output 5 3" xfId="16524"/>
    <cellStyle name="Output 6" xfId="14416"/>
    <cellStyle name="Output 7" xfId="14417"/>
    <cellStyle name="Output 8" xfId="14418"/>
    <cellStyle name="Output 9" xfId="14419"/>
    <cellStyle name="pb_page_heading_LS" xfId="2340"/>
    <cellStyle name="Percen - Style1" xfId="14420"/>
    <cellStyle name="Percen - Style2" xfId="1701"/>
    <cellStyle name="Percent" xfId="1702" builtinId="5"/>
    <cellStyle name="Percent (0)" xfId="14421"/>
    <cellStyle name="Percent (2)" xfId="14422"/>
    <cellStyle name="Percent .00" xfId="14423"/>
    <cellStyle name="Percent .00 2" xfId="14424"/>
    <cellStyle name="Percent .00 3" xfId="14425"/>
    <cellStyle name="Percent .00 3 2" xfId="14426"/>
    <cellStyle name="Percent .00 4" xfId="14427"/>
    <cellStyle name="Percent .00 4 2" xfId="14428"/>
    <cellStyle name="Percent .00 5" xfId="14429"/>
    <cellStyle name="Percent .00 5 2" xfId="14430"/>
    <cellStyle name="Percent .n" xfId="14431"/>
    <cellStyle name="Percent [0%]" xfId="2341"/>
    <cellStyle name="Percent [0.00%]" xfId="2342"/>
    <cellStyle name="Percent [2]" xfId="1703"/>
    <cellStyle name="Percent [2] 10" xfId="14432"/>
    <cellStyle name="Percent [2] 11" xfId="14433"/>
    <cellStyle name="Percent [2] 12" xfId="14434"/>
    <cellStyle name="Percent [2] 13" xfId="14435"/>
    <cellStyle name="Percent [2] 14" xfId="14436"/>
    <cellStyle name="Percent [2] 15" xfId="14437"/>
    <cellStyle name="Percent [2] 16" xfId="14438"/>
    <cellStyle name="Percent [2] 17" xfId="14439"/>
    <cellStyle name="Percent [2] 18" xfId="14440"/>
    <cellStyle name="Percent [2] 19" xfId="14441"/>
    <cellStyle name="Percent [2] 2" xfId="14442"/>
    <cellStyle name="Percent [2] 20" xfId="14443"/>
    <cellStyle name="Percent [2] 21" xfId="14444"/>
    <cellStyle name="Percent [2] 22" xfId="14445"/>
    <cellStyle name="Percent [2] 23" xfId="14446"/>
    <cellStyle name="Percent [2] 24" xfId="14447"/>
    <cellStyle name="Percent [2] 25" xfId="14448"/>
    <cellStyle name="Percent [2] 26" xfId="14449"/>
    <cellStyle name="Percent [2] 27" xfId="14450"/>
    <cellStyle name="Percent [2] 28" xfId="14451"/>
    <cellStyle name="Percent [2] 29" xfId="14452"/>
    <cellStyle name="Percent [2] 3" xfId="14453"/>
    <cellStyle name="Percent [2] 3 2" xfId="14454"/>
    <cellStyle name="Percent [2] 30" xfId="14455"/>
    <cellStyle name="Percent [2] 31" xfId="14456"/>
    <cellStyle name="Percent [2] 32" xfId="14457"/>
    <cellStyle name="Percent [2] 32 2" xfId="14458"/>
    <cellStyle name="Percent [2] 32 3" xfId="14459"/>
    <cellStyle name="Percent [2] 33" xfId="14460"/>
    <cellStyle name="Percent [2] 34" xfId="14461"/>
    <cellStyle name="Percent [2] 35" xfId="14462"/>
    <cellStyle name="Percent [2] 4" xfId="14463"/>
    <cellStyle name="Percent [2] 4 2" xfId="14464"/>
    <cellStyle name="Percent [2] 5" xfId="14465"/>
    <cellStyle name="Percent [2] 5 2" xfId="14466"/>
    <cellStyle name="Percent [2] 6" xfId="14467"/>
    <cellStyle name="Percent [2] 7" xfId="14468"/>
    <cellStyle name="Percent [2] 8" xfId="14469"/>
    <cellStyle name="Percent [2] 8 2" xfId="14470"/>
    <cellStyle name="Percent [2] 9" xfId="14471"/>
    <cellStyle name="Percent [n" xfId="14472"/>
    <cellStyle name="Percent 0%" xfId="1704"/>
    <cellStyle name="Percent 10" xfId="1705"/>
    <cellStyle name="Percent 10 2" xfId="14473"/>
    <cellStyle name="Percent 10 2 2" xfId="14474"/>
    <cellStyle name="Percent 10 2 2 2" xfId="14475"/>
    <cellStyle name="Percent 10 2 3" xfId="14476"/>
    <cellStyle name="Percent 10 2 4" xfId="14477"/>
    <cellStyle name="Percent 10 3" xfId="14478"/>
    <cellStyle name="Percent 10 3 2" xfId="14479"/>
    <cellStyle name="Percent 10 3 3" xfId="14480"/>
    <cellStyle name="Percent 10 4" xfId="14481"/>
    <cellStyle name="Percent 10 5" xfId="14482"/>
    <cellStyle name="Percent 10 6" xfId="14483"/>
    <cellStyle name="Percent 10 7" xfId="14484"/>
    <cellStyle name="Percent 10 8" xfId="14485"/>
    <cellStyle name="Percent 100" xfId="14486"/>
    <cellStyle name="Percent 101" xfId="14487"/>
    <cellStyle name="Percent 102" xfId="14488"/>
    <cellStyle name="Percent 103" xfId="14489"/>
    <cellStyle name="Percent 104" xfId="14490"/>
    <cellStyle name="Percent 105" xfId="14491"/>
    <cellStyle name="Percent 106" xfId="14492"/>
    <cellStyle name="Percent 107" xfId="14493"/>
    <cellStyle name="Percent 108" xfId="14494"/>
    <cellStyle name="Percent 109" xfId="14495"/>
    <cellStyle name="Percent 11" xfId="1706"/>
    <cellStyle name="Percent 11 2" xfId="14496"/>
    <cellStyle name="Percent 11 2 2" xfId="14497"/>
    <cellStyle name="Percent 11 2 2 2" xfId="14498"/>
    <cellStyle name="Percent 11 2 3" xfId="14499"/>
    <cellStyle name="Percent 11 2 4" xfId="14500"/>
    <cellStyle name="Percent 11 2 5" xfId="14501"/>
    <cellStyle name="Percent 11 3" xfId="14502"/>
    <cellStyle name="Percent 11 3 2" xfId="14503"/>
    <cellStyle name="Percent 11 4" xfId="14504"/>
    <cellStyle name="Percent 11 4 2" xfId="14505"/>
    <cellStyle name="Percent 11 5" xfId="14506"/>
    <cellStyle name="Percent 11 6" xfId="14507"/>
    <cellStyle name="Percent 11 7" xfId="14508"/>
    <cellStyle name="Percent 11 8" xfId="14509"/>
    <cellStyle name="Percent 110" xfId="14510"/>
    <cellStyle name="Percent 111" xfId="14511"/>
    <cellStyle name="Percent 112" xfId="14512"/>
    <cellStyle name="Percent 113" xfId="14513"/>
    <cellStyle name="Percent 114" xfId="14514"/>
    <cellStyle name="Percent 115" xfId="14515"/>
    <cellStyle name="Percent 116" xfId="14516"/>
    <cellStyle name="Percent 117" xfId="14517"/>
    <cellStyle name="Percent 118" xfId="14518"/>
    <cellStyle name="Percent 119" xfId="14519"/>
    <cellStyle name="Percent 12" xfId="1707"/>
    <cellStyle name="Percent 12 2" xfId="14520"/>
    <cellStyle name="Percent 12 2 2" xfId="14521"/>
    <cellStyle name="Percent 12 2 3" xfId="14522"/>
    <cellStyle name="Percent 12 3" xfId="14523"/>
    <cellStyle name="Percent 12 3 2" xfId="14524"/>
    <cellStyle name="Percent 12 4" xfId="14525"/>
    <cellStyle name="Percent 12 4 2" xfId="14526"/>
    <cellStyle name="Percent 12 5" xfId="14527"/>
    <cellStyle name="Percent 12 6" xfId="14528"/>
    <cellStyle name="Percent 12 7" xfId="14529"/>
    <cellStyle name="Percent 12 8" xfId="14530"/>
    <cellStyle name="Percent 120" xfId="14531"/>
    <cellStyle name="Percent 121" xfId="14532"/>
    <cellStyle name="Percent 122" xfId="14533"/>
    <cellStyle name="Percent 123" xfId="14534"/>
    <cellStyle name="Percent 124" xfId="14535"/>
    <cellStyle name="Percent 125" xfId="14536"/>
    <cellStyle name="Percent 126" xfId="14537"/>
    <cellStyle name="Percent 127" xfId="14538"/>
    <cellStyle name="Percent 128" xfId="14539"/>
    <cellStyle name="Percent 129" xfId="14540"/>
    <cellStyle name="Percent 13" xfId="1708"/>
    <cellStyle name="Percent 13 10" xfId="1709"/>
    <cellStyle name="Percent 13 11" xfId="1710"/>
    <cellStyle name="Percent 13 12" xfId="1711"/>
    <cellStyle name="Percent 13 13" xfId="1712"/>
    <cellStyle name="Percent 13 14" xfId="1713"/>
    <cellStyle name="Percent 13 15" xfId="1714"/>
    <cellStyle name="Percent 13 16" xfId="14541"/>
    <cellStyle name="Percent 13 17" xfId="14542"/>
    <cellStyle name="Percent 13 18" xfId="16133"/>
    <cellStyle name="Percent 13 2" xfId="1715"/>
    <cellStyle name="Percent 13 2 2" xfId="14543"/>
    <cellStyle name="Percent 13 2 3" xfId="14544"/>
    <cellStyle name="Percent 13 2 4" xfId="14545"/>
    <cellStyle name="Percent 13 3" xfId="1716"/>
    <cellStyle name="Percent 13 3 2" xfId="14546"/>
    <cellStyle name="Percent 13 3 3" xfId="14547"/>
    <cellStyle name="Percent 13 4" xfId="1717"/>
    <cellStyle name="Percent 13 4 2" xfId="14548"/>
    <cellStyle name="Percent 13 4 3" xfId="14549"/>
    <cellStyle name="Percent 13 5" xfId="1718"/>
    <cellStyle name="Percent 13 5 2" xfId="14550"/>
    <cellStyle name="Percent 13 5 3" xfId="14551"/>
    <cellStyle name="Percent 13 6" xfId="1719"/>
    <cellStyle name="Percent 13 6 2" xfId="14552"/>
    <cellStyle name="Percent 13 6 3" xfId="14553"/>
    <cellStyle name="Percent 13 7" xfId="1720"/>
    <cellStyle name="Percent 13 8" xfId="1721"/>
    <cellStyle name="Percent 13 9" xfId="1722"/>
    <cellStyle name="Percent 130" xfId="14554"/>
    <cellStyle name="Percent 131" xfId="14555"/>
    <cellStyle name="Percent 132" xfId="14556"/>
    <cellStyle name="Percent 133" xfId="14557"/>
    <cellStyle name="Percent 134" xfId="14558"/>
    <cellStyle name="Percent 135" xfId="14559"/>
    <cellStyle name="Percent 136" xfId="14560"/>
    <cellStyle name="Percent 137" xfId="14561"/>
    <cellStyle name="Percent 138" xfId="14562"/>
    <cellStyle name="Percent 139" xfId="14563"/>
    <cellStyle name="Percent 14" xfId="1723"/>
    <cellStyle name="Percent 14 10" xfId="1724"/>
    <cellStyle name="Percent 14 11" xfId="1725"/>
    <cellStyle name="Percent 14 12" xfId="1726"/>
    <cellStyle name="Percent 14 13" xfId="1727"/>
    <cellStyle name="Percent 14 14" xfId="1728"/>
    <cellStyle name="Percent 14 15" xfId="1729"/>
    <cellStyle name="Percent 14 16" xfId="14564"/>
    <cellStyle name="Percent 14 17" xfId="14565"/>
    <cellStyle name="Percent 14 18" xfId="16134"/>
    <cellStyle name="Percent 14 2" xfId="1730"/>
    <cellStyle name="Percent 14 2 2" xfId="14566"/>
    <cellStyle name="Percent 14 2 3" xfId="14567"/>
    <cellStyle name="Percent 14 2 4" xfId="14568"/>
    <cellStyle name="Percent 14 3" xfId="1731"/>
    <cellStyle name="Percent 14 3 2" xfId="14569"/>
    <cellStyle name="Percent 14 3 3" xfId="14570"/>
    <cellStyle name="Percent 14 4" xfId="1732"/>
    <cellStyle name="Percent 14 4 2" xfId="14571"/>
    <cellStyle name="Percent 14 4 3" xfId="14572"/>
    <cellStyle name="Percent 14 5" xfId="1733"/>
    <cellStyle name="Percent 14 5 2" xfId="14573"/>
    <cellStyle name="Percent 14 5 3" xfId="14574"/>
    <cellStyle name="Percent 14 6" xfId="1734"/>
    <cellStyle name="Percent 14 6 2" xfId="14575"/>
    <cellStyle name="Percent 14 6 3" xfId="14576"/>
    <cellStyle name="Percent 14 7" xfId="1735"/>
    <cellStyle name="Percent 14 8" xfId="1736"/>
    <cellStyle name="Percent 14 9" xfId="1737"/>
    <cellStyle name="Percent 140" xfId="14577"/>
    <cellStyle name="Percent 141" xfId="14578"/>
    <cellStyle name="Percent 142" xfId="14579"/>
    <cellStyle name="Percent 143" xfId="14580"/>
    <cellStyle name="Percent 144" xfId="14581"/>
    <cellStyle name="Percent 145" xfId="14582"/>
    <cellStyle name="Percent 146" xfId="14583"/>
    <cellStyle name="Percent 147" xfId="14584"/>
    <cellStyle name="Percent 148" xfId="14585"/>
    <cellStyle name="Percent 149" xfId="14586"/>
    <cellStyle name="Percent 149 2" xfId="14587"/>
    <cellStyle name="Percent 15" xfId="1738"/>
    <cellStyle name="Percent 15 10" xfId="1739"/>
    <cellStyle name="Percent 15 11" xfId="1740"/>
    <cellStyle name="Percent 15 12" xfId="1741"/>
    <cellStyle name="Percent 15 13" xfId="1742"/>
    <cellStyle name="Percent 15 14" xfId="1743"/>
    <cellStyle name="Percent 15 15" xfId="1744"/>
    <cellStyle name="Percent 15 16" xfId="14588"/>
    <cellStyle name="Percent 15 17" xfId="14589"/>
    <cellStyle name="Percent 15 18" xfId="16135"/>
    <cellStyle name="Percent 15 2" xfId="1745"/>
    <cellStyle name="Percent 15 2 2" xfId="14590"/>
    <cellStyle name="Percent 15 2 3" xfId="14591"/>
    <cellStyle name="Percent 15 2 4" xfId="14592"/>
    <cellStyle name="Percent 15 2 5" xfId="14593"/>
    <cellStyle name="Percent 15 2 6" xfId="14594"/>
    <cellStyle name="Percent 15 2 7" xfId="14595"/>
    <cellStyle name="Percent 15 3" xfId="1746"/>
    <cellStyle name="Percent 15 3 2" xfId="14596"/>
    <cellStyle name="Percent 15 3 3" xfId="14597"/>
    <cellStyle name="Percent 15 4" xfId="1747"/>
    <cellStyle name="Percent 15 4 2" xfId="14598"/>
    <cellStyle name="Percent 15 4 3" xfId="14599"/>
    <cellStyle name="Percent 15 5" xfId="1748"/>
    <cellStyle name="Percent 15 5 2" xfId="14600"/>
    <cellStyle name="Percent 15 5 3" xfId="14601"/>
    <cellStyle name="Percent 15 6" xfId="1749"/>
    <cellStyle name="Percent 15 6 2" xfId="14602"/>
    <cellStyle name="Percent 15 6 3" xfId="14603"/>
    <cellStyle name="Percent 15 7" xfId="1750"/>
    <cellStyle name="Percent 15 7 2" xfId="14604"/>
    <cellStyle name="Percent 15 7 3" xfId="14605"/>
    <cellStyle name="Percent 15 8" xfId="1751"/>
    <cellStyle name="Percent 15 8 2" xfId="14606"/>
    <cellStyle name="Percent 15 8 3" xfId="14607"/>
    <cellStyle name="Percent 15 9" xfId="1752"/>
    <cellStyle name="Percent 150" xfId="14608"/>
    <cellStyle name="Percent 150 2" xfId="14609"/>
    <cellStyle name="Percent 151" xfId="14610"/>
    <cellStyle name="Percent 152" xfId="14611"/>
    <cellStyle name="Percent 153" xfId="14612"/>
    <cellStyle name="Percent 153 2" xfId="14613"/>
    <cellStyle name="Percent 153 3" xfId="14614"/>
    <cellStyle name="Percent 154" xfId="14615"/>
    <cellStyle name="Percent 154 2" xfId="14616"/>
    <cellStyle name="Percent 154 3" xfId="14617"/>
    <cellStyle name="Percent 155" xfId="14618"/>
    <cellStyle name="Percent 156" xfId="14619"/>
    <cellStyle name="Percent 157" xfId="14620"/>
    <cellStyle name="Percent 158" xfId="14621"/>
    <cellStyle name="Percent 159" xfId="14622"/>
    <cellStyle name="Percent 16" xfId="1753"/>
    <cellStyle name="Percent 16 10" xfId="1754"/>
    <cellStyle name="Percent 16 11" xfId="1755"/>
    <cellStyle name="Percent 16 12" xfId="1756"/>
    <cellStyle name="Percent 16 13" xfId="1757"/>
    <cellStyle name="Percent 16 14" xfId="1758"/>
    <cellStyle name="Percent 16 15" xfId="1759"/>
    <cellStyle name="Percent 16 16" xfId="14623"/>
    <cellStyle name="Percent 16 17" xfId="14624"/>
    <cellStyle name="Percent 16 18" xfId="16136"/>
    <cellStyle name="Percent 16 2" xfId="1760"/>
    <cellStyle name="Percent 16 2 2" xfId="14625"/>
    <cellStyle name="Percent 16 2 3" xfId="14626"/>
    <cellStyle name="Percent 16 2 4" xfId="14627"/>
    <cellStyle name="Percent 16 2 5" xfId="14628"/>
    <cellStyle name="Percent 16 2 6" xfId="14629"/>
    <cellStyle name="Percent 16 3" xfId="1761"/>
    <cellStyle name="Percent 16 3 2" xfId="14630"/>
    <cellStyle name="Percent 16 3 3" xfId="14631"/>
    <cellStyle name="Percent 16 4" xfId="1762"/>
    <cellStyle name="Percent 16 4 2" xfId="14632"/>
    <cellStyle name="Percent 16 4 3" xfId="14633"/>
    <cellStyle name="Percent 16 5" xfId="1763"/>
    <cellStyle name="Percent 16 5 2" xfId="14634"/>
    <cellStyle name="Percent 16 5 3" xfId="14635"/>
    <cellStyle name="Percent 16 6" xfId="1764"/>
    <cellStyle name="Percent 16 6 2" xfId="14636"/>
    <cellStyle name="Percent 16 6 3" xfId="14637"/>
    <cellStyle name="Percent 16 7" xfId="1765"/>
    <cellStyle name="Percent 16 7 2" xfId="14638"/>
    <cellStyle name="Percent 16 7 3" xfId="14639"/>
    <cellStyle name="Percent 16 8" xfId="1766"/>
    <cellStyle name="Percent 16 9" xfId="1767"/>
    <cellStyle name="Percent 160" xfId="14640"/>
    <cellStyle name="Percent 161" xfId="14641"/>
    <cellStyle name="Percent 162" xfId="14642"/>
    <cellStyle name="Percent 163" xfId="14643"/>
    <cellStyle name="Percent 164" xfId="14644"/>
    <cellStyle name="Percent 165" xfId="14645"/>
    <cellStyle name="Percent 166" xfId="14646"/>
    <cellStyle name="Percent 167" xfId="14647"/>
    <cellStyle name="Percent 168" xfId="14648"/>
    <cellStyle name="Percent 169" xfId="14649"/>
    <cellStyle name="Percent 17" xfId="1768"/>
    <cellStyle name="Percent 17 10" xfId="1769"/>
    <cellStyle name="Percent 17 11" xfId="1770"/>
    <cellStyle name="Percent 17 12" xfId="1771"/>
    <cellStyle name="Percent 17 13" xfId="1772"/>
    <cellStyle name="Percent 17 14" xfId="1773"/>
    <cellStyle name="Percent 17 15" xfId="1774"/>
    <cellStyle name="Percent 17 16" xfId="14650"/>
    <cellStyle name="Percent 17 17" xfId="14651"/>
    <cellStyle name="Percent 17 18" xfId="16137"/>
    <cellStyle name="Percent 17 2" xfId="1775"/>
    <cellStyle name="Percent 17 2 2" xfId="14652"/>
    <cellStyle name="Percent 17 2 3" xfId="14653"/>
    <cellStyle name="Percent 17 3" xfId="1776"/>
    <cellStyle name="Percent 17 3 2" xfId="14654"/>
    <cellStyle name="Percent 17 3 3" xfId="14655"/>
    <cellStyle name="Percent 17 4" xfId="1777"/>
    <cellStyle name="Percent 17 4 2" xfId="14656"/>
    <cellStyle name="Percent 17 4 3" xfId="14657"/>
    <cellStyle name="Percent 17 5" xfId="1778"/>
    <cellStyle name="Percent 17 5 2" xfId="14658"/>
    <cellStyle name="Percent 17 5 3" xfId="14659"/>
    <cellStyle name="Percent 17 6" xfId="1779"/>
    <cellStyle name="Percent 17 6 2" xfId="14660"/>
    <cellStyle name="Percent 17 6 3" xfId="14661"/>
    <cellStyle name="Percent 17 7" xfId="1780"/>
    <cellStyle name="Percent 17 8" xfId="1781"/>
    <cellStyle name="Percent 17 9" xfId="1782"/>
    <cellStyle name="Percent 170" xfId="14662"/>
    <cellStyle name="Percent 171" xfId="14663"/>
    <cellStyle name="Percent 172" xfId="14664"/>
    <cellStyle name="Percent 173" xfId="14665"/>
    <cellStyle name="Percent 174" xfId="14666"/>
    <cellStyle name="Percent 175" xfId="14667"/>
    <cellStyle name="Percent 176" xfId="14668"/>
    <cellStyle name="Percent 177" xfId="14669"/>
    <cellStyle name="Percent 178" xfId="14670"/>
    <cellStyle name="Percent 179" xfId="14671"/>
    <cellStyle name="Percent 18" xfId="1783"/>
    <cellStyle name="Percent 18 10" xfId="1784"/>
    <cellStyle name="Percent 18 11" xfId="1785"/>
    <cellStyle name="Percent 18 12" xfId="1786"/>
    <cellStyle name="Percent 18 13" xfId="1787"/>
    <cellStyle name="Percent 18 14" xfId="1788"/>
    <cellStyle name="Percent 18 15" xfId="1789"/>
    <cellStyle name="Percent 18 16" xfId="14672"/>
    <cellStyle name="Percent 18 17" xfId="14673"/>
    <cellStyle name="Percent 18 18" xfId="16138"/>
    <cellStyle name="Percent 18 2" xfId="1790"/>
    <cellStyle name="Percent 18 2 2" xfId="14674"/>
    <cellStyle name="Percent 18 2 3" xfId="14675"/>
    <cellStyle name="Percent 18 3" xfId="1791"/>
    <cellStyle name="Percent 18 3 2" xfId="14676"/>
    <cellStyle name="Percent 18 3 3" xfId="14677"/>
    <cellStyle name="Percent 18 4" xfId="1792"/>
    <cellStyle name="Percent 18 4 2" xfId="14678"/>
    <cellStyle name="Percent 18 4 3" xfId="14679"/>
    <cellStyle name="Percent 18 5" xfId="1793"/>
    <cellStyle name="Percent 18 5 2" xfId="14680"/>
    <cellStyle name="Percent 18 5 3" xfId="14681"/>
    <cellStyle name="Percent 18 6" xfId="1794"/>
    <cellStyle name="Percent 18 6 2" xfId="14682"/>
    <cellStyle name="Percent 18 6 3" xfId="14683"/>
    <cellStyle name="Percent 18 7" xfId="1795"/>
    <cellStyle name="Percent 18 8" xfId="1796"/>
    <cellStyle name="Percent 18 9" xfId="1797"/>
    <cellStyle name="Percent 180" xfId="14684"/>
    <cellStyle name="Percent 181" xfId="14685"/>
    <cellStyle name="Percent 182" xfId="16132"/>
    <cellStyle name="Percent 183" xfId="16338"/>
    <cellStyle name="Percent 184" xfId="19552"/>
    <cellStyle name="Percent 185" xfId="19596"/>
    <cellStyle name="Percent 186" xfId="19593"/>
    <cellStyle name="Percent 187" xfId="19681"/>
    <cellStyle name="Percent 188" xfId="19684"/>
    <cellStyle name="Percent 189" xfId="19685"/>
    <cellStyle name="Percent 19" xfId="1798"/>
    <cellStyle name="Percent 19 10" xfId="1799"/>
    <cellStyle name="Percent 19 11" xfId="1800"/>
    <cellStyle name="Percent 19 12" xfId="1801"/>
    <cellStyle name="Percent 19 13" xfId="1802"/>
    <cellStyle name="Percent 19 14" xfId="1803"/>
    <cellStyle name="Percent 19 15" xfId="1804"/>
    <cellStyle name="Percent 19 16" xfId="14686"/>
    <cellStyle name="Percent 19 17" xfId="14687"/>
    <cellStyle name="Percent 19 18" xfId="16139"/>
    <cellStyle name="Percent 19 2" xfId="1805"/>
    <cellStyle name="Percent 19 2 2" xfId="14688"/>
    <cellStyle name="Percent 19 2 3" xfId="14689"/>
    <cellStyle name="Percent 19 3" xfId="1806"/>
    <cellStyle name="Percent 19 3 2" xfId="14690"/>
    <cellStyle name="Percent 19 3 3" xfId="14691"/>
    <cellStyle name="Percent 19 4" xfId="1807"/>
    <cellStyle name="Percent 19 4 2" xfId="14692"/>
    <cellStyle name="Percent 19 4 3" xfId="14693"/>
    <cellStyle name="Percent 19 5" xfId="1808"/>
    <cellStyle name="Percent 19 5 2" xfId="14694"/>
    <cellStyle name="Percent 19 5 3" xfId="14695"/>
    <cellStyle name="Percent 19 6" xfId="1809"/>
    <cellStyle name="Percent 19 6 2" xfId="14696"/>
    <cellStyle name="Percent 19 6 3" xfId="14697"/>
    <cellStyle name="Percent 19 7" xfId="1810"/>
    <cellStyle name="Percent 19 8" xfId="1811"/>
    <cellStyle name="Percent 19 9" xfId="1812"/>
    <cellStyle name="Percent 190" xfId="19870"/>
    <cellStyle name="Percent 191" xfId="19873"/>
    <cellStyle name="Percent 192" xfId="19876"/>
    <cellStyle name="Percent 193" xfId="19881"/>
    <cellStyle name="Percent 194" xfId="19886"/>
    <cellStyle name="Percent 195" xfId="19889"/>
    <cellStyle name="Percent 196" xfId="19892"/>
    <cellStyle name="Percent 197" xfId="19895"/>
    <cellStyle name="Percent 198" xfId="19898"/>
    <cellStyle name="Percent 199" xfId="19901"/>
    <cellStyle name="Percent 2" xfId="1813"/>
    <cellStyle name="Percent 2 10" xfId="14698"/>
    <cellStyle name="Percent 2 11" xfId="14699"/>
    <cellStyle name="Percent 2 12" xfId="14700"/>
    <cellStyle name="Percent 2 13" xfId="14701"/>
    <cellStyle name="Percent 2 2" xfId="1814"/>
    <cellStyle name="Percent 2 2 2" xfId="1815"/>
    <cellStyle name="Percent 2 2 2 2" xfId="14702"/>
    <cellStyle name="Percent 2 2 2 3" xfId="14703"/>
    <cellStyle name="Percent 2 2 2 4" xfId="14704"/>
    <cellStyle name="Percent 2 2 3" xfId="14705"/>
    <cellStyle name="Percent 2 2 4" xfId="14706"/>
    <cellStyle name="Percent 2 2 5" xfId="14707"/>
    <cellStyle name="Percent 2 2 6" xfId="14708"/>
    <cellStyle name="Percent 2 2 7" xfId="14709"/>
    <cellStyle name="Percent 2 3" xfId="1816"/>
    <cellStyle name="Percent 2 3 2" xfId="14710"/>
    <cellStyle name="Percent 2 3 2 2" xfId="16971"/>
    <cellStyle name="Percent 2 3 3" xfId="14711"/>
    <cellStyle name="Percent 2 3 4" xfId="14712"/>
    <cellStyle name="Percent 2 3 5" xfId="16933"/>
    <cellStyle name="Percent 2 4" xfId="1817"/>
    <cellStyle name="Percent 2 4 2" xfId="14713"/>
    <cellStyle name="Percent 2 4 3" xfId="14714"/>
    <cellStyle name="Percent 2 4 4" xfId="14715"/>
    <cellStyle name="Percent 2 5" xfId="14716"/>
    <cellStyle name="Percent 2 6" xfId="14717"/>
    <cellStyle name="Percent 2 7" xfId="14718"/>
    <cellStyle name="Percent 2 8" xfId="14719"/>
    <cellStyle name="Percent 2 9" xfId="14720"/>
    <cellStyle name="Percent 20" xfId="1818"/>
    <cellStyle name="Percent 20 10" xfId="1819"/>
    <cellStyle name="Percent 20 11" xfId="1820"/>
    <cellStyle name="Percent 20 12" xfId="1821"/>
    <cellStyle name="Percent 20 13" xfId="1822"/>
    <cellStyle name="Percent 20 14" xfId="1823"/>
    <cellStyle name="Percent 20 15" xfId="1824"/>
    <cellStyle name="Percent 20 16" xfId="14721"/>
    <cellStyle name="Percent 20 17" xfId="14722"/>
    <cellStyle name="Percent 20 18" xfId="16140"/>
    <cellStyle name="Percent 20 2" xfId="1825"/>
    <cellStyle name="Percent 20 2 2" xfId="14723"/>
    <cellStyle name="Percent 20 2 3" xfId="14724"/>
    <cellStyle name="Percent 20 3" xfId="1826"/>
    <cellStyle name="Percent 20 3 2" xfId="14725"/>
    <cellStyle name="Percent 20 3 3" xfId="14726"/>
    <cellStyle name="Percent 20 4" xfId="1827"/>
    <cellStyle name="Percent 20 4 2" xfId="14727"/>
    <cellStyle name="Percent 20 4 3" xfId="14728"/>
    <cellStyle name="Percent 20 5" xfId="1828"/>
    <cellStyle name="Percent 20 5 2" xfId="14729"/>
    <cellStyle name="Percent 20 5 3" xfId="14730"/>
    <cellStyle name="Percent 20 6" xfId="1829"/>
    <cellStyle name="Percent 20 6 2" xfId="14731"/>
    <cellStyle name="Percent 20 6 3" xfId="14732"/>
    <cellStyle name="Percent 20 7" xfId="1830"/>
    <cellStyle name="Percent 20 8" xfId="1831"/>
    <cellStyle name="Percent 20 9" xfId="1832"/>
    <cellStyle name="Percent 200" xfId="19904"/>
    <cellStyle name="Percent 201" xfId="19907"/>
    <cellStyle name="Percent 202" xfId="19910"/>
    <cellStyle name="Percent 21" xfId="1833"/>
    <cellStyle name="Percent 21 10" xfId="1834"/>
    <cellStyle name="Percent 21 11" xfId="1835"/>
    <cellStyle name="Percent 21 12" xfId="1836"/>
    <cellStyle name="Percent 21 13" xfId="1837"/>
    <cellStyle name="Percent 21 14" xfId="1838"/>
    <cellStyle name="Percent 21 15" xfId="1839"/>
    <cellStyle name="Percent 21 16" xfId="14733"/>
    <cellStyle name="Percent 21 17" xfId="14734"/>
    <cellStyle name="Percent 21 18" xfId="16141"/>
    <cellStyle name="Percent 21 2" xfId="1840"/>
    <cellStyle name="Percent 21 2 2" xfId="14735"/>
    <cellStyle name="Percent 21 2 3" xfId="14736"/>
    <cellStyle name="Percent 21 3" xfId="1841"/>
    <cellStyle name="Percent 21 3 2" xfId="14737"/>
    <cellStyle name="Percent 21 3 3" xfId="14738"/>
    <cellStyle name="Percent 21 4" xfId="1842"/>
    <cellStyle name="Percent 21 4 2" xfId="14739"/>
    <cellStyle name="Percent 21 4 3" xfId="14740"/>
    <cellStyle name="Percent 21 5" xfId="1843"/>
    <cellStyle name="Percent 21 5 2" xfId="14741"/>
    <cellStyle name="Percent 21 5 3" xfId="14742"/>
    <cellStyle name="Percent 21 6" xfId="1844"/>
    <cellStyle name="Percent 21 6 2" xfId="14743"/>
    <cellStyle name="Percent 21 6 3" xfId="14744"/>
    <cellStyle name="Percent 21 7" xfId="1845"/>
    <cellStyle name="Percent 21 8" xfId="1846"/>
    <cellStyle name="Percent 21 9" xfId="1847"/>
    <cellStyle name="Percent 22" xfId="1848"/>
    <cellStyle name="Percent 22 10" xfId="1849"/>
    <cellStyle name="Percent 22 11" xfId="1850"/>
    <cellStyle name="Percent 22 12" xfId="1851"/>
    <cellStyle name="Percent 22 13" xfId="1852"/>
    <cellStyle name="Percent 22 14" xfId="1853"/>
    <cellStyle name="Percent 22 15" xfId="1854"/>
    <cellStyle name="Percent 22 16" xfId="14745"/>
    <cellStyle name="Percent 22 17" xfId="14746"/>
    <cellStyle name="Percent 22 18" xfId="16142"/>
    <cellStyle name="Percent 22 2" xfId="1855"/>
    <cellStyle name="Percent 22 2 2" xfId="14747"/>
    <cellStyle name="Percent 22 2 3" xfId="14748"/>
    <cellStyle name="Percent 22 3" xfId="1856"/>
    <cellStyle name="Percent 22 3 2" xfId="14749"/>
    <cellStyle name="Percent 22 3 3" xfId="14750"/>
    <cellStyle name="Percent 22 4" xfId="1857"/>
    <cellStyle name="Percent 22 4 2" xfId="14751"/>
    <cellStyle name="Percent 22 4 3" xfId="14752"/>
    <cellStyle name="Percent 22 5" xfId="1858"/>
    <cellStyle name="Percent 22 5 2" xfId="14753"/>
    <cellStyle name="Percent 22 5 3" xfId="14754"/>
    <cellStyle name="Percent 22 6" xfId="1859"/>
    <cellStyle name="Percent 22 7" xfId="1860"/>
    <cellStyle name="Percent 22 8" xfId="1861"/>
    <cellStyle name="Percent 22 9" xfId="1862"/>
    <cellStyle name="Percent 23" xfId="1863"/>
    <cellStyle name="Percent 23 10" xfId="1864"/>
    <cellStyle name="Percent 23 11" xfId="1865"/>
    <cellStyle name="Percent 23 12" xfId="1866"/>
    <cellStyle name="Percent 23 13" xfId="1867"/>
    <cellStyle name="Percent 23 14" xfId="1868"/>
    <cellStyle name="Percent 23 15" xfId="1869"/>
    <cellStyle name="Percent 23 16" xfId="14755"/>
    <cellStyle name="Percent 23 17" xfId="14756"/>
    <cellStyle name="Percent 23 18" xfId="16143"/>
    <cellStyle name="Percent 23 2" xfId="1870"/>
    <cellStyle name="Percent 23 2 2" xfId="14757"/>
    <cellStyle name="Percent 23 2 3" xfId="14758"/>
    <cellStyle name="Percent 23 3" xfId="1871"/>
    <cellStyle name="Percent 23 3 2" xfId="14759"/>
    <cellStyle name="Percent 23 3 3" xfId="14760"/>
    <cellStyle name="Percent 23 4" xfId="1872"/>
    <cellStyle name="Percent 23 4 2" xfId="14761"/>
    <cellStyle name="Percent 23 4 3" xfId="14762"/>
    <cellStyle name="Percent 23 5" xfId="1873"/>
    <cellStyle name="Percent 23 5 2" xfId="14763"/>
    <cellStyle name="Percent 23 5 3" xfId="14764"/>
    <cellStyle name="Percent 23 6" xfId="1874"/>
    <cellStyle name="Percent 23 7" xfId="1875"/>
    <cellStyle name="Percent 23 8" xfId="1876"/>
    <cellStyle name="Percent 23 9" xfId="1877"/>
    <cellStyle name="Percent 24" xfId="1878"/>
    <cellStyle name="Percent 24 10" xfId="1879"/>
    <cellStyle name="Percent 24 11" xfId="1880"/>
    <cellStyle name="Percent 24 12" xfId="1881"/>
    <cellStyle name="Percent 24 13" xfId="1882"/>
    <cellStyle name="Percent 24 14" xfId="1883"/>
    <cellStyle name="Percent 24 15" xfId="1884"/>
    <cellStyle name="Percent 24 16" xfId="14765"/>
    <cellStyle name="Percent 24 17" xfId="14766"/>
    <cellStyle name="Percent 24 18" xfId="16144"/>
    <cellStyle name="Percent 24 2" xfId="1885"/>
    <cellStyle name="Percent 24 2 2" xfId="14767"/>
    <cellStyle name="Percent 24 2 3" xfId="14768"/>
    <cellStyle name="Percent 24 2 4" xfId="14769"/>
    <cellStyle name="Percent 24 3" xfId="1886"/>
    <cellStyle name="Percent 24 3 2" xfId="14770"/>
    <cellStyle name="Percent 24 3 3" xfId="14771"/>
    <cellStyle name="Percent 24 4" xfId="1887"/>
    <cellStyle name="Percent 24 4 2" xfId="14772"/>
    <cellStyle name="Percent 24 4 3" xfId="14773"/>
    <cellStyle name="Percent 24 5" xfId="1888"/>
    <cellStyle name="Percent 24 5 2" xfId="14774"/>
    <cellStyle name="Percent 24 5 3" xfId="14775"/>
    <cellStyle name="Percent 24 6" xfId="1889"/>
    <cellStyle name="Percent 24 7" xfId="1890"/>
    <cellStyle name="Percent 24 8" xfId="1891"/>
    <cellStyle name="Percent 24 9" xfId="1892"/>
    <cellStyle name="Percent 25" xfId="1893"/>
    <cellStyle name="Percent 25 10" xfId="1894"/>
    <cellStyle name="Percent 25 11" xfId="1895"/>
    <cellStyle name="Percent 25 12" xfId="1896"/>
    <cellStyle name="Percent 25 13" xfId="1897"/>
    <cellStyle name="Percent 25 14" xfId="1898"/>
    <cellStyle name="Percent 25 15" xfId="1899"/>
    <cellStyle name="Percent 25 16" xfId="14776"/>
    <cellStyle name="Percent 25 17" xfId="14777"/>
    <cellStyle name="Percent 25 18" xfId="16145"/>
    <cellStyle name="Percent 25 2" xfId="1900"/>
    <cellStyle name="Percent 25 2 2" xfId="14778"/>
    <cellStyle name="Percent 25 2 3" xfId="14779"/>
    <cellStyle name="Percent 25 2 4" xfId="14780"/>
    <cellStyle name="Percent 25 3" xfId="1901"/>
    <cellStyle name="Percent 25 3 2" xfId="14781"/>
    <cellStyle name="Percent 25 3 3" xfId="14782"/>
    <cellStyle name="Percent 25 4" xfId="1902"/>
    <cellStyle name="Percent 25 4 2" xfId="14783"/>
    <cellStyle name="Percent 25 4 3" xfId="14784"/>
    <cellStyle name="Percent 25 5" xfId="1903"/>
    <cellStyle name="Percent 25 5 2" xfId="14785"/>
    <cellStyle name="Percent 25 5 3" xfId="14786"/>
    <cellStyle name="Percent 25 6" xfId="1904"/>
    <cellStyle name="Percent 25 7" xfId="1905"/>
    <cellStyle name="Percent 25 8" xfId="1906"/>
    <cellStyle name="Percent 25 9" xfId="1907"/>
    <cellStyle name="Percent 26" xfId="1908"/>
    <cellStyle name="Percent 26 10" xfId="1909"/>
    <cellStyle name="Percent 26 11" xfId="1910"/>
    <cellStyle name="Percent 26 12" xfId="1911"/>
    <cellStyle name="Percent 26 13" xfId="1912"/>
    <cellStyle name="Percent 26 14" xfId="1913"/>
    <cellStyle name="Percent 26 15" xfId="1914"/>
    <cellStyle name="Percent 26 16" xfId="14787"/>
    <cellStyle name="Percent 26 17" xfId="14788"/>
    <cellStyle name="Percent 26 18" xfId="16146"/>
    <cellStyle name="Percent 26 2" xfId="1915"/>
    <cellStyle name="Percent 26 2 2" xfId="14789"/>
    <cellStyle name="Percent 26 2 3" xfId="14790"/>
    <cellStyle name="Percent 26 3" xfId="1916"/>
    <cellStyle name="Percent 26 3 2" xfId="14791"/>
    <cellStyle name="Percent 26 3 3" xfId="14792"/>
    <cellStyle name="Percent 26 4" xfId="1917"/>
    <cellStyle name="Percent 26 4 2" xfId="14793"/>
    <cellStyle name="Percent 26 4 3" xfId="14794"/>
    <cellStyle name="Percent 26 5" xfId="1918"/>
    <cellStyle name="Percent 26 5 2" xfId="14795"/>
    <cellStyle name="Percent 26 5 3" xfId="14796"/>
    <cellStyle name="Percent 26 6" xfId="1919"/>
    <cellStyle name="Percent 26 7" xfId="1920"/>
    <cellStyle name="Percent 26 8" xfId="1921"/>
    <cellStyle name="Percent 26 9" xfId="1922"/>
    <cellStyle name="Percent 27" xfId="1923"/>
    <cellStyle name="Percent 27 10" xfId="1924"/>
    <cellStyle name="Percent 27 11" xfId="1925"/>
    <cellStyle name="Percent 27 12" xfId="1926"/>
    <cellStyle name="Percent 27 13" xfId="1927"/>
    <cellStyle name="Percent 27 14" xfId="1928"/>
    <cellStyle name="Percent 27 15" xfId="1929"/>
    <cellStyle name="Percent 27 16" xfId="14797"/>
    <cellStyle name="Percent 27 17" xfId="14798"/>
    <cellStyle name="Percent 27 18" xfId="16147"/>
    <cellStyle name="Percent 27 2" xfId="1930"/>
    <cellStyle name="Percent 27 2 2" xfId="14799"/>
    <cellStyle name="Percent 27 2 3" xfId="14800"/>
    <cellStyle name="Percent 27 3" xfId="1931"/>
    <cellStyle name="Percent 27 3 2" xfId="14801"/>
    <cellStyle name="Percent 27 3 3" xfId="14802"/>
    <cellStyle name="Percent 27 4" xfId="1932"/>
    <cellStyle name="Percent 27 4 2" xfId="14803"/>
    <cellStyle name="Percent 27 4 3" xfId="14804"/>
    <cellStyle name="Percent 27 5" xfId="1933"/>
    <cellStyle name="Percent 27 5 2" xfId="14805"/>
    <cellStyle name="Percent 27 5 3" xfId="14806"/>
    <cellStyle name="Percent 27 6" xfId="1934"/>
    <cellStyle name="Percent 27 7" xfId="1935"/>
    <cellStyle name="Percent 27 8" xfId="1936"/>
    <cellStyle name="Percent 27 9" xfId="1937"/>
    <cellStyle name="Percent 28" xfId="1938"/>
    <cellStyle name="Percent 28 10" xfId="1939"/>
    <cellStyle name="Percent 28 11" xfId="1940"/>
    <cellStyle name="Percent 28 12" xfId="1941"/>
    <cellStyle name="Percent 28 13" xfId="1942"/>
    <cellStyle name="Percent 28 14" xfId="1943"/>
    <cellStyle name="Percent 28 15" xfId="1944"/>
    <cellStyle name="Percent 28 16" xfId="14807"/>
    <cellStyle name="Percent 28 17" xfId="14808"/>
    <cellStyle name="Percent 28 18" xfId="16148"/>
    <cellStyle name="Percent 28 2" xfId="1945"/>
    <cellStyle name="Percent 28 2 2" xfId="14809"/>
    <cellStyle name="Percent 28 2 3" xfId="14810"/>
    <cellStyle name="Percent 28 3" xfId="1946"/>
    <cellStyle name="Percent 28 3 2" xfId="14811"/>
    <cellStyle name="Percent 28 3 3" xfId="14812"/>
    <cellStyle name="Percent 28 4" xfId="1947"/>
    <cellStyle name="Percent 28 4 2" xfId="14813"/>
    <cellStyle name="Percent 28 4 3" xfId="14814"/>
    <cellStyle name="Percent 28 5" xfId="1948"/>
    <cellStyle name="Percent 28 5 2" xfId="14815"/>
    <cellStyle name="Percent 28 5 3" xfId="14816"/>
    <cellStyle name="Percent 28 6" xfId="1949"/>
    <cellStyle name="Percent 28 7" xfId="1950"/>
    <cellStyle name="Percent 28 8" xfId="1951"/>
    <cellStyle name="Percent 28 9" xfId="1952"/>
    <cellStyle name="Percent 29" xfId="1953"/>
    <cellStyle name="Percent 29 10" xfId="1954"/>
    <cellStyle name="Percent 29 11" xfId="1955"/>
    <cellStyle name="Percent 29 12" xfId="1956"/>
    <cellStyle name="Percent 29 13" xfId="1957"/>
    <cellStyle name="Percent 29 14" xfId="1958"/>
    <cellStyle name="Percent 29 15" xfId="1959"/>
    <cellStyle name="Percent 29 16" xfId="14817"/>
    <cellStyle name="Percent 29 17" xfId="14818"/>
    <cellStyle name="Percent 29 18" xfId="16149"/>
    <cellStyle name="Percent 29 2" xfId="1960"/>
    <cellStyle name="Percent 29 2 2" xfId="14819"/>
    <cellStyle name="Percent 29 2 3" xfId="14820"/>
    <cellStyle name="Percent 29 3" xfId="1961"/>
    <cellStyle name="Percent 29 3 2" xfId="14821"/>
    <cellStyle name="Percent 29 3 3" xfId="14822"/>
    <cellStyle name="Percent 29 4" xfId="1962"/>
    <cellStyle name="Percent 29 4 2" xfId="14823"/>
    <cellStyle name="Percent 29 4 3" xfId="14824"/>
    <cellStyle name="Percent 29 5" xfId="1963"/>
    <cellStyle name="Percent 29 5 2" xfId="14825"/>
    <cellStyle name="Percent 29 5 3" xfId="14826"/>
    <cellStyle name="Percent 29 6" xfId="1964"/>
    <cellStyle name="Percent 29 7" xfId="1965"/>
    <cellStyle name="Percent 29 8" xfId="1966"/>
    <cellStyle name="Percent 29 9" xfId="1967"/>
    <cellStyle name="Percent 3" xfId="14827"/>
    <cellStyle name="Percent 3 2" xfId="1968"/>
    <cellStyle name="Percent 3 2 10" xfId="1969"/>
    <cellStyle name="Percent 3 2 11" xfId="1970"/>
    <cellStyle name="Percent 3 2 12" xfId="1971"/>
    <cellStyle name="Percent 3 2 13" xfId="1972"/>
    <cellStyle name="Percent 3 2 14" xfId="1973"/>
    <cellStyle name="Percent 3 2 15" xfId="1974"/>
    <cellStyle name="Percent 3 2 16" xfId="1975"/>
    <cellStyle name="Percent 3 2 17" xfId="14828"/>
    <cellStyle name="Percent 3 2 18" xfId="14829"/>
    <cellStyle name="Percent 3 2 19" xfId="16969"/>
    <cellStyle name="Percent 3 2 2" xfId="1976"/>
    <cellStyle name="Percent 3 2 2 10" xfId="1977"/>
    <cellStyle name="Percent 3 2 2 11" xfId="1978"/>
    <cellStyle name="Percent 3 2 2 12" xfId="1979"/>
    <cellStyle name="Percent 3 2 2 13" xfId="1980"/>
    <cellStyle name="Percent 3 2 2 14" xfId="1981"/>
    <cellStyle name="Percent 3 2 2 15" xfId="1982"/>
    <cellStyle name="Percent 3 2 2 16" xfId="14830"/>
    <cellStyle name="Percent 3 2 2 17" xfId="14831"/>
    <cellStyle name="Percent 3 2 2 2" xfId="1983"/>
    <cellStyle name="Percent 3 2 2 2 2" xfId="14832"/>
    <cellStyle name="Percent 3 2 2 2 3" xfId="14833"/>
    <cellStyle name="Percent 3 2 2 3" xfId="1984"/>
    <cellStyle name="Percent 3 2 2 4" xfId="1985"/>
    <cellStyle name="Percent 3 2 2 5" xfId="1986"/>
    <cellStyle name="Percent 3 2 2 6" xfId="1987"/>
    <cellStyle name="Percent 3 2 2 7" xfId="1988"/>
    <cellStyle name="Percent 3 2 2 8" xfId="1989"/>
    <cellStyle name="Percent 3 2 2 9" xfId="1990"/>
    <cellStyle name="Percent 3 2 3" xfId="1991"/>
    <cellStyle name="Percent 3 2 3 2" xfId="14834"/>
    <cellStyle name="Percent 3 2 3 3" xfId="14835"/>
    <cellStyle name="Percent 3 2 4" xfId="1992"/>
    <cellStyle name="Percent 3 2 4 2" xfId="14836"/>
    <cellStyle name="Percent 3 2 4 3" xfId="14837"/>
    <cellStyle name="Percent 3 2 5" xfId="1993"/>
    <cellStyle name="Percent 3 2 5 2" xfId="14838"/>
    <cellStyle name="Percent 3 2 5 3" xfId="14839"/>
    <cellStyle name="Percent 3 2 6" xfId="1994"/>
    <cellStyle name="Percent 3 2 7" xfId="1995"/>
    <cellStyle name="Percent 3 2 8" xfId="1996"/>
    <cellStyle name="Percent 3 2 9" xfId="1997"/>
    <cellStyle name="Percent 3 3" xfId="14840"/>
    <cellStyle name="Percent 3 3 2" xfId="14841"/>
    <cellStyle name="Percent 3 3 3" xfId="16931"/>
    <cellStyle name="Percent 3 4" xfId="14842"/>
    <cellStyle name="Percent 3 5" xfId="14843"/>
    <cellStyle name="Percent 3 6" xfId="14844"/>
    <cellStyle name="Percent 3 7" xfId="14845"/>
    <cellStyle name="Percent 3 8" xfId="14846"/>
    <cellStyle name="Percent 3 9" xfId="14847"/>
    <cellStyle name="Percent 30" xfId="1998"/>
    <cellStyle name="Percent 30 10" xfId="1999"/>
    <cellStyle name="Percent 30 11" xfId="2000"/>
    <cellStyle name="Percent 30 12" xfId="2001"/>
    <cellStyle name="Percent 30 13" xfId="2002"/>
    <cellStyle name="Percent 30 14" xfId="2003"/>
    <cellStyle name="Percent 30 15" xfId="2004"/>
    <cellStyle name="Percent 30 16" xfId="14848"/>
    <cellStyle name="Percent 30 17" xfId="14849"/>
    <cellStyle name="Percent 30 18" xfId="16150"/>
    <cellStyle name="Percent 30 2" xfId="2005"/>
    <cellStyle name="Percent 30 2 2" xfId="14850"/>
    <cellStyle name="Percent 30 2 3" xfId="14851"/>
    <cellStyle name="Percent 30 3" xfId="2006"/>
    <cellStyle name="Percent 30 3 2" xfId="14852"/>
    <cellStyle name="Percent 30 3 3" xfId="14853"/>
    <cellStyle name="Percent 30 4" xfId="2007"/>
    <cellStyle name="Percent 30 4 2" xfId="14854"/>
    <cellStyle name="Percent 30 4 3" xfId="14855"/>
    <cellStyle name="Percent 30 5" xfId="2008"/>
    <cellStyle name="Percent 30 6" xfId="2009"/>
    <cellStyle name="Percent 30 7" xfId="2010"/>
    <cellStyle name="Percent 30 8" xfId="2011"/>
    <cellStyle name="Percent 30 9" xfId="2012"/>
    <cellStyle name="Percent 31" xfId="2013"/>
    <cellStyle name="Percent 31 10" xfId="2014"/>
    <cellStyle name="Percent 31 11" xfId="2015"/>
    <cellStyle name="Percent 31 12" xfId="2016"/>
    <cellStyle name="Percent 31 13" xfId="2017"/>
    <cellStyle name="Percent 31 14" xfId="2018"/>
    <cellStyle name="Percent 31 15" xfId="2019"/>
    <cellStyle name="Percent 31 16" xfId="14856"/>
    <cellStyle name="Percent 31 17" xfId="14857"/>
    <cellStyle name="Percent 31 18" xfId="16151"/>
    <cellStyle name="Percent 31 2" xfId="2020"/>
    <cellStyle name="Percent 31 2 2" xfId="14858"/>
    <cellStyle name="Percent 31 2 3" xfId="14859"/>
    <cellStyle name="Percent 31 3" xfId="2021"/>
    <cellStyle name="Percent 31 3 2" xfId="14860"/>
    <cellStyle name="Percent 31 3 3" xfId="14861"/>
    <cellStyle name="Percent 31 4" xfId="2022"/>
    <cellStyle name="Percent 31 4 2" xfId="14862"/>
    <cellStyle name="Percent 31 4 3" xfId="14863"/>
    <cellStyle name="Percent 31 5" xfId="2023"/>
    <cellStyle name="Percent 31 6" xfId="2024"/>
    <cellStyle name="Percent 31 7" xfId="2025"/>
    <cellStyle name="Percent 31 8" xfId="2026"/>
    <cellStyle name="Percent 31 9" xfId="2027"/>
    <cellStyle name="Percent 32" xfId="2028"/>
    <cellStyle name="Percent 32 10" xfId="2029"/>
    <cellStyle name="Percent 32 11" xfId="2030"/>
    <cellStyle name="Percent 32 12" xfId="2031"/>
    <cellStyle name="Percent 32 13" xfId="2032"/>
    <cellStyle name="Percent 32 14" xfId="2033"/>
    <cellStyle name="Percent 32 15" xfId="2034"/>
    <cellStyle name="Percent 32 16" xfId="14864"/>
    <cellStyle name="Percent 32 17" xfId="14865"/>
    <cellStyle name="Percent 32 18" xfId="16152"/>
    <cellStyle name="Percent 32 2" xfId="2035"/>
    <cellStyle name="Percent 32 2 2" xfId="14866"/>
    <cellStyle name="Percent 32 2 3" xfId="14867"/>
    <cellStyle name="Percent 32 2 4" xfId="16174"/>
    <cellStyle name="Percent 32 3" xfId="2036"/>
    <cellStyle name="Percent 32 3 2" xfId="14868"/>
    <cellStyle name="Percent 32 3 3" xfId="14869"/>
    <cellStyle name="Percent 32 4" xfId="2037"/>
    <cellStyle name="Percent 32 4 2" xfId="14870"/>
    <cellStyle name="Percent 32 4 3" xfId="14871"/>
    <cellStyle name="Percent 32 5" xfId="2038"/>
    <cellStyle name="Percent 32 6" xfId="2039"/>
    <cellStyle name="Percent 32 7" xfId="2040"/>
    <cellStyle name="Percent 32 8" xfId="2041"/>
    <cellStyle name="Percent 32 9" xfId="2042"/>
    <cellStyle name="Percent 33" xfId="2043"/>
    <cellStyle name="Percent 33 10" xfId="2044"/>
    <cellStyle name="Percent 33 11" xfId="2045"/>
    <cellStyle name="Percent 33 12" xfId="2046"/>
    <cellStyle name="Percent 33 13" xfId="2047"/>
    <cellStyle name="Percent 33 14" xfId="2048"/>
    <cellStyle name="Percent 33 15" xfId="2049"/>
    <cellStyle name="Percent 33 16" xfId="14872"/>
    <cellStyle name="Percent 33 17" xfId="14873"/>
    <cellStyle name="Percent 33 18" xfId="16173"/>
    <cellStyle name="Percent 33 2" xfId="2050"/>
    <cellStyle name="Percent 33 2 2" xfId="14874"/>
    <cellStyle name="Percent 33 2 3" xfId="14875"/>
    <cellStyle name="Percent 33 3" xfId="2051"/>
    <cellStyle name="Percent 33 3 2" xfId="14876"/>
    <cellStyle name="Percent 33 3 3" xfId="14877"/>
    <cellStyle name="Percent 33 4" xfId="2052"/>
    <cellStyle name="Percent 33 4 2" xfId="14878"/>
    <cellStyle name="Percent 33 4 3" xfId="14879"/>
    <cellStyle name="Percent 33 5" xfId="2053"/>
    <cellStyle name="Percent 33 6" xfId="2054"/>
    <cellStyle name="Percent 33 7" xfId="2055"/>
    <cellStyle name="Percent 33 8" xfId="2056"/>
    <cellStyle name="Percent 33 9" xfId="2057"/>
    <cellStyle name="Percent 34" xfId="2058"/>
    <cellStyle name="Percent 34 10" xfId="2059"/>
    <cellStyle name="Percent 34 11" xfId="2060"/>
    <cellStyle name="Percent 34 12" xfId="2061"/>
    <cellStyle name="Percent 34 13" xfId="2062"/>
    <cellStyle name="Percent 34 14" xfId="2063"/>
    <cellStyle name="Percent 34 15" xfId="2064"/>
    <cellStyle name="Percent 34 16" xfId="14880"/>
    <cellStyle name="Percent 34 17" xfId="14881"/>
    <cellStyle name="Percent 34 18" xfId="16237"/>
    <cellStyle name="Percent 34 2" xfId="2065"/>
    <cellStyle name="Percent 34 2 2" xfId="14882"/>
    <cellStyle name="Percent 34 2 3" xfId="14883"/>
    <cellStyle name="Percent 34 3" xfId="2066"/>
    <cellStyle name="Percent 34 3 2" xfId="14884"/>
    <cellStyle name="Percent 34 3 3" xfId="14885"/>
    <cellStyle name="Percent 34 4" xfId="2067"/>
    <cellStyle name="Percent 34 4 2" xfId="14886"/>
    <cellStyle name="Percent 34 4 3" xfId="14887"/>
    <cellStyle name="Percent 34 5" xfId="2068"/>
    <cellStyle name="Percent 34 6" xfId="2069"/>
    <cellStyle name="Percent 34 7" xfId="2070"/>
    <cellStyle name="Percent 34 8" xfId="2071"/>
    <cellStyle name="Percent 34 9" xfId="2072"/>
    <cellStyle name="Percent 35" xfId="2073"/>
    <cellStyle name="Percent 35 10" xfId="2074"/>
    <cellStyle name="Percent 35 11" xfId="2075"/>
    <cellStyle name="Percent 35 12" xfId="2076"/>
    <cellStyle name="Percent 35 13" xfId="2077"/>
    <cellStyle name="Percent 35 14" xfId="2078"/>
    <cellStyle name="Percent 35 15" xfId="2079"/>
    <cellStyle name="Percent 35 16" xfId="14888"/>
    <cellStyle name="Percent 35 17" xfId="14889"/>
    <cellStyle name="Percent 35 18" xfId="16240"/>
    <cellStyle name="Percent 35 2" xfId="2080"/>
    <cellStyle name="Percent 35 2 2" xfId="14890"/>
    <cellStyle name="Percent 35 2 3" xfId="14891"/>
    <cellStyle name="Percent 35 3" xfId="2081"/>
    <cellStyle name="Percent 35 3 2" xfId="14892"/>
    <cellStyle name="Percent 35 3 3" xfId="14893"/>
    <cellStyle name="Percent 35 4" xfId="2082"/>
    <cellStyle name="Percent 35 4 2" xfId="14894"/>
    <cellStyle name="Percent 35 4 3" xfId="14895"/>
    <cellStyle name="Percent 35 5" xfId="2083"/>
    <cellStyle name="Percent 35 6" xfId="2084"/>
    <cellStyle name="Percent 35 7" xfId="2085"/>
    <cellStyle name="Percent 35 8" xfId="2086"/>
    <cellStyle name="Percent 35 9" xfId="2087"/>
    <cellStyle name="Percent 36" xfId="2088"/>
    <cellStyle name="Percent 36 10" xfId="2089"/>
    <cellStyle name="Percent 36 11" xfId="2090"/>
    <cellStyle name="Percent 36 12" xfId="2091"/>
    <cellStyle name="Percent 36 13" xfId="2092"/>
    <cellStyle name="Percent 36 14" xfId="2093"/>
    <cellStyle name="Percent 36 15" xfId="2094"/>
    <cellStyle name="Percent 36 16" xfId="14896"/>
    <cellStyle name="Percent 36 17" xfId="14897"/>
    <cellStyle name="Percent 36 18" xfId="16228"/>
    <cellStyle name="Percent 36 2" xfId="2095"/>
    <cellStyle name="Percent 36 2 2" xfId="14898"/>
    <cellStyle name="Percent 36 2 3" xfId="14899"/>
    <cellStyle name="Percent 36 3" xfId="2096"/>
    <cellStyle name="Percent 36 3 2" xfId="14900"/>
    <cellStyle name="Percent 36 3 3" xfId="14901"/>
    <cellStyle name="Percent 36 4" xfId="2097"/>
    <cellStyle name="Percent 36 4 2" xfId="14902"/>
    <cellStyle name="Percent 36 4 3" xfId="14903"/>
    <cellStyle name="Percent 36 5" xfId="2098"/>
    <cellStyle name="Percent 36 6" xfId="2099"/>
    <cellStyle name="Percent 36 7" xfId="2100"/>
    <cellStyle name="Percent 36 8" xfId="2101"/>
    <cellStyle name="Percent 36 9" xfId="2102"/>
    <cellStyle name="Percent 37" xfId="2103"/>
    <cellStyle name="Percent 37 10" xfId="2104"/>
    <cellStyle name="Percent 37 11" xfId="2105"/>
    <cellStyle name="Percent 37 12" xfId="2106"/>
    <cellStyle name="Percent 37 13" xfId="2107"/>
    <cellStyle name="Percent 37 14" xfId="2108"/>
    <cellStyle name="Percent 37 15" xfId="2109"/>
    <cellStyle name="Percent 37 16" xfId="14904"/>
    <cellStyle name="Percent 37 17" xfId="14905"/>
    <cellStyle name="Percent 37 18" xfId="16244"/>
    <cellStyle name="Percent 37 2" xfId="2110"/>
    <cellStyle name="Percent 37 2 2" xfId="14906"/>
    <cellStyle name="Percent 37 2 3" xfId="14907"/>
    <cellStyle name="Percent 37 2 4" xfId="17057"/>
    <cellStyle name="Percent 37 3" xfId="2111"/>
    <cellStyle name="Percent 37 3 2" xfId="14908"/>
    <cellStyle name="Percent 37 3 3" xfId="14909"/>
    <cellStyle name="Percent 37 3 4" xfId="17033"/>
    <cellStyle name="Percent 37 4" xfId="2112"/>
    <cellStyle name="Percent 37 4 2" xfId="14910"/>
    <cellStyle name="Percent 37 4 3" xfId="14911"/>
    <cellStyle name="Percent 37 4 4" xfId="16980"/>
    <cellStyle name="Percent 37 5" xfId="2113"/>
    <cellStyle name="Percent 37 6" xfId="2114"/>
    <cellStyle name="Percent 37 7" xfId="2115"/>
    <cellStyle name="Percent 37 8" xfId="2116"/>
    <cellStyle name="Percent 37 9" xfId="2117"/>
    <cellStyle name="Percent 38" xfId="2118"/>
    <cellStyle name="Percent 38 10" xfId="2119"/>
    <cellStyle name="Percent 38 11" xfId="2120"/>
    <cellStyle name="Percent 38 12" xfId="2121"/>
    <cellStyle name="Percent 38 13" xfId="2122"/>
    <cellStyle name="Percent 38 14" xfId="2123"/>
    <cellStyle name="Percent 38 15" xfId="2124"/>
    <cellStyle name="Percent 38 16" xfId="14912"/>
    <cellStyle name="Percent 38 17" xfId="14913"/>
    <cellStyle name="Percent 38 18" xfId="16250"/>
    <cellStyle name="Percent 38 2" xfId="2125"/>
    <cellStyle name="Percent 38 2 2" xfId="14914"/>
    <cellStyle name="Percent 38 2 3" xfId="14915"/>
    <cellStyle name="Percent 38 2 4" xfId="17062"/>
    <cellStyle name="Percent 38 3" xfId="2126"/>
    <cellStyle name="Percent 38 3 2" xfId="14916"/>
    <cellStyle name="Percent 38 3 3" xfId="14917"/>
    <cellStyle name="Percent 38 3 4" xfId="17031"/>
    <cellStyle name="Percent 38 4" xfId="2127"/>
    <cellStyle name="Percent 38 4 2" xfId="14918"/>
    <cellStyle name="Percent 38 4 3" xfId="14919"/>
    <cellStyle name="Percent 38 4 4" xfId="16983"/>
    <cellStyle name="Percent 38 5" xfId="2128"/>
    <cellStyle name="Percent 38 6" xfId="2129"/>
    <cellStyle name="Percent 38 7" xfId="2130"/>
    <cellStyle name="Percent 38 8" xfId="2131"/>
    <cellStyle name="Percent 38 9" xfId="2132"/>
    <cellStyle name="Percent 39" xfId="2133"/>
    <cellStyle name="Percent 39 10" xfId="2134"/>
    <cellStyle name="Percent 39 11" xfId="2135"/>
    <cellStyle name="Percent 39 12" xfId="2136"/>
    <cellStyle name="Percent 39 13" xfId="2137"/>
    <cellStyle name="Percent 39 14" xfId="2138"/>
    <cellStyle name="Percent 39 15" xfId="2139"/>
    <cellStyle name="Percent 39 16" xfId="14920"/>
    <cellStyle name="Percent 39 17" xfId="14921"/>
    <cellStyle name="Percent 39 18" xfId="16262"/>
    <cellStyle name="Percent 39 2" xfId="2140"/>
    <cellStyle name="Percent 39 2 2" xfId="14922"/>
    <cellStyle name="Percent 39 2 3" xfId="14923"/>
    <cellStyle name="Percent 39 2 4" xfId="17074"/>
    <cellStyle name="Percent 39 3" xfId="2141"/>
    <cellStyle name="Percent 39 3 2" xfId="14924"/>
    <cellStyle name="Percent 39 3 3" xfId="14925"/>
    <cellStyle name="Percent 39 3 4" xfId="16987"/>
    <cellStyle name="Percent 39 4" xfId="2142"/>
    <cellStyle name="Percent 39 4 2" xfId="14926"/>
    <cellStyle name="Percent 39 4 3" xfId="14927"/>
    <cellStyle name="Percent 39 5" xfId="2143"/>
    <cellStyle name="Percent 39 6" xfId="2144"/>
    <cellStyle name="Percent 39 7" xfId="2145"/>
    <cellStyle name="Percent 39 8" xfId="2146"/>
    <cellStyle name="Percent 39 9" xfId="2147"/>
    <cellStyle name="Percent 4" xfId="2148"/>
    <cellStyle name="Percent 4 2" xfId="14928"/>
    <cellStyle name="Percent 4 2 2" xfId="14929"/>
    <cellStyle name="Percent 4 2 2 2" xfId="14930"/>
    <cellStyle name="Percent 4 2 2 2 2" xfId="14931"/>
    <cellStyle name="Percent 4 2 2 2 2 2" xfId="14932"/>
    <cellStyle name="Percent 4 2 2 2 3" xfId="14933"/>
    <cellStyle name="Percent 4 2 2 3" xfId="14934"/>
    <cellStyle name="Percent 4 2 2 3 2" xfId="14935"/>
    <cellStyle name="Percent 4 2 2 4" xfId="14936"/>
    <cellStyle name="Percent 4 2 3" xfId="14937"/>
    <cellStyle name="Percent 4 2 4" xfId="16935"/>
    <cellStyle name="Percent 4 3" xfId="14938"/>
    <cellStyle name="Percent 4 4" xfId="14939"/>
    <cellStyle name="Percent 4 4 2" xfId="14940"/>
    <cellStyle name="Percent 4 4 2 2" xfId="14941"/>
    <cellStyle name="Percent 4 4 2 2 2" xfId="14942"/>
    <cellStyle name="Percent 4 4 2 3" xfId="14943"/>
    <cellStyle name="Percent 4 4 3" xfId="14944"/>
    <cellStyle name="Percent 4 4 3 2" xfId="14945"/>
    <cellStyle name="Percent 4 4 4" xfId="14946"/>
    <cellStyle name="Percent 4 5" xfId="14947"/>
    <cellStyle name="Percent 4 6" xfId="14948"/>
    <cellStyle name="Percent 4 7" xfId="14949"/>
    <cellStyle name="Percent 4 8" xfId="14950"/>
    <cellStyle name="Percent 40" xfId="2149"/>
    <cellStyle name="Percent 40 10" xfId="2150"/>
    <cellStyle name="Percent 40 11" xfId="2151"/>
    <cellStyle name="Percent 40 12" xfId="2152"/>
    <cellStyle name="Percent 40 13" xfId="2153"/>
    <cellStyle name="Percent 40 14" xfId="2154"/>
    <cellStyle name="Percent 40 15" xfId="2155"/>
    <cellStyle name="Percent 40 16" xfId="14951"/>
    <cellStyle name="Percent 40 17" xfId="14952"/>
    <cellStyle name="Percent 40 18" xfId="16264"/>
    <cellStyle name="Percent 40 2" xfId="2156"/>
    <cellStyle name="Percent 40 2 2" xfId="14953"/>
    <cellStyle name="Percent 40 2 3" xfId="14954"/>
    <cellStyle name="Percent 40 2 4" xfId="17076"/>
    <cellStyle name="Percent 40 3" xfId="2157"/>
    <cellStyle name="Percent 40 3 2" xfId="14955"/>
    <cellStyle name="Percent 40 3 3" xfId="14956"/>
    <cellStyle name="Percent 40 3 4" xfId="17282"/>
    <cellStyle name="Percent 40 4" xfId="2158"/>
    <cellStyle name="Percent 40 4 2" xfId="14957"/>
    <cellStyle name="Percent 40 4 3" xfId="14958"/>
    <cellStyle name="Percent 40 4 4" xfId="16990"/>
    <cellStyle name="Percent 40 5" xfId="2159"/>
    <cellStyle name="Percent 40 6" xfId="2160"/>
    <cellStyle name="Percent 40 7" xfId="2161"/>
    <cellStyle name="Percent 40 8" xfId="2162"/>
    <cellStyle name="Percent 40 9" xfId="2163"/>
    <cellStyle name="Percent 41" xfId="2164"/>
    <cellStyle name="Percent 41 10" xfId="2165"/>
    <cellStyle name="Percent 41 11" xfId="2166"/>
    <cellStyle name="Percent 41 12" xfId="2167"/>
    <cellStyle name="Percent 41 13" xfId="2168"/>
    <cellStyle name="Percent 41 14" xfId="2169"/>
    <cellStyle name="Percent 41 15" xfId="2170"/>
    <cellStyle name="Percent 41 16" xfId="14959"/>
    <cellStyle name="Percent 41 17" xfId="14960"/>
    <cellStyle name="Percent 41 18" xfId="16223"/>
    <cellStyle name="Percent 41 2" xfId="2171"/>
    <cellStyle name="Percent 41 2 2" xfId="14961"/>
    <cellStyle name="Percent 41 2 3" xfId="14962"/>
    <cellStyle name="Percent 41 3" xfId="2172"/>
    <cellStyle name="Percent 41 3 2" xfId="14963"/>
    <cellStyle name="Percent 41 3 3" xfId="14964"/>
    <cellStyle name="Percent 41 4" xfId="2173"/>
    <cellStyle name="Percent 41 4 2" xfId="14965"/>
    <cellStyle name="Percent 41 4 3" xfId="14966"/>
    <cellStyle name="Percent 41 5" xfId="2174"/>
    <cellStyle name="Percent 41 6" xfId="2175"/>
    <cellStyle name="Percent 41 7" xfId="2176"/>
    <cellStyle name="Percent 41 8" xfId="2177"/>
    <cellStyle name="Percent 41 9" xfId="2178"/>
    <cellStyle name="Percent 42" xfId="2179"/>
    <cellStyle name="Percent 42 10" xfId="2180"/>
    <cellStyle name="Percent 42 11" xfId="2181"/>
    <cellStyle name="Percent 42 12" xfId="2182"/>
    <cellStyle name="Percent 42 13" xfId="2183"/>
    <cellStyle name="Percent 42 14" xfId="2184"/>
    <cellStyle name="Percent 42 15" xfId="2185"/>
    <cellStyle name="Percent 42 16" xfId="14967"/>
    <cellStyle name="Percent 42 17" xfId="14968"/>
    <cellStyle name="Percent 42 18" xfId="16322"/>
    <cellStyle name="Percent 42 2" xfId="2186"/>
    <cellStyle name="Percent 42 2 2" xfId="14969"/>
    <cellStyle name="Percent 42 2 3" xfId="14970"/>
    <cellStyle name="Percent 42 3" xfId="2187"/>
    <cellStyle name="Percent 42 3 2" xfId="14971"/>
    <cellStyle name="Percent 42 3 3" xfId="14972"/>
    <cellStyle name="Percent 42 4" xfId="2188"/>
    <cellStyle name="Percent 42 4 2" xfId="14973"/>
    <cellStyle name="Percent 42 4 3" xfId="14974"/>
    <cellStyle name="Percent 42 5" xfId="2189"/>
    <cellStyle name="Percent 42 6" xfId="2190"/>
    <cellStyle name="Percent 42 7" xfId="2191"/>
    <cellStyle name="Percent 42 8" xfId="2192"/>
    <cellStyle name="Percent 42 9" xfId="2193"/>
    <cellStyle name="Percent 43" xfId="2194"/>
    <cellStyle name="Percent 43 2" xfId="14975"/>
    <cellStyle name="Percent 43 3" xfId="14976"/>
    <cellStyle name="Percent 43 4" xfId="14977"/>
    <cellStyle name="Percent 43 5" xfId="14978"/>
    <cellStyle name="Percent 43 6" xfId="14979"/>
    <cellStyle name="Percent 44" xfId="2195"/>
    <cellStyle name="Percent 44 2" xfId="14980"/>
    <cellStyle name="Percent 44 3" xfId="14981"/>
    <cellStyle name="Percent 44 4" xfId="14982"/>
    <cellStyle name="Percent 44 5" xfId="14983"/>
    <cellStyle name="Percent 44 6" xfId="14984"/>
    <cellStyle name="Percent 45" xfId="2196"/>
    <cellStyle name="Percent 45 2" xfId="14985"/>
    <cellStyle name="Percent 45 3" xfId="14986"/>
    <cellStyle name="Percent 45 4" xfId="14987"/>
    <cellStyle name="Percent 45 5" xfId="14988"/>
    <cellStyle name="Percent 45 6" xfId="14989"/>
    <cellStyle name="Percent 46" xfId="2197"/>
    <cellStyle name="Percent 46 2" xfId="14990"/>
    <cellStyle name="Percent 46 3" xfId="14991"/>
    <cellStyle name="Percent 46 4" xfId="14992"/>
    <cellStyle name="Percent 46 5" xfId="14993"/>
    <cellStyle name="Percent 46 6" xfId="14994"/>
    <cellStyle name="Percent 47" xfId="2198"/>
    <cellStyle name="Percent 47 2" xfId="2199"/>
    <cellStyle name="Percent 47 2 2" xfId="14995"/>
    <cellStyle name="Percent 47 2 3" xfId="14996"/>
    <cellStyle name="Percent 47 3" xfId="14997"/>
    <cellStyle name="Percent 47 4" xfId="14998"/>
    <cellStyle name="Percent 47 5" xfId="14999"/>
    <cellStyle name="Percent 47 6" xfId="15000"/>
    <cellStyle name="Percent 48" xfId="2200"/>
    <cellStyle name="Percent 48 2" xfId="2201"/>
    <cellStyle name="Percent 48 2 2" xfId="15001"/>
    <cellStyle name="Percent 48 2 3" xfId="15002"/>
    <cellStyle name="Percent 48 3" xfId="15003"/>
    <cellStyle name="Percent 48 4" xfId="15004"/>
    <cellStyle name="Percent 48 5" xfId="15005"/>
    <cellStyle name="Percent 48 6" xfId="15006"/>
    <cellStyle name="Percent 49" xfId="2202"/>
    <cellStyle name="Percent 49 2" xfId="15007"/>
    <cellStyle name="Percent 49 3" xfId="15008"/>
    <cellStyle name="Percent 49 4" xfId="15009"/>
    <cellStyle name="Percent 49 5" xfId="15010"/>
    <cellStyle name="Percent 49 6" xfId="15011"/>
    <cellStyle name="Percent 5" xfId="2203"/>
    <cellStyle name="Percent 5 10" xfId="15012"/>
    <cellStyle name="Percent 5 11" xfId="15013"/>
    <cellStyle name="Percent 5 12" xfId="19794"/>
    <cellStyle name="Percent 5 2" xfId="15014"/>
    <cellStyle name="Percent 5 2 2" xfId="15015"/>
    <cellStyle name="Percent 5 2 3" xfId="15016"/>
    <cellStyle name="Percent 5 3" xfId="15017"/>
    <cellStyle name="Percent 5 3 2" xfId="15018"/>
    <cellStyle name="Percent 5 4" xfId="15019"/>
    <cellStyle name="Percent 5 4 2" xfId="15020"/>
    <cellStyle name="Percent 5 5" xfId="15021"/>
    <cellStyle name="Percent 5 6" xfId="15022"/>
    <cellStyle name="Percent 5 7" xfId="15023"/>
    <cellStyle name="Percent 5 8" xfId="15024"/>
    <cellStyle name="Percent 5 9" xfId="15025"/>
    <cellStyle name="Percent 50" xfId="2204"/>
    <cellStyle name="Percent 50 2" xfId="15026"/>
    <cellStyle name="Percent 50 3" xfId="15027"/>
    <cellStyle name="Percent 50 4" xfId="15028"/>
    <cellStyle name="Percent 50 5" xfId="15029"/>
    <cellStyle name="Percent 50 6" xfId="15030"/>
    <cellStyle name="Percent 51" xfId="2205"/>
    <cellStyle name="Percent 51 2" xfId="15031"/>
    <cellStyle name="Percent 51 3" xfId="15032"/>
    <cellStyle name="Percent 51 4" xfId="15033"/>
    <cellStyle name="Percent 51 5" xfId="15034"/>
    <cellStyle name="Percent 51 6" xfId="15035"/>
    <cellStyle name="Percent 52" xfId="2206"/>
    <cellStyle name="Percent 52 2" xfId="15036"/>
    <cellStyle name="Percent 52 3" xfId="15037"/>
    <cellStyle name="Percent 52 4" xfId="15038"/>
    <cellStyle name="Percent 52 5" xfId="15039"/>
    <cellStyle name="Percent 52 6" xfId="15040"/>
    <cellStyle name="Percent 53" xfId="2207"/>
    <cellStyle name="Percent 53 2" xfId="15041"/>
    <cellStyle name="Percent 53 3" xfId="15042"/>
    <cellStyle name="Percent 53 4" xfId="15043"/>
    <cellStyle name="Percent 53 5" xfId="15044"/>
    <cellStyle name="Percent 53 6" xfId="15045"/>
    <cellStyle name="Percent 54" xfId="2208"/>
    <cellStyle name="Percent 54 2" xfId="15046"/>
    <cellStyle name="Percent 54 3" xfId="15047"/>
    <cellStyle name="Percent 54 4" xfId="15048"/>
    <cellStyle name="Percent 54 5" xfId="15049"/>
    <cellStyle name="Percent 54 6" xfId="15050"/>
    <cellStyle name="Percent 55" xfId="2209"/>
    <cellStyle name="Percent 55 2" xfId="15051"/>
    <cellStyle name="Percent 55 3" xfId="15052"/>
    <cellStyle name="Percent 55 4" xfId="15053"/>
    <cellStyle name="Percent 55 5" xfId="15054"/>
    <cellStyle name="Percent 55 6" xfId="15055"/>
    <cellStyle name="Percent 56" xfId="2210"/>
    <cellStyle name="Percent 56 2" xfId="15056"/>
    <cellStyle name="Percent 56 3" xfId="15057"/>
    <cellStyle name="Percent 56 4" xfId="15058"/>
    <cellStyle name="Percent 56 5" xfId="15059"/>
    <cellStyle name="Percent 56 6" xfId="15060"/>
    <cellStyle name="Percent 57" xfId="2211"/>
    <cellStyle name="Percent 57 2" xfId="15061"/>
    <cellStyle name="Percent 57 3" xfId="15062"/>
    <cellStyle name="Percent 57 4" xfId="15063"/>
    <cellStyle name="Percent 57 5" xfId="15064"/>
    <cellStyle name="Percent 57 6" xfId="15065"/>
    <cellStyle name="Percent 58" xfId="2212"/>
    <cellStyle name="Percent 58 2" xfId="2213"/>
    <cellStyle name="Percent 58 2 2" xfId="15066"/>
    <cellStyle name="Percent 58 2 3" xfId="15067"/>
    <cellStyle name="Percent 58 3" xfId="15068"/>
    <cellStyle name="Percent 58 4" xfId="15069"/>
    <cellStyle name="Percent 58 5" xfId="15070"/>
    <cellStyle name="Percent 58 6" xfId="15071"/>
    <cellStyle name="Percent 59" xfId="2214"/>
    <cellStyle name="Percent 59 2" xfId="2215"/>
    <cellStyle name="Percent 59 2 2" xfId="15072"/>
    <cellStyle name="Percent 59 2 3" xfId="15073"/>
    <cellStyle name="Percent 59 3" xfId="15074"/>
    <cellStyle name="Percent 59 4" xfId="15075"/>
    <cellStyle name="Percent 59 5" xfId="15076"/>
    <cellStyle name="Percent 59 6" xfId="15077"/>
    <cellStyle name="Percent 6" xfId="2216"/>
    <cellStyle name="Percent 6 2" xfId="15078"/>
    <cellStyle name="Percent 6 2 2" xfId="15079"/>
    <cellStyle name="Percent 6 2 3" xfId="15080"/>
    <cellStyle name="Percent 6 2 4" xfId="15081"/>
    <cellStyle name="Percent 6 2 5" xfId="15082"/>
    <cellStyle name="Percent 6 2 6" xfId="15083"/>
    <cellStyle name="Percent 6 3" xfId="15084"/>
    <cellStyle name="Percent 6 4" xfId="15085"/>
    <cellStyle name="Percent 6 5" xfId="15086"/>
    <cellStyle name="Percent 6 6" xfId="15087"/>
    <cellStyle name="Percent 6 7" xfId="15088"/>
    <cellStyle name="Percent 6 8" xfId="15089"/>
    <cellStyle name="Percent 6 9" xfId="15090"/>
    <cellStyle name="Percent 60" xfId="2217"/>
    <cellStyle name="Percent 60 2" xfId="2218"/>
    <cellStyle name="Percent 60 2 2" xfId="15091"/>
    <cellStyle name="Percent 60 2 3" xfId="15092"/>
    <cellStyle name="Percent 60 3" xfId="15093"/>
    <cellStyle name="Percent 60 4" xfId="15094"/>
    <cellStyle name="Percent 60 5" xfId="15095"/>
    <cellStyle name="Percent 60 6" xfId="15096"/>
    <cellStyle name="Percent 61" xfId="2219"/>
    <cellStyle name="Percent 61 2" xfId="2220"/>
    <cellStyle name="Percent 61 2 2" xfId="15097"/>
    <cellStyle name="Percent 61 2 3" xfId="15098"/>
    <cellStyle name="Percent 61 3" xfId="15099"/>
    <cellStyle name="Percent 61 4" xfId="15100"/>
    <cellStyle name="Percent 61 5" xfId="15101"/>
    <cellStyle name="Percent 61 6" xfId="15102"/>
    <cellStyle name="Percent 62" xfId="2221"/>
    <cellStyle name="Percent 62 2" xfId="2222"/>
    <cellStyle name="Percent 62 2 2" xfId="15103"/>
    <cellStyle name="Percent 62 2 3" xfId="15104"/>
    <cellStyle name="Percent 62 3" xfId="15105"/>
    <cellStyle name="Percent 62 4" xfId="15106"/>
    <cellStyle name="Percent 62 5" xfId="15107"/>
    <cellStyle name="Percent 62 6" xfId="15108"/>
    <cellStyle name="Percent 63" xfId="2223"/>
    <cellStyle name="Percent 63 2" xfId="2224"/>
    <cellStyle name="Percent 63 2 2" xfId="15109"/>
    <cellStyle name="Percent 63 2 3" xfId="15110"/>
    <cellStyle name="Percent 63 3" xfId="15111"/>
    <cellStyle name="Percent 63 4" xfId="15112"/>
    <cellStyle name="Percent 63 5" xfId="15113"/>
    <cellStyle name="Percent 63 6" xfId="15114"/>
    <cellStyle name="Percent 64" xfId="2225"/>
    <cellStyle name="Percent 64 2" xfId="2226"/>
    <cellStyle name="Percent 64 2 2" xfId="15115"/>
    <cellStyle name="Percent 64 2 3" xfId="15116"/>
    <cellStyle name="Percent 64 3" xfId="15117"/>
    <cellStyle name="Percent 64 4" xfId="15118"/>
    <cellStyle name="Percent 64 5" xfId="15119"/>
    <cellStyle name="Percent 64 6" xfId="15120"/>
    <cellStyle name="Percent 65" xfId="2227"/>
    <cellStyle name="Percent 65 2" xfId="2228"/>
    <cellStyle name="Percent 65 2 2" xfId="15121"/>
    <cellStyle name="Percent 65 2 3" xfId="15122"/>
    <cellStyle name="Percent 65 3" xfId="15123"/>
    <cellStyle name="Percent 65 4" xfId="15124"/>
    <cellStyle name="Percent 65 5" xfId="15125"/>
    <cellStyle name="Percent 65 6" xfId="15126"/>
    <cellStyle name="Percent 66" xfId="2229"/>
    <cellStyle name="Percent 66 2" xfId="2230"/>
    <cellStyle name="Percent 66 2 2" xfId="15127"/>
    <cellStyle name="Percent 66 2 3" xfId="15128"/>
    <cellStyle name="Percent 66 3" xfId="15129"/>
    <cellStyle name="Percent 66 4" xfId="15130"/>
    <cellStyle name="Percent 66 5" xfId="15131"/>
    <cellStyle name="Percent 66 6" xfId="15132"/>
    <cellStyle name="Percent 67" xfId="2231"/>
    <cellStyle name="Percent 67 2" xfId="2232"/>
    <cellStyle name="Percent 67 2 2" xfId="15133"/>
    <cellStyle name="Percent 67 2 3" xfId="15134"/>
    <cellStyle name="Percent 67 3" xfId="15135"/>
    <cellStyle name="Percent 67 4" xfId="15136"/>
    <cellStyle name="Percent 67 5" xfId="15137"/>
    <cellStyle name="Percent 67 6" xfId="15138"/>
    <cellStyle name="Percent 68" xfId="2233"/>
    <cellStyle name="Percent 68 2" xfId="2234"/>
    <cellStyle name="Percent 68 2 2" xfId="15139"/>
    <cellStyle name="Percent 68 2 3" xfId="15140"/>
    <cellStyle name="Percent 68 3" xfId="15141"/>
    <cellStyle name="Percent 68 4" xfId="15142"/>
    <cellStyle name="Percent 68 5" xfId="15143"/>
    <cellStyle name="Percent 68 6" xfId="15144"/>
    <cellStyle name="Percent 69" xfId="2235"/>
    <cellStyle name="Percent 69 2" xfId="2236"/>
    <cellStyle name="Percent 69 2 2" xfId="15145"/>
    <cellStyle name="Percent 69 2 3" xfId="15146"/>
    <cellStyle name="Percent 69 3" xfId="15147"/>
    <cellStyle name="Percent 69 4" xfId="15148"/>
    <cellStyle name="Percent 69 5" xfId="15149"/>
    <cellStyle name="Percent 69 6" xfId="15150"/>
    <cellStyle name="Percent 7" xfId="2237"/>
    <cellStyle name="Percent 7 10" xfId="15151"/>
    <cellStyle name="Percent 7 11" xfId="15152"/>
    <cellStyle name="Percent 7 2" xfId="15153"/>
    <cellStyle name="Percent 7 2 2" xfId="15154"/>
    <cellStyle name="Percent 7 2 2 2" xfId="15155"/>
    <cellStyle name="Percent 7 2 2 3" xfId="15156"/>
    <cellStyle name="Percent 7 2 3" xfId="15157"/>
    <cellStyle name="Percent 7 2 4" xfId="15158"/>
    <cellStyle name="Percent 7 3" xfId="15159"/>
    <cellStyle name="Percent 7 3 2" xfId="15160"/>
    <cellStyle name="Percent 7 3 2 2" xfId="15161"/>
    <cellStyle name="Percent 7 3 3" xfId="15162"/>
    <cellStyle name="Percent 7 4" xfId="15163"/>
    <cellStyle name="Percent 7 4 2" xfId="15164"/>
    <cellStyle name="Percent 7 5" xfId="15165"/>
    <cellStyle name="Percent 7 5 2" xfId="15166"/>
    <cellStyle name="Percent 7 6" xfId="15167"/>
    <cellStyle name="Percent 7 7" xfId="15168"/>
    <cellStyle name="Percent 7 8" xfId="15169"/>
    <cellStyle name="Percent 7 9" xfId="15170"/>
    <cellStyle name="Percent 70" xfId="2238"/>
    <cellStyle name="Percent 70 2" xfId="2239"/>
    <cellStyle name="Percent 70 2 2" xfId="15171"/>
    <cellStyle name="Percent 70 2 3" xfId="15172"/>
    <cellStyle name="Percent 70 3" xfId="15173"/>
    <cellStyle name="Percent 70 4" xfId="15174"/>
    <cellStyle name="Percent 70 5" xfId="15175"/>
    <cellStyle name="Percent 70 6" xfId="15176"/>
    <cellStyle name="Percent 71" xfId="2240"/>
    <cellStyle name="Percent 71 2" xfId="2241"/>
    <cellStyle name="Percent 71 3" xfId="15177"/>
    <cellStyle name="Percent 71 4" xfId="15178"/>
    <cellStyle name="Percent 72" xfId="2242"/>
    <cellStyle name="Percent 72 2" xfId="2243"/>
    <cellStyle name="Percent 72 3" xfId="15179"/>
    <cellStyle name="Percent 72 4" xfId="15180"/>
    <cellStyle name="Percent 73" xfId="2244"/>
    <cellStyle name="Percent 73 2" xfId="2245"/>
    <cellStyle name="Percent 73 3" xfId="15181"/>
    <cellStyle name="Percent 73 4" xfId="15182"/>
    <cellStyle name="Percent 74" xfId="2246"/>
    <cellStyle name="Percent 74 2" xfId="15183"/>
    <cellStyle name="Percent 74 3" xfId="15184"/>
    <cellStyle name="Percent 75" xfId="2247"/>
    <cellStyle name="Percent 75 2" xfId="15185"/>
    <cellStyle name="Percent 75 3" xfId="15186"/>
    <cellStyle name="Percent 76" xfId="2248"/>
    <cellStyle name="Percent 76 2" xfId="15187"/>
    <cellStyle name="Percent 76 3" xfId="15188"/>
    <cellStyle name="Percent 77" xfId="2249"/>
    <cellStyle name="Percent 77 2" xfId="15189"/>
    <cellStyle name="Percent 77 3" xfId="15190"/>
    <cellStyle name="Percent 78" xfId="2250"/>
    <cellStyle name="Percent 78 2" xfId="15191"/>
    <cellStyle name="Percent 78 3" xfId="15192"/>
    <cellStyle name="Percent 79" xfId="2251"/>
    <cellStyle name="Percent 79 2" xfId="15193"/>
    <cellStyle name="Percent 79 3" xfId="15194"/>
    <cellStyle name="Percent 8" xfId="2252"/>
    <cellStyle name="Percent 8 10" xfId="15195"/>
    <cellStyle name="Percent 8 2" xfId="15196"/>
    <cellStyle name="Percent 8 2 2" xfId="15197"/>
    <cellStyle name="Percent 8 2 2 2" xfId="15198"/>
    <cellStyle name="Percent 8 2 2 3" xfId="15199"/>
    <cellStyle name="Percent 8 2 3" xfId="15200"/>
    <cellStyle name="Percent 8 2 4" xfId="15201"/>
    <cellStyle name="Percent 8 3" xfId="15202"/>
    <cellStyle name="Percent 8 3 2" xfId="15203"/>
    <cellStyle name="Percent 8 3 2 2" xfId="15204"/>
    <cellStyle name="Percent 8 3 3" xfId="15205"/>
    <cellStyle name="Percent 8 4" xfId="15206"/>
    <cellStyle name="Percent 8 4 2" xfId="15207"/>
    <cellStyle name="Percent 8 5" xfId="15208"/>
    <cellStyle name="Percent 8 5 2" xfId="15209"/>
    <cellStyle name="Percent 8 6" xfId="15210"/>
    <cellStyle name="Percent 8 7" xfId="15211"/>
    <cellStyle name="Percent 8 8" xfId="15212"/>
    <cellStyle name="Percent 8 9" xfId="15213"/>
    <cellStyle name="Percent 80" xfId="2253"/>
    <cellStyle name="Percent 80 2" xfId="15214"/>
    <cellStyle name="Percent 80 3" xfId="15215"/>
    <cellStyle name="Percent 81" xfId="2254"/>
    <cellStyle name="Percent 81 2" xfId="15216"/>
    <cellStyle name="Percent 81 3" xfId="15217"/>
    <cellStyle name="Percent 82" xfId="2255"/>
    <cellStyle name="Percent 82 2" xfId="15218"/>
    <cellStyle name="Percent 82 3" xfId="15219"/>
    <cellStyle name="Percent 83" xfId="2256"/>
    <cellStyle name="Percent 83 2" xfId="15220"/>
    <cellStyle name="Percent 83 3" xfId="15221"/>
    <cellStyle name="Percent 84" xfId="2257"/>
    <cellStyle name="Percent 84 2" xfId="15222"/>
    <cellStyle name="Percent 84 3" xfId="15223"/>
    <cellStyle name="Percent 85" xfId="2258"/>
    <cellStyle name="Percent 85 2" xfId="15224"/>
    <cellStyle name="Percent 85 3" xfId="15225"/>
    <cellStyle name="Percent 86" xfId="2259"/>
    <cellStyle name="Percent 86 2" xfId="15226"/>
    <cellStyle name="Percent 86 3" xfId="15227"/>
    <cellStyle name="Percent 87" xfId="2260"/>
    <cellStyle name="Percent 87 2" xfId="15228"/>
    <cellStyle name="Percent 87 3" xfId="15229"/>
    <cellStyle name="Percent 88" xfId="2261"/>
    <cellStyle name="Percent 88 2" xfId="15230"/>
    <cellStyle name="Percent 88 3" xfId="15231"/>
    <cellStyle name="Percent 89" xfId="2262"/>
    <cellStyle name="Percent 89 2" xfId="15232"/>
    <cellStyle name="Percent 89 3" xfId="15233"/>
    <cellStyle name="Percent 9" xfId="2263"/>
    <cellStyle name="Percent 9 2" xfId="15234"/>
    <cellStyle name="Percent 9 2 2" xfId="15235"/>
    <cellStyle name="Percent 9 2 2 2" xfId="15236"/>
    <cellStyle name="Percent 9 2 3" xfId="15237"/>
    <cellStyle name="Percent 9 2 4" xfId="15238"/>
    <cellStyle name="Percent 9 3" xfId="15239"/>
    <cellStyle name="Percent 9 3 2" xfId="15240"/>
    <cellStyle name="Percent 9 3 3" xfId="15241"/>
    <cellStyle name="Percent 9 4" xfId="15242"/>
    <cellStyle name="Percent 9 5" xfId="15243"/>
    <cellStyle name="Percent 9 6" xfId="15244"/>
    <cellStyle name="Percent 9 7" xfId="15245"/>
    <cellStyle name="Percent 9 8" xfId="15246"/>
    <cellStyle name="Percent 90" xfId="2264"/>
    <cellStyle name="Percent 90 2" xfId="15247"/>
    <cellStyle name="Percent 90 3" xfId="15248"/>
    <cellStyle name="Percent 91" xfId="15249"/>
    <cellStyle name="Percent 92" xfId="15250"/>
    <cellStyle name="Percent 93" xfId="15251"/>
    <cellStyle name="Percent 94" xfId="15252"/>
    <cellStyle name="Percent 95" xfId="15253"/>
    <cellStyle name="Percent 96" xfId="15254"/>
    <cellStyle name="Percent 97" xfId="15255"/>
    <cellStyle name="Percent 98" xfId="15256"/>
    <cellStyle name="Percent 99" xfId="15257"/>
    <cellStyle name="Pink" xfId="2265"/>
    <cellStyle name="pricedatabold" xfId="15258"/>
    <cellStyle name="pricedatanorm" xfId="15259"/>
    <cellStyle name="PSChar" xfId="15260"/>
    <cellStyle name="PSChar 2" xfId="15261"/>
    <cellStyle name="PSDate" xfId="15262"/>
    <cellStyle name="PSDate 2" xfId="15263"/>
    <cellStyle name="PSDec" xfId="15264"/>
    <cellStyle name="PSDec 2" xfId="15265"/>
    <cellStyle name="PSHeading" xfId="15266"/>
    <cellStyle name="PSHeading 2" xfId="15267"/>
    <cellStyle name="PSInt" xfId="15268"/>
    <cellStyle name="PSInt 2" xfId="15269"/>
    <cellStyle name="PSSpacer" xfId="15270"/>
    <cellStyle name="PSSpacer 2" xfId="15271"/>
    <cellStyle name="Punctuated 0." xfId="15272"/>
    <cellStyle name="Punctuated 0.00" xfId="15273"/>
    <cellStyle name="Read-Only" xfId="15274"/>
    <cellStyle name="Read-Only (bottom table)" xfId="15275"/>
    <cellStyle name="Read-Only (calc)" xfId="15276"/>
    <cellStyle name="Read-Only (calc, left)" xfId="15277"/>
    <cellStyle name="Read-Only (calc, no border)" xfId="15278"/>
    <cellStyle name="Read-Only (header)" xfId="15279"/>
    <cellStyle name="Read-Only (header, center)" xfId="15280"/>
    <cellStyle name="Read-Only (header, left)" xfId="15281"/>
    <cellStyle name="Read-Only (header, no border)" xfId="15282"/>
    <cellStyle name="Read-Only (header, no border, left)" xfId="15283"/>
    <cellStyle name="Read-Only (left)" xfId="15284"/>
    <cellStyle name="Read-Only (no border)" xfId="15285"/>
    <cellStyle name="Read-Only (no border,vcenter)" xfId="15286"/>
    <cellStyle name="Read-Only (noalign)" xfId="15287"/>
    <cellStyle name="Read-Only lrg" xfId="15288"/>
    <cellStyle name="Red" xfId="2266"/>
    <cellStyle name="Remote" xfId="2343"/>
    <cellStyle name="Remote 2" xfId="15289"/>
    <cellStyle name="Remote 3" xfId="15290"/>
    <cellStyle name="Revenue" xfId="2344"/>
    <cellStyle name="Revenue 2" xfId="15291"/>
    <cellStyle name="Revenue 3" xfId="15292"/>
    <cellStyle name="RevList" xfId="2345"/>
    <cellStyle name="RevList 2" xfId="15293"/>
    <cellStyle name="RevList 3" xfId="15294"/>
    <cellStyle name="RMB" xfId="2267"/>
    <cellStyle name="Rmb [0]" xfId="2268"/>
    <cellStyle name="RMB 0.00" xfId="2269"/>
    <cellStyle name="SAPBEXstdData" xfId="15295"/>
    <cellStyle name="SAPBEXstdData 2" xfId="16153"/>
    <cellStyle name="Sheet Title" xfId="15296"/>
    <cellStyle name="small" xfId="15297"/>
    <cellStyle name="small 2" xfId="16154"/>
    <cellStyle name="SpacerLastRO" xfId="15298"/>
    <cellStyle name="SpacerLastRO 2" xfId="15299"/>
    <cellStyle name="SpacerLastRO 3" xfId="15300"/>
    <cellStyle name="SpacerLastRO 4" xfId="15301"/>
    <cellStyle name="SpacerRO" xfId="15302"/>
    <cellStyle name="SpacerRO 2" xfId="15303"/>
    <cellStyle name="SpacerRO 3" xfId="15304"/>
    <cellStyle name="SpacerRO 3 2" xfId="15305"/>
    <cellStyle name="SpacerRO 4" xfId="15306"/>
    <cellStyle name="SpacerRO 4 2" xfId="15307"/>
    <cellStyle name="SpacerRO 5" xfId="15308"/>
    <cellStyle name="SpacerRO 5 2" xfId="15309"/>
    <cellStyle name="Spaceryesterday" xfId="15310"/>
    <cellStyle name="SpaceryesterdayLast" xfId="15311"/>
    <cellStyle name="SpacetomorrowRO" xfId="15312"/>
    <cellStyle name="Special" xfId="2270"/>
    <cellStyle name="Standard_Anpassen der Amortisation" xfId="2271"/>
    <cellStyle name="sterday]" xfId="15313"/>
    <cellStyle name="Style 1" xfId="2272"/>
    <cellStyle name="Style 1 10" xfId="15314"/>
    <cellStyle name="Style 1 11" xfId="15315"/>
    <cellStyle name="Style 1 12" xfId="15316"/>
    <cellStyle name="Style 1 2" xfId="15317"/>
    <cellStyle name="Style 1 2 2" xfId="15318"/>
    <cellStyle name="Style 1 2 3" xfId="15319"/>
    <cellStyle name="Style 1 2 4" xfId="15320"/>
    <cellStyle name="Style 1 2 5" xfId="15321"/>
    <cellStyle name="Style 1 2 6" xfId="15322"/>
    <cellStyle name="Style 1 3" xfId="15323"/>
    <cellStyle name="Style 1 3 2" xfId="15324"/>
    <cellStyle name="Style 1 3 3" xfId="15325"/>
    <cellStyle name="Style 1 3 4" xfId="15326"/>
    <cellStyle name="Style 1 3 5" xfId="15327"/>
    <cellStyle name="Style 1 4" xfId="15328"/>
    <cellStyle name="Style 1 4 2" xfId="15329"/>
    <cellStyle name="Style 1 4 3" xfId="15330"/>
    <cellStyle name="Style 1 5" xfId="15331"/>
    <cellStyle name="Style 1 6" xfId="15332"/>
    <cellStyle name="Style 1 7" xfId="15333"/>
    <cellStyle name="Style 1 8" xfId="15334"/>
    <cellStyle name="Style 1 9" xfId="15335"/>
    <cellStyle name="Style 10" xfId="15336"/>
    <cellStyle name="Style 100" xfId="15337"/>
    <cellStyle name="Style 101" xfId="15338"/>
    <cellStyle name="Style 102" xfId="15339"/>
    <cellStyle name="Style 103" xfId="15340"/>
    <cellStyle name="Style 104" xfId="15341"/>
    <cellStyle name="Style 105" xfId="15342"/>
    <cellStyle name="Style 106" xfId="15343"/>
    <cellStyle name="Style 106 2" xfId="15344"/>
    <cellStyle name="Style 107" xfId="15345"/>
    <cellStyle name="Style 108" xfId="15346"/>
    <cellStyle name="Style 109" xfId="15347"/>
    <cellStyle name="Style 11" xfId="15348"/>
    <cellStyle name="Style 110" xfId="15349"/>
    <cellStyle name="Style 111" xfId="15350"/>
    <cellStyle name="Style 112" xfId="15351"/>
    <cellStyle name="Style 113" xfId="15352"/>
    <cellStyle name="Style 114" xfId="15353"/>
    <cellStyle name="Style 115" xfId="15354"/>
    <cellStyle name="Style 12" xfId="15355"/>
    <cellStyle name="Style 13" xfId="15356"/>
    <cellStyle name="Style 14" xfId="15357"/>
    <cellStyle name="Style 15" xfId="15358"/>
    <cellStyle name="Style 16" xfId="15359"/>
    <cellStyle name="Style 17" xfId="15360"/>
    <cellStyle name="Style 18" xfId="15361"/>
    <cellStyle name="Style 19" xfId="15362"/>
    <cellStyle name="Style 2" xfId="15363"/>
    <cellStyle name="Style 20" xfId="15364"/>
    <cellStyle name="Style 21" xfId="2346"/>
    <cellStyle name="Style 21 2" xfId="15365"/>
    <cellStyle name="Style 21 3" xfId="15366"/>
    <cellStyle name="Style 21 4" xfId="15367"/>
    <cellStyle name="Style 21 5" xfId="15368"/>
    <cellStyle name="Style 21 6" xfId="15369"/>
    <cellStyle name="Style 21 7" xfId="15370"/>
    <cellStyle name="Style 22" xfId="2347"/>
    <cellStyle name="Style 22 10" xfId="16155"/>
    <cellStyle name="Style 22 2" xfId="15371"/>
    <cellStyle name="Style 22 2 2" xfId="15372"/>
    <cellStyle name="Style 22 3" xfId="15373"/>
    <cellStyle name="Style 22 4" xfId="15374"/>
    <cellStyle name="Style 22 5" xfId="15375"/>
    <cellStyle name="Style 22 6" xfId="15376"/>
    <cellStyle name="Style 22 7" xfId="15377"/>
    <cellStyle name="Style 22 8" xfId="15378"/>
    <cellStyle name="Style 22 9" xfId="15379"/>
    <cellStyle name="Style 23" xfId="2348"/>
    <cellStyle name="Style 23 2" xfId="15380"/>
    <cellStyle name="Style 23 2 2" xfId="15381"/>
    <cellStyle name="Style 23 3" xfId="15382"/>
    <cellStyle name="Style 23 4" xfId="15383"/>
    <cellStyle name="Style 23 5" xfId="15384"/>
    <cellStyle name="Style 23 6" xfId="15385"/>
    <cellStyle name="Style 23 7" xfId="15386"/>
    <cellStyle name="Style 23 8" xfId="15387"/>
    <cellStyle name="Style 23 9" xfId="16156"/>
    <cellStyle name="Style 24" xfId="2349"/>
    <cellStyle name="Style 24 2" xfId="15388"/>
    <cellStyle name="Style 24 2 2" xfId="15389"/>
    <cellStyle name="Style 24 3" xfId="15390"/>
    <cellStyle name="Style 24 4" xfId="15391"/>
    <cellStyle name="Style 24 5" xfId="15392"/>
    <cellStyle name="Style 24 6" xfId="15393"/>
    <cellStyle name="Style 24 7" xfId="15394"/>
    <cellStyle name="Style 24 8" xfId="15395"/>
    <cellStyle name="Style 24 9" xfId="16157"/>
    <cellStyle name="Style 25" xfId="2350"/>
    <cellStyle name="Style 25 2" xfId="15396"/>
    <cellStyle name="Style 25 3" xfId="15397"/>
    <cellStyle name="Style 25 4" xfId="15398"/>
    <cellStyle name="Style 25 5" xfId="15399"/>
    <cellStyle name="Style 25 6" xfId="15400"/>
    <cellStyle name="Style 26" xfId="2351"/>
    <cellStyle name="Style 26 2" xfId="15401"/>
    <cellStyle name="Style 26 3" xfId="15402"/>
    <cellStyle name="Style 26 4" xfId="15403"/>
    <cellStyle name="Style 26 5" xfId="15404"/>
    <cellStyle name="Style 26 6" xfId="15405"/>
    <cellStyle name="Style 27" xfId="2352"/>
    <cellStyle name="Style 27 2" xfId="15406"/>
    <cellStyle name="Style 27 3" xfId="15407"/>
    <cellStyle name="Style 27 4" xfId="15408"/>
    <cellStyle name="Style 27 5" xfId="15409"/>
    <cellStyle name="Style 27 6" xfId="15410"/>
    <cellStyle name="Style 28" xfId="2353"/>
    <cellStyle name="Style 28 2" xfId="15411"/>
    <cellStyle name="Style 28 3" xfId="15412"/>
    <cellStyle name="Style 28 4" xfId="15413"/>
    <cellStyle name="Style 28 5" xfId="15414"/>
    <cellStyle name="Style 28 6" xfId="15415"/>
    <cellStyle name="Style 29" xfId="2354"/>
    <cellStyle name="Style 29 2" xfId="15416"/>
    <cellStyle name="Style 29 3" xfId="15417"/>
    <cellStyle name="Style 29 4" xfId="15418"/>
    <cellStyle name="Style 29 5" xfId="15419"/>
    <cellStyle name="Style 29 6" xfId="15420"/>
    <cellStyle name="Style 3" xfId="15421"/>
    <cellStyle name="Style 3 2" xfId="15422"/>
    <cellStyle name="Style 30" xfId="2355"/>
    <cellStyle name="Style 30 2" xfId="15423"/>
    <cellStyle name="Style 30 3" xfId="15424"/>
    <cellStyle name="Style 30 4" xfId="15425"/>
    <cellStyle name="Style 30 5" xfId="15426"/>
    <cellStyle name="Style 30 6" xfId="15427"/>
    <cellStyle name="Style 31" xfId="2356"/>
    <cellStyle name="Style 31 2" xfId="15428"/>
    <cellStyle name="Style 31 3" xfId="15429"/>
    <cellStyle name="Style 31 4" xfId="15430"/>
    <cellStyle name="Style 31 5" xfId="15431"/>
    <cellStyle name="Style 31 6" xfId="15432"/>
    <cellStyle name="Style 32" xfId="2357"/>
    <cellStyle name="Style 32 2" xfId="15433"/>
    <cellStyle name="Style 32 3" xfId="15434"/>
    <cellStyle name="Style 32 4" xfId="15435"/>
    <cellStyle name="Style 32 5" xfId="15436"/>
    <cellStyle name="Style 32 6" xfId="15437"/>
    <cellStyle name="Style 33" xfId="2358"/>
    <cellStyle name="Style 33 2" xfId="15438"/>
    <cellStyle name="Style 33 3" xfId="15439"/>
    <cellStyle name="Style 33 4" xfId="15440"/>
    <cellStyle name="Style 33 5" xfId="15441"/>
    <cellStyle name="Style 33 6" xfId="15442"/>
    <cellStyle name="Style 34" xfId="2359"/>
    <cellStyle name="Style 34 2" xfId="15443"/>
    <cellStyle name="Style 34 3" xfId="15444"/>
    <cellStyle name="Style 34 4" xfId="15445"/>
    <cellStyle name="Style 34 5" xfId="15446"/>
    <cellStyle name="Style 34 6" xfId="15447"/>
    <cellStyle name="Style 35" xfId="2360"/>
    <cellStyle name="Style 35 2" xfId="15448"/>
    <cellStyle name="Style 35 3" xfId="15449"/>
    <cellStyle name="Style 35 4" xfId="15450"/>
    <cellStyle name="Style 35 5" xfId="15451"/>
    <cellStyle name="Style 35 6" xfId="15452"/>
    <cellStyle name="Style 35 7" xfId="15453"/>
    <cellStyle name="Style 36" xfId="2361"/>
    <cellStyle name="Style 36 2" xfId="15454"/>
    <cellStyle name="Style 36 3" xfId="15455"/>
    <cellStyle name="Style 36 4" xfId="15456"/>
    <cellStyle name="Style 36 5" xfId="15457"/>
    <cellStyle name="Style 36 6" xfId="15458"/>
    <cellStyle name="Style 36 7" xfId="15459"/>
    <cellStyle name="Style 37" xfId="15460"/>
    <cellStyle name="Style 38" xfId="15461"/>
    <cellStyle name="Style 39" xfId="2362"/>
    <cellStyle name="Style 39 10" xfId="15952"/>
    <cellStyle name="Style 39 11" xfId="15953"/>
    <cellStyle name="Style 39 12" xfId="15954"/>
    <cellStyle name="Style 39 13" xfId="15955"/>
    <cellStyle name="Style 39 2" xfId="15462"/>
    <cellStyle name="Style 39 3" xfId="15463"/>
    <cellStyle name="Style 39 4" xfId="15956"/>
    <cellStyle name="Style 39 5" xfId="15957"/>
    <cellStyle name="Style 39 6" xfId="15958"/>
    <cellStyle name="Style 39 7" xfId="15959"/>
    <cellStyle name="Style 39 8" xfId="15960"/>
    <cellStyle name="Style 39 9" xfId="15961"/>
    <cellStyle name="Style 4" xfId="15464"/>
    <cellStyle name="Style 4 2" xfId="15465"/>
    <cellStyle name="Style 40" xfId="15466"/>
    <cellStyle name="Style 41" xfId="15467"/>
    <cellStyle name="Style 42" xfId="15468"/>
    <cellStyle name="Style 43" xfId="15469"/>
    <cellStyle name="Style 44" xfId="15470"/>
    <cellStyle name="Style 45" xfId="15471"/>
    <cellStyle name="Style 46" xfId="15472"/>
    <cellStyle name="Style 47" xfId="15473"/>
    <cellStyle name="Style 48" xfId="15474"/>
    <cellStyle name="Style 49" xfId="15475"/>
    <cellStyle name="Style 5" xfId="15476"/>
    <cellStyle name="Style 50" xfId="15477"/>
    <cellStyle name="Style 51" xfId="15478"/>
    <cellStyle name="Style 52" xfId="15479"/>
    <cellStyle name="Style 53" xfId="15480"/>
    <cellStyle name="Style 54" xfId="15481"/>
    <cellStyle name="Style 55" xfId="15482"/>
    <cellStyle name="Style 56" xfId="15483"/>
    <cellStyle name="Style 57" xfId="15484"/>
    <cellStyle name="Style 58" xfId="15485"/>
    <cellStyle name="Style 59" xfId="15486"/>
    <cellStyle name="Style 6" xfId="15487"/>
    <cellStyle name="Style 6 2" xfId="15488"/>
    <cellStyle name="Style 60" xfId="15489"/>
    <cellStyle name="Style 61" xfId="15490"/>
    <cellStyle name="Style 62" xfId="15491"/>
    <cellStyle name="Style 63" xfId="15492"/>
    <cellStyle name="Style 64" xfId="15493"/>
    <cellStyle name="Style 65" xfId="15494"/>
    <cellStyle name="Style 66" xfId="15495"/>
    <cellStyle name="Style 67" xfId="15496"/>
    <cellStyle name="Style 68" xfId="15497"/>
    <cellStyle name="Style 69" xfId="15498"/>
    <cellStyle name="Style 7" xfId="15499"/>
    <cellStyle name="Style 70" xfId="15500"/>
    <cellStyle name="Style 71" xfId="15501"/>
    <cellStyle name="Style 72" xfId="15502"/>
    <cellStyle name="Style 73" xfId="15503"/>
    <cellStyle name="Style 74" xfId="15504"/>
    <cellStyle name="Style 75" xfId="15505"/>
    <cellStyle name="Style 76" xfId="15506"/>
    <cellStyle name="Style 77" xfId="15507"/>
    <cellStyle name="Style 78" xfId="15508"/>
    <cellStyle name="Style 79" xfId="15509"/>
    <cellStyle name="Style 8" xfId="15510"/>
    <cellStyle name="Style 80" xfId="15511"/>
    <cellStyle name="Style 81" xfId="15512"/>
    <cellStyle name="Style 82" xfId="15513"/>
    <cellStyle name="Style 83" xfId="15514"/>
    <cellStyle name="Style 84" xfId="15515"/>
    <cellStyle name="Style 85" xfId="15516"/>
    <cellStyle name="Style 86" xfId="15517"/>
    <cellStyle name="Style 87" xfId="15518"/>
    <cellStyle name="Style 88" xfId="15519"/>
    <cellStyle name="Style 89" xfId="15520"/>
    <cellStyle name="Style 9" xfId="15521"/>
    <cellStyle name="Style 90" xfId="15522"/>
    <cellStyle name="Style 91" xfId="15523"/>
    <cellStyle name="Style 92" xfId="15524"/>
    <cellStyle name="Style 93" xfId="15525"/>
    <cellStyle name="Style 94" xfId="15526"/>
    <cellStyle name="Style 95" xfId="15527"/>
    <cellStyle name="Style 96" xfId="15528"/>
    <cellStyle name="Style 97" xfId="15529"/>
    <cellStyle name="Style 98" xfId="15530"/>
    <cellStyle name="Style 99" xfId="15531"/>
    <cellStyle name="STYLE1" xfId="2363"/>
    <cellStyle name="STYLE2" xfId="2364"/>
    <cellStyle name="Subtotal" xfId="2365"/>
    <cellStyle name="Subtotal 2" xfId="15532"/>
    <cellStyle name="Subtotal 3" xfId="15533"/>
    <cellStyle name="Table Data" xfId="15534"/>
    <cellStyle name="Table Headings Bold" xfId="15535"/>
    <cellStyle name="test a style" xfId="2366"/>
    <cellStyle name="test a style 2" xfId="15536"/>
    <cellStyle name="test a style 3" xfId="15537"/>
    <cellStyle name="Times New Rom_CCRr," xfId="15538"/>
    <cellStyle name="Times New Roman" xfId="2273"/>
    <cellStyle name="Times New Roman 2" xfId="15539"/>
    <cellStyle name="Times New Roman 3" xfId="15540"/>
    <cellStyle name="Times New RomLa" xfId="15541"/>
    <cellStyle name="Title" xfId="16056" builtinId="15" customBuiltin="1"/>
    <cellStyle name="Title 10" xfId="16001"/>
    <cellStyle name="Title 2" xfId="2274"/>
    <cellStyle name="Title 2 2" xfId="15542"/>
    <cellStyle name="Title 2 2 2" xfId="15543"/>
    <cellStyle name="Title 2 2 3" xfId="16924"/>
    <cellStyle name="Title 2 3" xfId="15544"/>
    <cellStyle name="Title 2 4" xfId="15545"/>
    <cellStyle name="Title 2 5" xfId="15546"/>
    <cellStyle name="Title 2 6" xfId="15547"/>
    <cellStyle name="Title 2 7" xfId="15548"/>
    <cellStyle name="Title 2 8" xfId="16158"/>
    <cellStyle name="Title 3" xfId="15549"/>
    <cellStyle name="Title 3 2" xfId="15550"/>
    <cellStyle name="Title 3 2 2" xfId="15551"/>
    <cellStyle name="Title 3 2 3" xfId="16962"/>
    <cellStyle name="Title 3 3" xfId="15552"/>
    <cellStyle name="Title 3 4" xfId="15553"/>
    <cellStyle name="Title 3 5" xfId="15554"/>
    <cellStyle name="Title 3 6" xfId="16159"/>
    <cellStyle name="Title 4" xfId="15555"/>
    <cellStyle name="Title 4 2" xfId="15556"/>
    <cellStyle name="Title 4 2 2" xfId="15557"/>
    <cellStyle name="Title 4 3" xfId="15558"/>
    <cellStyle name="Title 4 4" xfId="15559"/>
    <cellStyle name="Title 4 5" xfId="16906"/>
    <cellStyle name="Title 5" xfId="15560"/>
    <cellStyle name="Title 6" xfId="15561"/>
    <cellStyle name="Title 7" xfId="15562"/>
    <cellStyle name="Title 8" xfId="15563"/>
    <cellStyle name="Title 9" xfId="15564"/>
    <cellStyle name="Total" xfId="19652" builtinId="25" customBuiltin="1"/>
    <cellStyle name="Total 10" xfId="15565"/>
    <cellStyle name="Total 10 2" xfId="15566"/>
    <cellStyle name="Total 10 3" xfId="15567"/>
    <cellStyle name="Total 10 4" xfId="15568"/>
    <cellStyle name="Total 10 5" xfId="15569"/>
    <cellStyle name="Total 11" xfId="15570"/>
    <cellStyle name="Total 11 2" xfId="15571"/>
    <cellStyle name="Total 11 3" xfId="15572"/>
    <cellStyle name="Total 11 4" xfId="15573"/>
    <cellStyle name="Total 11 5" xfId="15574"/>
    <cellStyle name="Total 12" xfId="15575"/>
    <cellStyle name="Total 12 2" xfId="15576"/>
    <cellStyle name="Total 12 3" xfId="15577"/>
    <cellStyle name="Total 12 4" xfId="15578"/>
    <cellStyle name="Total 12 5" xfId="15579"/>
    <cellStyle name="Total 13" xfId="15580"/>
    <cellStyle name="Total 13 2" xfId="15581"/>
    <cellStyle name="Total 13 3" xfId="15582"/>
    <cellStyle name="Total 13 4" xfId="15583"/>
    <cellStyle name="Total 13 5" xfId="15584"/>
    <cellStyle name="Total 14" xfId="15585"/>
    <cellStyle name="Total 15" xfId="15586"/>
    <cellStyle name="Total 15 2" xfId="15587"/>
    <cellStyle name="Total 15 3" xfId="15588"/>
    <cellStyle name="Total 16" xfId="15589"/>
    <cellStyle name="Total 17" xfId="16002"/>
    <cellStyle name="Total 18" xfId="16196"/>
    <cellStyle name="Total 2" xfId="2275"/>
    <cellStyle name="Total 2 10" xfId="15590"/>
    <cellStyle name="Total 2 11" xfId="15591"/>
    <cellStyle name="Total 2 12" xfId="15592"/>
    <cellStyle name="Total 2 13" xfId="15593"/>
    <cellStyle name="Total 2 14" xfId="15594"/>
    <cellStyle name="Total 2 15" xfId="15595"/>
    <cellStyle name="Total 2 16" xfId="15596"/>
    <cellStyle name="Total 2 17" xfId="15597"/>
    <cellStyle name="Total 2 18" xfId="15598"/>
    <cellStyle name="Total 2 19" xfId="15599"/>
    <cellStyle name="Total 2 2" xfId="15600"/>
    <cellStyle name="Total 2 2 2" xfId="15601"/>
    <cellStyle name="Total 2 2 3" xfId="15602"/>
    <cellStyle name="Total 2 2 4" xfId="16925"/>
    <cellStyle name="Total 2 2 5" xfId="19752"/>
    <cellStyle name="Total 2 20" xfId="15603"/>
    <cellStyle name="Total 2 21" xfId="15604"/>
    <cellStyle name="Total 2 22" xfId="15605"/>
    <cellStyle name="Total 2 23" xfId="15606"/>
    <cellStyle name="Total 2 24" xfId="15607"/>
    <cellStyle name="Total 2 25" xfId="15608"/>
    <cellStyle name="Total 2 25 2" xfId="15609"/>
    <cellStyle name="Total 2 26" xfId="15610"/>
    <cellStyle name="Total 2 27" xfId="15611"/>
    <cellStyle name="Total 2 28" xfId="15612"/>
    <cellStyle name="Total 2 29" xfId="15613"/>
    <cellStyle name="Total 2 3" xfId="15614"/>
    <cellStyle name="Total 2 3 2" xfId="15615"/>
    <cellStyle name="Total 2 30" xfId="15616"/>
    <cellStyle name="Total 2 31" xfId="15617"/>
    <cellStyle name="Total 2 32" xfId="15618"/>
    <cellStyle name="Total 2 33" xfId="16160"/>
    <cellStyle name="Total 2 34" xfId="19751"/>
    <cellStyle name="Total 2 4" xfId="15619"/>
    <cellStyle name="Total 2 4 2" xfId="15620"/>
    <cellStyle name="Total 2 5" xfId="15621"/>
    <cellStyle name="Total 2 6" xfId="15622"/>
    <cellStyle name="Total 2 7" xfId="15623"/>
    <cellStyle name="Total 2 8" xfId="15624"/>
    <cellStyle name="Total 2 9" xfId="15625"/>
    <cellStyle name="Total 3" xfId="15626"/>
    <cellStyle name="Total 3 10" xfId="15627"/>
    <cellStyle name="Total 3 11" xfId="15628"/>
    <cellStyle name="Total 3 12" xfId="15629"/>
    <cellStyle name="Total 3 13" xfId="15630"/>
    <cellStyle name="Total 3 14" xfId="15631"/>
    <cellStyle name="Total 3 15" xfId="15632"/>
    <cellStyle name="Total 3 16" xfId="15633"/>
    <cellStyle name="Total 3 17" xfId="15634"/>
    <cellStyle name="Total 3 18" xfId="15635"/>
    <cellStyle name="Total 3 19" xfId="15636"/>
    <cellStyle name="Total 3 2" xfId="15637"/>
    <cellStyle name="Total 3 2 2" xfId="15638"/>
    <cellStyle name="Total 3 2 3" xfId="16963"/>
    <cellStyle name="Total 3 20" xfId="15639"/>
    <cellStyle name="Total 3 21" xfId="15640"/>
    <cellStyle name="Total 3 22" xfId="15641"/>
    <cellStyle name="Total 3 23" xfId="15642"/>
    <cellStyle name="Total 3 24" xfId="15643"/>
    <cellStyle name="Total 3 25" xfId="15644"/>
    <cellStyle name="Total 3 25 2" xfId="15645"/>
    <cellStyle name="Total 3 26" xfId="15646"/>
    <cellStyle name="Total 3 27" xfId="16161"/>
    <cellStyle name="Total 3 28" xfId="19753"/>
    <cellStyle name="Total 3 3" xfId="15647"/>
    <cellStyle name="Total 3 4" xfId="15648"/>
    <cellStyle name="Total 3 5" xfId="15649"/>
    <cellStyle name="Total 3 6" xfId="15650"/>
    <cellStyle name="Total 3 7" xfId="15651"/>
    <cellStyle name="Total 3 8" xfId="15652"/>
    <cellStyle name="Total 3 9" xfId="15653"/>
    <cellStyle name="Total 4" xfId="15654"/>
    <cellStyle name="Total 4 10" xfId="15655"/>
    <cellStyle name="Total 4 11" xfId="15656"/>
    <cellStyle name="Total 4 12" xfId="15657"/>
    <cellStyle name="Total 4 13" xfId="15658"/>
    <cellStyle name="Total 4 14" xfId="15659"/>
    <cellStyle name="Total 4 15" xfId="15660"/>
    <cellStyle name="Total 4 16" xfId="15661"/>
    <cellStyle name="Total 4 17" xfId="15662"/>
    <cellStyle name="Total 4 18" xfId="15663"/>
    <cellStyle name="Total 4 19" xfId="15664"/>
    <cellStyle name="Total 4 2" xfId="15665"/>
    <cellStyle name="Total 4 2 2" xfId="15666"/>
    <cellStyle name="Total 4 20" xfId="15667"/>
    <cellStyle name="Total 4 21" xfId="15668"/>
    <cellStyle name="Total 4 22" xfId="15669"/>
    <cellStyle name="Total 4 23" xfId="15670"/>
    <cellStyle name="Total 4 24" xfId="15671"/>
    <cellStyle name="Total 4 25" xfId="15672"/>
    <cellStyle name="Total 4 25 2" xfId="15673"/>
    <cellStyle name="Total 4 26" xfId="15674"/>
    <cellStyle name="Total 4 27" xfId="15675"/>
    <cellStyle name="Total 4 28" xfId="16907"/>
    <cellStyle name="Total 4 29" xfId="19754"/>
    <cellStyle name="Total 4 3" xfId="15676"/>
    <cellStyle name="Total 4 4" xfId="15677"/>
    <cellStyle name="Total 4 5" xfId="15678"/>
    <cellStyle name="Total 4 6" xfId="15679"/>
    <cellStyle name="Total 4 7" xfId="15680"/>
    <cellStyle name="Total 4 8" xfId="15681"/>
    <cellStyle name="Total 4 9" xfId="15682"/>
    <cellStyle name="Total 5" xfId="15683"/>
    <cellStyle name="Total 5 10" xfId="15684"/>
    <cellStyle name="Total 5 11" xfId="15685"/>
    <cellStyle name="Total 5 12" xfId="15686"/>
    <cellStyle name="Total 5 13" xfId="15687"/>
    <cellStyle name="Total 5 14" xfId="15688"/>
    <cellStyle name="Total 5 15" xfId="15689"/>
    <cellStyle name="Total 5 16" xfId="15690"/>
    <cellStyle name="Total 5 17" xfId="15691"/>
    <cellStyle name="Total 5 18" xfId="15692"/>
    <cellStyle name="Total 5 19" xfId="15693"/>
    <cellStyle name="Total 5 2" xfId="15694"/>
    <cellStyle name="Total 5 20" xfId="15695"/>
    <cellStyle name="Total 5 21" xfId="15696"/>
    <cellStyle name="Total 5 22" xfId="15697"/>
    <cellStyle name="Total 5 23" xfId="15698"/>
    <cellStyle name="Total 5 24" xfId="15699"/>
    <cellStyle name="Total 5 25" xfId="15700"/>
    <cellStyle name="Total 5 26" xfId="16530"/>
    <cellStyle name="Total 5 27" xfId="19755"/>
    <cellStyle name="Total 5 3" xfId="15701"/>
    <cellStyle name="Total 5 4" xfId="15702"/>
    <cellStyle name="Total 5 5" xfId="15703"/>
    <cellStyle name="Total 5 6" xfId="15704"/>
    <cellStyle name="Total 5 7" xfId="15705"/>
    <cellStyle name="Total 5 8" xfId="15706"/>
    <cellStyle name="Total 5 9" xfId="15707"/>
    <cellStyle name="Total 6" xfId="15708"/>
    <cellStyle name="Total 6 10" xfId="15709"/>
    <cellStyle name="Total 6 11" xfId="15710"/>
    <cellStyle name="Total 6 12" xfId="15711"/>
    <cellStyle name="Total 6 13" xfId="15712"/>
    <cellStyle name="Total 6 14" xfId="15713"/>
    <cellStyle name="Total 6 15" xfId="15714"/>
    <cellStyle name="Total 6 16" xfId="15715"/>
    <cellStyle name="Total 6 17" xfId="15716"/>
    <cellStyle name="Total 6 18" xfId="15717"/>
    <cellStyle name="Total 6 19" xfId="15718"/>
    <cellStyle name="Total 6 2" xfId="15719"/>
    <cellStyle name="Total 6 20" xfId="15720"/>
    <cellStyle name="Total 6 21" xfId="15721"/>
    <cellStyle name="Total 6 22" xfId="15722"/>
    <cellStyle name="Total 6 23" xfId="15723"/>
    <cellStyle name="Total 6 24" xfId="15724"/>
    <cellStyle name="Total 6 25" xfId="15725"/>
    <cellStyle name="Total 6 26" xfId="19756"/>
    <cellStyle name="Total 6 3" xfId="15726"/>
    <cellStyle name="Total 6 4" xfId="15727"/>
    <cellStyle name="Total 6 5" xfId="15728"/>
    <cellStyle name="Total 6 6" xfId="15729"/>
    <cellStyle name="Total 6 7" xfId="15730"/>
    <cellStyle name="Total 6 8" xfId="15731"/>
    <cellStyle name="Total 6 9" xfId="15732"/>
    <cellStyle name="Total 7" xfId="15733"/>
    <cellStyle name="Total 7 2" xfId="15734"/>
    <cellStyle name="Total 7 3" xfId="15735"/>
    <cellStyle name="Total 7 4" xfId="15736"/>
    <cellStyle name="Total 7 5" xfId="15737"/>
    <cellStyle name="Total 7 6" xfId="15738"/>
    <cellStyle name="Total 7 7" xfId="19757"/>
    <cellStyle name="Total 8" xfId="15739"/>
    <cellStyle name="Total 8 2" xfId="15740"/>
    <cellStyle name="Total 8 3" xfId="15741"/>
    <cellStyle name="Total 8 4" xfId="15742"/>
    <cellStyle name="Total 8 5" xfId="15743"/>
    <cellStyle name="Total 8 6" xfId="15744"/>
    <cellStyle name="Total 8 7" xfId="19758"/>
    <cellStyle name="Total 9" xfId="15745"/>
    <cellStyle name="Total 9 2" xfId="15746"/>
    <cellStyle name="Total 9 3" xfId="15747"/>
    <cellStyle name="Total 9 4" xfId="15748"/>
    <cellStyle name="Total 9 5" xfId="15749"/>
    <cellStyle name="Total 9 6" xfId="15750"/>
    <cellStyle name="Total 9 7" xfId="19836"/>
    <cellStyle name="Unprot" xfId="2276"/>
    <cellStyle name="Unprot 2" xfId="15751"/>
    <cellStyle name="Unprot 2 2" xfId="15752"/>
    <cellStyle name="Unprot 3" xfId="15753"/>
    <cellStyle name="Unprot 3 2" xfId="15754"/>
    <cellStyle name="Unprot 4" xfId="15755"/>
    <cellStyle name="Unprot 4 2" xfId="15756"/>
    <cellStyle name="Unprot 5" xfId="15757"/>
    <cellStyle name="Unprot 6" xfId="15758"/>
    <cellStyle name="Unprot 7" xfId="15759"/>
    <cellStyle name="Unprot 8" xfId="15760"/>
    <cellStyle name="Unprot$" xfId="2277"/>
    <cellStyle name="Unprot$ 2" xfId="15761"/>
    <cellStyle name="Unprot$ 2 2" xfId="15762"/>
    <cellStyle name="Unprot$ 2 3" xfId="15763"/>
    <cellStyle name="Unprot$ 2 4" xfId="15764"/>
    <cellStyle name="Unprot$ 3" xfId="15765"/>
    <cellStyle name="Unprot$ 4" xfId="15766"/>
    <cellStyle name="Unprot$ 5" xfId="15767"/>
    <cellStyle name="Unprot$ 6" xfId="15768"/>
    <cellStyle name="Unprot$ 6 2" xfId="15769"/>
    <cellStyle name="Unprot$ 6 3" xfId="15770"/>
    <cellStyle name="Unprot$ 7" xfId="15771"/>
    <cellStyle name="Unprot$ 8" xfId="15772"/>
    <cellStyle name="Unprot$ 9" xfId="15773"/>
    <cellStyle name="Unprot_2011 ERRA Nov Cost Model_v2" xfId="15774"/>
    <cellStyle name="Unprotect" xfId="2278"/>
    <cellStyle name="Unprotect 2" xfId="15775"/>
    <cellStyle name="Unprotect 3" xfId="15776"/>
    <cellStyle name="Unprotect 4" xfId="15777"/>
    <cellStyle name="Unprotected" xfId="15778"/>
    <cellStyle name="Unprotected 2" xfId="16162"/>
    <cellStyle name="User_Defined_A" xfId="2279"/>
    <cellStyle name="UserInput" xfId="15779"/>
    <cellStyle name="UserInput (no border)" xfId="15780"/>
    <cellStyle name="UserInput (no border) 2" xfId="15781"/>
    <cellStyle name="UserInput (no border) Lrg" xfId="15782"/>
    <cellStyle name="UserInput (no border)_Counterparties" xfId="15783"/>
    <cellStyle name="UserInput (no border, left)" xfId="15784"/>
    <cellStyle name="UserInput (no border, left) 2" xfId="15785"/>
    <cellStyle name="UserInput (no border, no font)" xfId="15786"/>
    <cellStyle name="UserInput (no border, no font) 2" xfId="15787"/>
    <cellStyle name="UserInput (no border,bold)" xfId="15788"/>
    <cellStyle name="UserInput (white)" xfId="15789"/>
    <cellStyle name="UserInput (white) 2" xfId="15790"/>
    <cellStyle name="UserInput 10" xfId="15791"/>
    <cellStyle name="UserInput 11" xfId="15792"/>
    <cellStyle name="UserInput 12" xfId="15793"/>
    <cellStyle name="UserInput 13" xfId="15794"/>
    <cellStyle name="UserInput 14" xfId="15795"/>
    <cellStyle name="UserInput 2" xfId="15796"/>
    <cellStyle name="UserInput 3" xfId="15797"/>
    <cellStyle name="UserInput 4" xfId="15798"/>
    <cellStyle name="UserInput 5" xfId="15799"/>
    <cellStyle name="UserInput 6" xfId="15800"/>
    <cellStyle name="UserInput 7" xfId="15801"/>
    <cellStyle name="UserInput 8" xfId="15802"/>
    <cellStyle name="UserInput 9" xfId="15803"/>
    <cellStyle name="UserInput_04-06 Production Month" xfId="15804"/>
    <cellStyle name="Value" xfId="2367"/>
    <cellStyle name="Value 2" xfId="15805"/>
    <cellStyle name="Value 3" xfId="15806"/>
    <cellStyle name="Vert18" xfId="15807"/>
    <cellStyle name="Vert18 2" xfId="15808"/>
    <cellStyle name="Vert26" xfId="15809"/>
    <cellStyle name="Währung [0]_Compiling Utility Macros" xfId="2280"/>
    <cellStyle name="Währung_Compiling Utility Macros" xfId="2281"/>
    <cellStyle name="Warning Text" xfId="19649" builtinId="11" customBuiltin="1"/>
    <cellStyle name="Warning Text 10" xfId="15810"/>
    <cellStyle name="Warning Text 11" xfId="16003"/>
    <cellStyle name="Warning Text 12" xfId="16194"/>
    <cellStyle name="Warning Text 2" xfId="2282"/>
    <cellStyle name="Warning Text 2 2" xfId="15811"/>
    <cellStyle name="Warning Text 2 2 2" xfId="15812"/>
    <cellStyle name="Warning Text 2 2 3" xfId="15813"/>
    <cellStyle name="Warning Text 2 3" xfId="15814"/>
    <cellStyle name="Warning Text 2 4" xfId="15815"/>
    <cellStyle name="Warning Text 2 5" xfId="15816"/>
    <cellStyle name="Warning Text 2 6" xfId="15817"/>
    <cellStyle name="Warning Text 2 7" xfId="15818"/>
    <cellStyle name="Warning Text 2 8" xfId="15819"/>
    <cellStyle name="Warning Text 2 9" xfId="19834"/>
    <cellStyle name="Warning Text 3" xfId="15820"/>
    <cellStyle name="Warning Text 3 2" xfId="15821"/>
    <cellStyle name="Warning Text 3 2 2" xfId="15822"/>
    <cellStyle name="Warning Text 3 3" xfId="15823"/>
    <cellStyle name="Warning Text 3 4" xfId="16964"/>
    <cellStyle name="Warning Text 4" xfId="15824"/>
    <cellStyle name="Warning Text 4 2" xfId="15825"/>
    <cellStyle name="Warning Text 4 2 2" xfId="15826"/>
    <cellStyle name="Warning Text 4 3" xfId="15827"/>
    <cellStyle name="Warning Text 4 4" xfId="16908"/>
    <cellStyle name="Warning Text 5" xfId="15828"/>
    <cellStyle name="Warning Text 5 2" xfId="16528"/>
    <cellStyle name="Warning Text 6" xfId="15829"/>
    <cellStyle name="Warning Text 7" xfId="15830"/>
    <cellStyle name="Warning Text 8" xfId="15831"/>
    <cellStyle name="Warning Text 9" xfId="15832"/>
    <cellStyle name="Year" xfId="15833"/>
    <cellStyle name="Year 2" xfId="16163"/>
    <cellStyle name="Yellow" xfId="2283"/>
    <cellStyle name="⠠散瑮牥搩 䠀礀瀀攀爀氀椀渀欀" xfId="15853"/>
    <cellStyle name="⠠敬瑦爩搩 䠀礀瀀攀爀氀椀" xfId="15855"/>
    <cellStyle name="⠠楲桧⥴搩 䠀礀瀀攀爀氀椀渀" xfId="15866"/>
    <cellStyle name="ㅧ氲畣慬楴湯䡳礀" xfId="15834"/>
    <cellStyle name="㉧氲畣慬楴湯䡳礀" xfId="15835"/>
    <cellStyle name="匠祴敬弱䍃R礀瀀攀爀氀椀渀欀" xfId="15836"/>
    <cellStyle name="匠祴敬琱嵎⡜␢⌢⌬〣〮⥜〰〰〰" xfId="15837"/>
    <cellStyle name="匠祴敬琲嵎⡜␢⌢⌬〣〮⥜〰〰〰" xfId="15838"/>
    <cellStyle name="匠祴敬琳嵎⡜␢⌢⌬〣〮⥜〰〰〰" xfId="15839"/>
    <cellStyle name="匠祴敬琴嵎⡜␢⌢⌬〣〮⥜〰〰〰" xfId="15840"/>
    <cellStyle name="匠祴敬琵嵎⡜␢⌢⌬〣〮⥜〰〰〰" xfId="15841"/>
    <cellStyle name="匠祴敬琶嵎⡜␢⌢⌬〣〮⥜〰〰〰" xfId="15842"/>
    <cellStyle name="匠祴敬琷嵎⡜␢⌢⌬〣〮⥜〰〰〰" xfId="15843"/>
    <cellStyle name="匠祴敬琸嵎⡜␢⌢⌬〣〮⥜〰〰〰" xfId="15844"/>
    <cellStyle name="弰䍃敒琸嵎⡜␢⌢⌬" xfId="15845"/>
    <cellStyle name="彤偅⁌䅄䅔剃 嬀　崀" xfId="15846"/>
    <cellStyle name="愀 嬀　崀" xfId="15847"/>
    <cellStyle name="愠楬湧敭瑮嵎⡜␢⌢⌬〣〮⥜〰〰〰" xfId="15848"/>
    <cellStyle name="慴椠灮瑵䍟剃礀 嬀　" xfId="15849"/>
    <cellStyle name="损污畣慬楴湯䡳礀瀀攀爀氀椀渀欀" xfId="15850"/>
    <cellStyle name="⁥敎⁷潒慭" xfId="15851"/>
    <cellStyle name="⁳敎⁷潒慭彮䍃牒瘬散瑮牥 敬瑦" xfId="15852"/>
    <cellStyle name="敬瑦洩弩䍃R礀瀀攀爀氀椀渀" xfId="15854"/>
    <cellStyle name="整椠灮瑵" xfId="15856"/>
    <cellStyle name="整氠湯瑧䍟剃礀 嬀" xfId="15857"/>
    <cellStyle name="整猠潨瑲䍟剃礀 嬀　" xfId="15858"/>
    <cellStyle name="整䕟䱐䐠呁剁礀 嬀　崀" xfId="15859"/>
    <cellStyle name="敹䕟䱐" xfId="15860"/>
    <cellStyle name="桝瑩⥥弩䍃R礀瀀" xfId="15861"/>
    <cellStyle name="桝瑩⥥弩䍃R礀瀀攀" xfId="15862"/>
    <cellStyle name="桷瑩⥥弩䍃R礀瀀攀爀氀椀渀欀" xfId="15863"/>
    <cellStyle name="業摤敬弩䍃R礀瀀攀爀氀椀渀欀" xfId="15864"/>
    <cellStyle name="楲桧⥴弩䍃R礀瀀攀爀氀椀渀欀" xfId="15865"/>
    <cellStyle name="氀漀眀攀搀 " xfId="15867"/>
    <cellStyle name="⁧氱畣慬楴湯䡳礀瀀" xfId="15868"/>
    <cellStyle name="⁧氲畣慬楴湯䡳礀瀀" xfId="15869"/>
    <cellStyle name="汮⁹戨瑯潴⁭慴汢⥥攀爀氀椀渀欀" xfId="15870"/>
    <cellStyle name="汮⁹挨污⥣⁭慴汢⥥攀爀氀椀渀欀" xfId="15871"/>
    <cellStyle name="汮⁹挨污Ᵽ氠晥⥴⥥攀爀氀椀渀欀" xfId="15872"/>
    <cellStyle name="汮⁹挨污Ᵽ渠⁯潢摲牥爩氀椀渀欀" xfId="15873"/>
    <cellStyle name="汮⁹栨慥敤⥲⁯潢摲牥爩氀椀渀欀" xfId="15878"/>
    <cellStyle name="汮⁹栨慥敤Ⱳ挠湥整⥲爩氀椀渀欀" xfId="15874"/>
    <cellStyle name="汮⁹栨慥敤Ⱳ氠晥⥴⥲爩氀椀渀欀" xfId="15875"/>
    <cellStyle name="汮⁹栨慥敤Ⱳ渠⁯潢摲牥‬敬瑦欩" xfId="15876"/>
    <cellStyle name="汮⁹栨慥敤Ⱳ渠⁯潢摲牥氩椀渀欀" xfId="15877"/>
    <cellStyle name="汮⁹氨晥⥴Ⱳ渠⁯潢摲牥‬敬瑦欩" xfId="15879"/>
    <cellStyle name="汮⁹渨慯楬湧爩瘬散瑮牥 敬瑦欩" xfId="15880"/>
    <cellStyle name="汮⁹渨⁯潢摲牥 潢摲牥‬敬瑦欩" xfId="15881"/>
    <cellStyle name="汮⁹渨⁯潢摲牥瘬散瑮牥 敬瑦欩" xfId="15882"/>
    <cellStyle name="汮⁹牬慧楬湧爩瘬散瑮牥 敬" xfId="15883"/>
    <cellStyle name="汮摹〠〮0䌀R礀瀀" xfId="15884"/>
    <cellStyle name="潢瑴浯弩䍃R礀瀀攀爀氀椀渀欀" xfId="15885"/>
    <cellStyle name="潴⥰⥴弩䍃R礀瀀攀爀氀椀" xfId="15886"/>
    <cellStyle name="爀氀椀渀欀" xfId="15887"/>
    <cellStyle name="牥慤嵹渀欀" xfId="15888"/>
    <cellStyle name="牥湉異⁴渨⁯潢摲牥 牌瑧牥 敬瑦欩" xfId="15889"/>
    <cellStyle name="牥湉異⁴渨⁯潢摲牥戬汯⥤湯⥴敬瑦欩" xfId="15890"/>
    <cellStyle name="牥湉異⁴渨⁯潢摲牥‬敬瑦爩 敬瑦欩" xfId="15891"/>
    <cellStyle name="牥湉異⁴渨⁯潢摲牥‬潮映湯⥴敬瑦欩" xfId="15892"/>
    <cellStyle name="牥湉異⁴渨⁯潢摲牥瘩散瑮牥 敬瑦欩" xfId="15893"/>
    <cellStyle name="牥湉異⁴潒慭彮䍃牒" xfId="15894"/>
    <cellStyle name="牥湉異⁴眨楨整搩牥戬汯⥤湯⥴敬瑦欩" xfId="15895"/>
    <cellStyle name="牥湉異彴慣捬汵瑡潩獮汯⥤湯⥴敬瑦欩" xfId="15896"/>
    <cellStyle name="牧祥洩弩䍃R礀瀀攀爀氀椀渀" xfId="15897"/>
    <cellStyle name="牮慤嵹渀欀" xfId="15898"/>
    <cellStyle name="瑡摥〠〮0䌀R礀瀀攀爀氀椀渀欀" xfId="15899"/>
    <cellStyle name="異彴慣捬汵瑡" xfId="15900"/>
    <cellStyle name="祣⸠〰䍟剃" xfId="15902"/>
    <cellStyle name="祣攰渀挀礀 嬀　崀" xfId="15901"/>
    <cellStyle name="䑆㈠〰〶‱䕒佃嵎⡜␢⌢⌬〣〮⥜〰〰" xfId="15904"/>
    <cellStyle name="䕤䱐䐠呁剁" xfId="15905"/>
    <cellStyle name="⁤䰰䐠呁剁礀 " xfId="15906"/>
    <cellStyle name="䱐" xfId="15907"/>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100853</xdr:colOff>
      <xdr:row>1</xdr:row>
      <xdr:rowOff>369793</xdr:rowOff>
    </xdr:from>
    <xdr:to>
      <xdr:col>0</xdr:col>
      <xdr:colOff>7306235</xdr:colOff>
      <xdr:row>27</xdr:row>
      <xdr:rowOff>156882</xdr:rowOff>
    </xdr:to>
    <xdr:sp macro="" textlink="">
      <xdr:nvSpPr>
        <xdr:cNvPr id="2" name="TextBox 1"/>
        <xdr:cNvSpPr txBox="1"/>
      </xdr:nvSpPr>
      <xdr:spPr>
        <a:xfrm>
          <a:off x="100853" y="1479175"/>
          <a:ext cx="7205382" cy="5927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The following tables include lists of operational generators assumed eligible for California’s Renewables Portfolio Standard. These lists and estimated generation are provided annually by Energy Commission staff to support standardized statewide planning assumptions. </a:t>
          </a:r>
        </a:p>
        <a:p>
          <a:endParaRPr lang="en-US" sz="1300">
            <a:solidFill>
              <a:schemeClr val="dk1"/>
            </a:solidFill>
            <a:effectLst/>
            <a:latin typeface="Arial" panose="020B0604020202020204" pitchFamily="34" charset="0"/>
            <a:ea typeface="+mn-ea"/>
            <a:cs typeface="Arial" panose="020B0604020202020204" pitchFamily="34" charset="0"/>
          </a:endParaRPr>
        </a:p>
        <a:p>
          <a:r>
            <a:rPr lang="en-US" sz="1300">
              <a:solidFill>
                <a:schemeClr val="dk1"/>
              </a:solidFill>
              <a:effectLst/>
              <a:latin typeface="Arial" panose="020B0604020202020204" pitchFamily="34" charset="0"/>
              <a:ea typeface="+mn-ea"/>
              <a:cs typeface="Arial" panose="020B0604020202020204" pitchFamily="34" charset="0"/>
            </a:rPr>
            <a:t>The amount of operational renewable generation is critical for developing planning assumptions that comply with California’s renewable energy policy goals. The Energy Commission uses these estimates to develop an annual statewide Planning Renewable Net Short (PRNS). </a:t>
          </a:r>
        </a:p>
        <a:p>
          <a:endParaRPr lang="en-US" sz="1300">
            <a:solidFill>
              <a:schemeClr val="dk1"/>
            </a:solidFill>
            <a:effectLst/>
            <a:latin typeface="Arial" panose="020B0604020202020204" pitchFamily="34" charset="0"/>
            <a:ea typeface="+mn-ea"/>
            <a:cs typeface="Arial" panose="020B0604020202020204" pitchFamily="34" charset="0"/>
          </a:endParaRPr>
        </a:p>
        <a:p>
          <a:r>
            <a:rPr lang="en-US" sz="1300">
              <a:solidFill>
                <a:schemeClr val="dk1"/>
              </a:solidFill>
              <a:effectLst/>
              <a:latin typeface="Arial" panose="020B0604020202020204" pitchFamily="34" charset="0"/>
              <a:ea typeface="+mn-ea"/>
              <a:cs typeface="Arial" panose="020B0604020202020204" pitchFamily="34" charset="0"/>
            </a:rPr>
            <a:t>The following tables were developed using the </a:t>
          </a:r>
          <a:r>
            <a:rPr lang="en-US" sz="1300" i="1">
              <a:solidFill>
                <a:schemeClr val="dk1"/>
              </a:solidFill>
              <a:effectLst/>
              <a:latin typeface="Arial" panose="020B0604020202020204" pitchFamily="34" charset="0"/>
              <a:ea typeface="+mn-ea"/>
              <a:cs typeface="Arial" panose="020B0604020202020204" pitchFamily="34" charset="0"/>
            </a:rPr>
            <a:t>2015 Integrated Energy Policy Report </a:t>
          </a:r>
          <a:r>
            <a:rPr lang="en-US" sz="1300">
              <a:solidFill>
                <a:schemeClr val="dk1"/>
              </a:solidFill>
              <a:effectLst/>
              <a:latin typeface="Arial" panose="020B0604020202020204" pitchFamily="34" charset="0"/>
              <a:ea typeface="+mn-ea"/>
              <a:cs typeface="Arial" panose="020B0604020202020204" pitchFamily="34" charset="0"/>
            </a:rPr>
            <a:t>data and assumptions with the methodology outlined in the November 2011 report </a:t>
          </a:r>
          <a:r>
            <a:rPr lang="en-US" sz="1300" i="1">
              <a:solidFill>
                <a:schemeClr val="dk1"/>
              </a:solidFill>
              <a:effectLst/>
              <a:latin typeface="Arial" panose="020B0604020202020204" pitchFamily="34" charset="0"/>
              <a:ea typeface="+mn-ea"/>
              <a:cs typeface="Arial" panose="020B0604020202020204" pitchFamily="34" charset="0"/>
            </a:rPr>
            <a:t>Method to Calculate the Amount of New Renewable Generation Needed to Comply With Policy Goals</a:t>
          </a:r>
          <a:r>
            <a:rPr lang="en-US" sz="1300">
              <a:solidFill>
                <a:schemeClr val="dk1"/>
              </a:solidFill>
              <a:effectLst/>
              <a:latin typeface="Arial" panose="020B0604020202020204" pitchFamily="34" charset="0"/>
              <a:ea typeface="+mn-ea"/>
              <a:cs typeface="Arial" panose="020B0604020202020204" pitchFamily="34" charset="0"/>
            </a:rPr>
            <a:t>. http://www.energy.ca.gov/2011_energypolicy/documents/index.html#03082011</a:t>
          </a:r>
        </a:p>
        <a:p>
          <a:endParaRPr lang="en-US" sz="1300">
            <a:solidFill>
              <a:schemeClr val="dk1"/>
            </a:solidFill>
            <a:effectLst/>
            <a:latin typeface="Arial" panose="020B0604020202020204" pitchFamily="34" charset="0"/>
            <a:ea typeface="+mn-ea"/>
            <a:cs typeface="Arial" panose="020B0604020202020204" pitchFamily="34" charset="0"/>
          </a:endParaRPr>
        </a:p>
        <a:p>
          <a:r>
            <a:rPr lang="en-US" sz="1300">
              <a:solidFill>
                <a:schemeClr val="dk1"/>
              </a:solidFill>
              <a:effectLst/>
              <a:latin typeface="Arial" panose="020B0604020202020204" pitchFamily="34" charset="0"/>
              <a:ea typeface="+mn-ea"/>
              <a:cs typeface="Arial" panose="020B0604020202020204" pitchFamily="34" charset="0"/>
            </a:rPr>
            <a:t>This report provides a method to calculate a statewide planning renewable net short. Operational RPS-eligible renewable generation is a key component in this calculation and also a key component in transmission and generation planning simulation models. The planning renewable net short should not be confused with the procurement net short calculation made by each investor-owned utility for the California Public Utilities Commission’s Renewables Portfolio Standard procurement proceeding. The major differences between the two calculations are the scope of the analysis and the inclusion of unbuilt contracted projects. For resource planning purposes, electricity generation models require a snapshot of the physical system within the political boundary of California to answer various planning questions. Procurement plans require a snapshot of energy under contract with a utility or a group of utilities within a balancing area to answer procurement questions.</a:t>
          </a:r>
        </a:p>
        <a:p>
          <a:endParaRPr lang="en-US" sz="1300">
            <a:solidFill>
              <a:schemeClr val="dk1"/>
            </a:solidFill>
            <a:effectLst/>
            <a:latin typeface="Arial" panose="020B0604020202020204" pitchFamily="34" charset="0"/>
            <a:ea typeface="+mn-ea"/>
            <a:cs typeface="Arial" panose="020B0604020202020204" pitchFamily="34" charset="0"/>
          </a:endParaRPr>
        </a:p>
        <a:p>
          <a:r>
            <a:rPr lang="en-US" sz="1300">
              <a:solidFill>
                <a:schemeClr val="dk1"/>
              </a:solidFill>
              <a:effectLst/>
              <a:latin typeface="Arial" panose="020B0604020202020204" pitchFamily="34" charset="0"/>
              <a:ea typeface="+mn-ea"/>
              <a:cs typeface="Arial" panose="020B0604020202020204" pitchFamily="34" charset="0"/>
            </a:rPr>
            <a:t>June 2016 revision corrects missing</a:t>
          </a:r>
          <a:r>
            <a:rPr lang="en-US" sz="1300" baseline="0">
              <a:solidFill>
                <a:schemeClr val="dk1"/>
              </a:solidFill>
              <a:effectLst/>
              <a:latin typeface="Arial" panose="020B0604020202020204" pitchFamily="34" charset="0"/>
              <a:ea typeface="+mn-ea"/>
              <a:cs typeface="Arial" panose="020B0604020202020204" pitchFamily="34" charset="0"/>
            </a:rPr>
            <a:t> formula errors and the accounting of non-eligible(for the RPS) hydro in the total calculation.</a:t>
          </a:r>
        </a:p>
        <a:p>
          <a:endParaRPr lang="en-US" sz="1300">
            <a:solidFill>
              <a:schemeClr val="dk1"/>
            </a:solidFill>
            <a:effectLst/>
            <a:latin typeface="Arial" panose="020B0604020202020204" pitchFamily="34" charset="0"/>
            <a:ea typeface="+mn-ea"/>
            <a:cs typeface="Arial" panose="020B0604020202020204" pitchFamily="34" charset="0"/>
          </a:endParaRPr>
        </a:p>
        <a:p>
          <a:r>
            <a:rPr lang="en-US" sz="1300">
              <a:solidFill>
                <a:schemeClr val="dk1"/>
              </a:solidFill>
              <a:effectLst/>
              <a:latin typeface="Arial" panose="020B0604020202020204" pitchFamily="34" charset="0"/>
              <a:ea typeface="+mn-ea"/>
              <a:cs typeface="Arial" panose="020B0604020202020204" pitchFamily="34" charset="0"/>
            </a:rPr>
            <a:t>For more information contact Garry O’Neill-Mariscal of the Supply Analysis Office within the Energy Assessments Division by email garry.oneill@energy.ca.gov.</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view="pageBreakPreview" zoomScale="85" zoomScaleNormal="100" zoomScaleSheetLayoutView="85" workbookViewId="0">
      <selection activeCell="F4" sqref="F4"/>
    </sheetView>
  </sheetViews>
  <sheetFormatPr defaultRowHeight="15"/>
  <cols>
    <col min="1" max="1" width="112" style="14" customWidth="1"/>
    <col min="2" max="2" width="16.7109375" style="14" customWidth="1"/>
    <col min="3" max="4" width="9.140625" style="14"/>
    <col min="5" max="5" width="13.28515625" style="14" customWidth="1"/>
    <col min="6" max="6" width="9.140625" style="14"/>
    <col min="7" max="7" width="16.140625" style="14" bestFit="1" customWidth="1"/>
    <col min="8" max="8" width="17.5703125" style="14" bestFit="1" customWidth="1"/>
    <col min="9" max="256" width="9.140625" style="14"/>
    <col min="257" max="257" width="107.140625" style="14" bestFit="1" customWidth="1"/>
    <col min="258" max="512" width="9.140625" style="14"/>
    <col min="513" max="513" width="107.140625" style="14" bestFit="1" customWidth="1"/>
    <col min="514" max="768" width="9.140625" style="14"/>
    <col min="769" max="769" width="107.140625" style="14" bestFit="1" customWidth="1"/>
    <col min="770" max="1024" width="9.140625" style="14"/>
    <col min="1025" max="1025" width="107.140625" style="14" bestFit="1" customWidth="1"/>
    <col min="1026" max="1280" width="9.140625" style="14"/>
    <col min="1281" max="1281" width="107.140625" style="14" bestFit="1" customWidth="1"/>
    <col min="1282" max="1536" width="9.140625" style="14"/>
    <col min="1537" max="1537" width="107.140625" style="14" bestFit="1" customWidth="1"/>
    <col min="1538" max="1792" width="9.140625" style="14"/>
    <col min="1793" max="1793" width="107.140625" style="14" bestFit="1" customWidth="1"/>
    <col min="1794" max="2048" width="9.140625" style="14"/>
    <col min="2049" max="2049" width="107.140625" style="14" bestFit="1" customWidth="1"/>
    <col min="2050" max="2304" width="9.140625" style="14"/>
    <col min="2305" max="2305" width="107.140625" style="14" bestFit="1" customWidth="1"/>
    <col min="2306" max="2560" width="9.140625" style="14"/>
    <col min="2561" max="2561" width="107.140625" style="14" bestFit="1" customWidth="1"/>
    <col min="2562" max="2816" width="9.140625" style="14"/>
    <col min="2817" max="2817" width="107.140625" style="14" bestFit="1" customWidth="1"/>
    <col min="2818" max="3072" width="9.140625" style="14"/>
    <col min="3073" max="3073" width="107.140625" style="14" bestFit="1" customWidth="1"/>
    <col min="3074" max="3328" width="9.140625" style="14"/>
    <col min="3329" max="3329" width="107.140625" style="14" bestFit="1" customWidth="1"/>
    <col min="3330" max="3584" width="9.140625" style="14"/>
    <col min="3585" max="3585" width="107.140625" style="14" bestFit="1" customWidth="1"/>
    <col min="3586" max="3840" width="9.140625" style="14"/>
    <col min="3841" max="3841" width="107.140625" style="14" bestFit="1" customWidth="1"/>
    <col min="3842" max="4096" width="9.140625" style="14"/>
    <col min="4097" max="4097" width="107.140625" style="14" bestFit="1" customWidth="1"/>
    <col min="4098" max="4352" width="9.140625" style="14"/>
    <col min="4353" max="4353" width="107.140625" style="14" bestFit="1" customWidth="1"/>
    <col min="4354" max="4608" width="9.140625" style="14"/>
    <col min="4609" max="4609" width="107.140625" style="14" bestFit="1" customWidth="1"/>
    <col min="4610" max="4864" width="9.140625" style="14"/>
    <col min="4865" max="4865" width="107.140625" style="14" bestFit="1" customWidth="1"/>
    <col min="4866" max="5120" width="9.140625" style="14"/>
    <col min="5121" max="5121" width="107.140625" style="14" bestFit="1" customWidth="1"/>
    <col min="5122" max="5376" width="9.140625" style="14"/>
    <col min="5377" max="5377" width="107.140625" style="14" bestFit="1" customWidth="1"/>
    <col min="5378" max="5632" width="9.140625" style="14"/>
    <col min="5633" max="5633" width="107.140625" style="14" bestFit="1" customWidth="1"/>
    <col min="5634" max="5888" width="9.140625" style="14"/>
    <col min="5889" max="5889" width="107.140625" style="14" bestFit="1" customWidth="1"/>
    <col min="5890" max="6144" width="9.140625" style="14"/>
    <col min="6145" max="6145" width="107.140625" style="14" bestFit="1" customWidth="1"/>
    <col min="6146" max="6400" width="9.140625" style="14"/>
    <col min="6401" max="6401" width="107.140625" style="14" bestFit="1" customWidth="1"/>
    <col min="6402" max="6656" width="9.140625" style="14"/>
    <col min="6657" max="6657" width="107.140625" style="14" bestFit="1" customWidth="1"/>
    <col min="6658" max="6912" width="9.140625" style="14"/>
    <col min="6913" max="6913" width="107.140625" style="14" bestFit="1" customWidth="1"/>
    <col min="6914" max="7168" width="9.140625" style="14"/>
    <col min="7169" max="7169" width="107.140625" style="14" bestFit="1" customWidth="1"/>
    <col min="7170" max="7424" width="9.140625" style="14"/>
    <col min="7425" max="7425" width="107.140625" style="14" bestFit="1" customWidth="1"/>
    <col min="7426" max="7680" width="9.140625" style="14"/>
    <col min="7681" max="7681" width="107.140625" style="14" bestFit="1" customWidth="1"/>
    <col min="7682" max="7936" width="9.140625" style="14"/>
    <col min="7937" max="7937" width="107.140625" style="14" bestFit="1" customWidth="1"/>
    <col min="7938" max="8192" width="9.140625" style="14"/>
    <col min="8193" max="8193" width="107.140625" style="14" bestFit="1" customWidth="1"/>
    <col min="8194" max="8448" width="9.140625" style="14"/>
    <col min="8449" max="8449" width="107.140625" style="14" bestFit="1" customWidth="1"/>
    <col min="8450" max="8704" width="9.140625" style="14"/>
    <col min="8705" max="8705" width="107.140625" style="14" bestFit="1" customWidth="1"/>
    <col min="8706" max="8960" width="9.140625" style="14"/>
    <col min="8961" max="8961" width="107.140625" style="14" bestFit="1" customWidth="1"/>
    <col min="8962" max="9216" width="9.140625" style="14"/>
    <col min="9217" max="9217" width="107.140625" style="14" bestFit="1" customWidth="1"/>
    <col min="9218" max="9472" width="9.140625" style="14"/>
    <col min="9473" max="9473" width="107.140625" style="14" bestFit="1" customWidth="1"/>
    <col min="9474" max="9728" width="9.140625" style="14"/>
    <col min="9729" max="9729" width="107.140625" style="14" bestFit="1" customWidth="1"/>
    <col min="9730" max="9984" width="9.140625" style="14"/>
    <col min="9985" max="9985" width="107.140625" style="14" bestFit="1" customWidth="1"/>
    <col min="9986" max="10240" width="9.140625" style="14"/>
    <col min="10241" max="10241" width="107.140625" style="14" bestFit="1" customWidth="1"/>
    <col min="10242" max="10496" width="9.140625" style="14"/>
    <col min="10497" max="10497" width="107.140625" style="14" bestFit="1" customWidth="1"/>
    <col min="10498" max="10752" width="9.140625" style="14"/>
    <col min="10753" max="10753" width="107.140625" style="14" bestFit="1" customWidth="1"/>
    <col min="10754" max="11008" width="9.140625" style="14"/>
    <col min="11009" max="11009" width="107.140625" style="14" bestFit="1" customWidth="1"/>
    <col min="11010" max="11264" width="9.140625" style="14"/>
    <col min="11265" max="11265" width="107.140625" style="14" bestFit="1" customWidth="1"/>
    <col min="11266" max="11520" width="9.140625" style="14"/>
    <col min="11521" max="11521" width="107.140625" style="14" bestFit="1" customWidth="1"/>
    <col min="11522" max="11776" width="9.140625" style="14"/>
    <col min="11777" max="11777" width="107.140625" style="14" bestFit="1" customWidth="1"/>
    <col min="11778" max="12032" width="9.140625" style="14"/>
    <col min="12033" max="12033" width="107.140625" style="14" bestFit="1" customWidth="1"/>
    <col min="12034" max="12288" width="9.140625" style="14"/>
    <col min="12289" max="12289" width="107.140625" style="14" bestFit="1" customWidth="1"/>
    <col min="12290" max="12544" width="9.140625" style="14"/>
    <col min="12545" max="12545" width="107.140625" style="14" bestFit="1" customWidth="1"/>
    <col min="12546" max="12800" width="9.140625" style="14"/>
    <col min="12801" max="12801" width="107.140625" style="14" bestFit="1" customWidth="1"/>
    <col min="12802" max="13056" width="9.140625" style="14"/>
    <col min="13057" max="13057" width="107.140625" style="14" bestFit="1" customWidth="1"/>
    <col min="13058" max="13312" width="9.140625" style="14"/>
    <col min="13313" max="13313" width="107.140625" style="14" bestFit="1" customWidth="1"/>
    <col min="13314" max="13568" width="9.140625" style="14"/>
    <col min="13569" max="13569" width="107.140625" style="14" bestFit="1" customWidth="1"/>
    <col min="13570" max="13824" width="9.140625" style="14"/>
    <col min="13825" max="13825" width="107.140625" style="14" bestFit="1" customWidth="1"/>
    <col min="13826" max="14080" width="9.140625" style="14"/>
    <col min="14081" max="14081" width="107.140625" style="14" bestFit="1" customWidth="1"/>
    <col min="14082" max="14336" width="9.140625" style="14"/>
    <col min="14337" max="14337" width="107.140625" style="14" bestFit="1" customWidth="1"/>
    <col min="14338" max="14592" width="9.140625" style="14"/>
    <col min="14593" max="14593" width="107.140625" style="14" bestFit="1" customWidth="1"/>
    <col min="14594" max="14848" width="9.140625" style="14"/>
    <col min="14849" max="14849" width="107.140625" style="14" bestFit="1" customWidth="1"/>
    <col min="14850" max="15104" width="9.140625" style="14"/>
    <col min="15105" max="15105" width="107.140625" style="14" bestFit="1" customWidth="1"/>
    <col min="15106" max="15360" width="9.140625" style="14"/>
    <col min="15361" max="15361" width="107.140625" style="14" bestFit="1" customWidth="1"/>
    <col min="15362" max="15616" width="9.140625" style="14"/>
    <col min="15617" max="15617" width="107.140625" style="14" bestFit="1" customWidth="1"/>
    <col min="15618" max="15872" width="9.140625" style="14"/>
    <col min="15873" max="15873" width="107.140625" style="14" bestFit="1" customWidth="1"/>
    <col min="15874" max="16128" width="9.140625" style="14"/>
    <col min="16129" max="16129" width="107.140625" style="14" bestFit="1" customWidth="1"/>
    <col min="16130" max="16384" width="9.140625" style="14"/>
  </cols>
  <sheetData>
    <row r="1" spans="1:1" ht="87" customHeight="1">
      <c r="A1" s="308" t="s">
        <v>5530</v>
      </c>
    </row>
    <row r="2" spans="1:1" ht="29.25" customHeight="1">
      <c r="A2" s="298"/>
    </row>
    <row r="3" spans="1:1" ht="10.5" customHeight="1"/>
    <row r="4" spans="1:1" ht="11.25" customHeight="1"/>
    <row r="8" spans="1:1">
      <c r="A8" s="15"/>
    </row>
    <row r="11" spans="1:1" ht="96.75" customHeight="1"/>
    <row r="16" spans="1:1" ht="26.25" customHeight="1"/>
    <row r="17" spans="1:1">
      <c r="A17" s="300"/>
    </row>
    <row r="18" spans="1:1">
      <c r="A18" s="300"/>
    </row>
    <row r="19" spans="1:1">
      <c r="A19" s="300"/>
    </row>
    <row r="20" spans="1:1">
      <c r="A20" s="300"/>
    </row>
    <row r="21" spans="1:1">
      <c r="A21" s="300"/>
    </row>
    <row r="22" spans="1:1">
      <c r="A22" s="300"/>
    </row>
    <row r="23" spans="1:1" ht="8.25" customHeight="1">
      <c r="A23" s="300"/>
    </row>
    <row r="24" spans="1:1" ht="8.25" customHeight="1">
      <c r="A24" s="300"/>
    </row>
    <row r="25" spans="1:1" ht="18" customHeight="1">
      <c r="A25" s="300"/>
    </row>
    <row r="26" spans="1:1" ht="18" customHeight="1">
      <c r="A26" s="300"/>
    </row>
    <row r="27" spans="1:1" ht="18" customHeight="1">
      <c r="A27" s="300"/>
    </row>
    <row r="28" spans="1:1" ht="18" customHeight="1">
      <c r="A28" s="300"/>
    </row>
    <row r="29" spans="1:1" ht="15.75">
      <c r="A29" s="307" t="s">
        <v>943</v>
      </c>
    </row>
    <row r="30" spans="1:1" ht="15.75">
      <c r="A30" s="309" t="s">
        <v>3696</v>
      </c>
    </row>
    <row r="31" spans="1:1" ht="15.75">
      <c r="A31" s="310" t="s">
        <v>3767</v>
      </c>
    </row>
    <row r="32" spans="1:1" ht="30.75">
      <c r="A32" s="310" t="s">
        <v>3757</v>
      </c>
    </row>
    <row r="33" spans="1:8" ht="30.75">
      <c r="A33" s="310" t="s">
        <v>3766</v>
      </c>
    </row>
    <row r="34" spans="1:8" ht="15.75">
      <c r="A34" s="310" t="s">
        <v>3758</v>
      </c>
    </row>
    <row r="35" spans="1:8" ht="30.75">
      <c r="A35" s="311" t="s">
        <v>3765</v>
      </c>
    </row>
    <row r="36" spans="1:8" ht="30.75">
      <c r="A36" s="311" t="s">
        <v>3764</v>
      </c>
    </row>
    <row r="37" spans="1:8" ht="15.75">
      <c r="A37" s="310" t="s">
        <v>3759</v>
      </c>
      <c r="G37" s="297"/>
    </row>
    <row r="38" spans="1:8" ht="9.75" customHeight="1">
      <c r="A38" s="299" t="s">
        <v>115</v>
      </c>
      <c r="H38" s="297"/>
    </row>
    <row r="39" spans="1:8" ht="4.5" customHeight="1">
      <c r="A39" s="300"/>
    </row>
    <row r="40" spans="1:8" ht="15.75">
      <c r="A40" s="301" t="s">
        <v>1258</v>
      </c>
    </row>
    <row r="41" spans="1:8">
      <c r="A41" s="302" t="s">
        <v>3760</v>
      </c>
    </row>
    <row r="42" spans="1:8">
      <c r="A42" s="303" t="s">
        <v>1257</v>
      </c>
    </row>
    <row r="43" spans="1:8">
      <c r="A43" s="304" t="s">
        <v>3761</v>
      </c>
    </row>
    <row r="44" spans="1:8">
      <c r="A44" s="305" t="s">
        <v>3697</v>
      </c>
    </row>
    <row r="45" spans="1:8">
      <c r="A45" s="303" t="s">
        <v>3762</v>
      </c>
    </row>
    <row r="46" spans="1:8">
      <c r="A46" s="303" t="s">
        <v>1260</v>
      </c>
    </row>
    <row r="47" spans="1:8">
      <c r="A47" s="303" t="s">
        <v>3698</v>
      </c>
    </row>
    <row r="48" spans="1:8">
      <c r="A48" s="303" t="s">
        <v>1263</v>
      </c>
    </row>
    <row r="49" spans="1:1">
      <c r="A49" s="306" t="s">
        <v>3763</v>
      </c>
    </row>
    <row r="50" spans="1:1">
      <c r="A50" s="303" t="s">
        <v>1256</v>
      </c>
    </row>
    <row r="51" spans="1:1">
      <c r="A51" s="300" t="s">
        <v>1259</v>
      </c>
    </row>
  </sheetData>
  <printOptions horizontalCentered="1"/>
  <pageMargins left="0.75" right="0.75" top="1" bottom="1" header="0.5" footer="0.5"/>
  <pageSetup scale="44"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121"/>
  <sheetViews>
    <sheetView topLeftCell="A73" zoomScale="70" zoomScaleNormal="70" workbookViewId="0">
      <selection activeCell="B94" sqref="B94"/>
    </sheetView>
  </sheetViews>
  <sheetFormatPr defaultColWidth="9.85546875" defaultRowHeight="12.75"/>
  <cols>
    <col min="1" max="1" width="32.5703125" style="9" customWidth="1"/>
    <col min="2" max="2" width="36.28515625" style="388" customWidth="1"/>
    <col min="3" max="3" width="10.5703125" style="9" customWidth="1"/>
    <col min="4" max="4" width="10.7109375" style="2" customWidth="1"/>
    <col min="5" max="5" width="11" style="4" bestFit="1" customWidth="1"/>
    <col min="6" max="6" width="16.5703125" style="5" customWidth="1"/>
    <col min="7" max="7" width="14" style="5" customWidth="1"/>
    <col min="8" max="8" width="14" style="476" customWidth="1"/>
    <col min="9" max="9" width="23.85546875" style="5" customWidth="1"/>
    <col min="10" max="10" width="11.7109375" style="4" customWidth="1"/>
    <col min="11" max="11" width="11.7109375" style="371" customWidth="1"/>
    <col min="12" max="16" width="14.5703125" style="11" customWidth="1"/>
    <col min="17" max="17" width="13" style="3" customWidth="1"/>
    <col min="18" max="19" width="9.85546875" style="3"/>
    <col min="20" max="20" width="11.5703125" style="3" bestFit="1" customWidth="1"/>
    <col min="21" max="16384" width="9.85546875" style="9"/>
  </cols>
  <sheetData>
    <row r="1" spans="1:20" ht="42" customHeight="1">
      <c r="A1" s="602" t="s">
        <v>940</v>
      </c>
      <c r="B1" s="603"/>
      <c r="C1" s="603"/>
      <c r="D1" s="603"/>
      <c r="E1" s="603"/>
      <c r="F1" s="603"/>
      <c r="G1" s="603"/>
      <c r="H1" s="603"/>
      <c r="I1" s="603"/>
      <c r="J1" s="603"/>
      <c r="K1" s="603"/>
      <c r="L1" s="603"/>
      <c r="M1" s="603"/>
      <c r="N1" s="603"/>
      <c r="O1" s="603"/>
      <c r="P1" s="603"/>
      <c r="Q1" s="603"/>
      <c r="R1" s="603"/>
      <c r="S1" s="603"/>
      <c r="T1" s="605"/>
    </row>
    <row r="2" spans="1:20" s="6" customFormat="1" ht="38.25">
      <c r="A2" s="90" t="s">
        <v>0</v>
      </c>
      <c r="B2" s="90" t="s">
        <v>1</v>
      </c>
      <c r="C2" s="75" t="s">
        <v>3755</v>
      </c>
      <c r="D2" s="90" t="s">
        <v>2</v>
      </c>
      <c r="E2" s="90" t="s">
        <v>491</v>
      </c>
      <c r="F2" s="92" t="s">
        <v>1215</v>
      </c>
      <c r="G2" s="92" t="s">
        <v>2111</v>
      </c>
      <c r="H2" s="471" t="s">
        <v>3538</v>
      </c>
      <c r="I2" s="90" t="s">
        <v>2152</v>
      </c>
      <c r="J2" s="90" t="s">
        <v>1229</v>
      </c>
      <c r="K2" s="366" t="s">
        <v>5485</v>
      </c>
      <c r="L2" s="91" t="s">
        <v>489</v>
      </c>
      <c r="M2" s="92" t="s">
        <v>3790</v>
      </c>
      <c r="N2" s="92" t="s">
        <v>1201</v>
      </c>
      <c r="O2" s="92" t="s">
        <v>1249</v>
      </c>
      <c r="P2" s="92" t="s">
        <v>801</v>
      </c>
      <c r="Q2" s="92" t="s">
        <v>490</v>
      </c>
      <c r="R2" s="92" t="s">
        <v>492</v>
      </c>
      <c r="S2" s="92" t="s">
        <v>493</v>
      </c>
      <c r="T2" s="92" t="s">
        <v>5500</v>
      </c>
    </row>
    <row r="3" spans="1:20" ht="27" customHeight="1">
      <c r="A3" s="140" t="s">
        <v>883</v>
      </c>
      <c r="B3" s="150" t="s">
        <v>2103</v>
      </c>
      <c r="C3" s="150" t="s">
        <v>467</v>
      </c>
      <c r="D3" s="254" t="s">
        <v>543</v>
      </c>
      <c r="E3" s="137" t="s">
        <v>1231</v>
      </c>
      <c r="F3" s="100" t="s">
        <v>1006</v>
      </c>
      <c r="G3" s="100" t="s">
        <v>4900</v>
      </c>
      <c r="H3" s="494"/>
      <c r="I3" s="254" t="s">
        <v>474</v>
      </c>
      <c r="J3" s="137">
        <v>50943</v>
      </c>
      <c r="K3" s="163"/>
      <c r="L3" s="41">
        <v>290</v>
      </c>
      <c r="M3" s="41">
        <v>739.7</v>
      </c>
      <c r="N3" s="41">
        <v>741.39400000000001</v>
      </c>
      <c r="O3" s="41">
        <v>687.09199999999998</v>
      </c>
      <c r="P3" s="103"/>
      <c r="Q3" s="93"/>
      <c r="R3" s="93"/>
      <c r="S3" s="93"/>
      <c r="T3" s="93">
        <f>AVERAGE(M3:S3)</f>
        <v>722.72866666666675</v>
      </c>
    </row>
    <row r="4" spans="1:20" s="388" customFormat="1" ht="27" customHeight="1">
      <c r="A4" s="94" t="s">
        <v>914</v>
      </c>
      <c r="B4" s="143" t="s">
        <v>1506</v>
      </c>
      <c r="C4" s="150" t="s">
        <v>467</v>
      </c>
      <c r="D4" s="254" t="s">
        <v>543</v>
      </c>
      <c r="E4" s="147" t="s">
        <v>1227</v>
      </c>
      <c r="F4" s="143" t="s">
        <v>1228</v>
      </c>
      <c r="G4" s="143" t="s">
        <v>2347</v>
      </c>
      <c r="H4" s="472"/>
      <c r="I4" s="150" t="s">
        <v>477</v>
      </c>
      <c r="J4" s="147">
        <v>50713</v>
      </c>
      <c r="K4" s="365"/>
      <c r="L4" s="101">
        <v>129</v>
      </c>
      <c r="M4" s="101">
        <v>356.87900000000002</v>
      </c>
      <c r="N4" s="101">
        <v>363.12400000000002</v>
      </c>
      <c r="O4" s="101"/>
      <c r="P4" s="93"/>
      <c r="Q4" s="101"/>
      <c r="R4" s="102"/>
      <c r="S4" s="102"/>
      <c r="T4" s="93">
        <f t="shared" ref="T4:T66" si="0">AVERAGE(M4:S4)</f>
        <v>360.00150000000002</v>
      </c>
    </row>
    <row r="5" spans="1:20" s="388" customFormat="1" ht="27" customHeight="1">
      <c r="A5" s="94"/>
      <c r="B5" s="143" t="s">
        <v>4819</v>
      </c>
      <c r="C5" s="150" t="s">
        <v>1601</v>
      </c>
      <c r="D5" s="254" t="s">
        <v>10</v>
      </c>
      <c r="E5" s="252"/>
      <c r="F5" s="143"/>
      <c r="G5" s="143"/>
      <c r="H5" s="472">
        <v>825</v>
      </c>
      <c r="I5" s="150" t="s">
        <v>4820</v>
      </c>
      <c r="J5" s="147">
        <v>47118</v>
      </c>
      <c r="K5" s="373">
        <v>1.4999999999999999E-2</v>
      </c>
      <c r="L5" s="101">
        <v>0.5</v>
      </c>
      <c r="M5" s="101">
        <v>29.969000000000001</v>
      </c>
      <c r="N5" s="101"/>
      <c r="O5" s="101"/>
      <c r="P5" s="93"/>
      <c r="Q5" s="101"/>
      <c r="R5" s="102"/>
      <c r="S5" s="102"/>
      <c r="T5" s="93">
        <f t="shared" si="0"/>
        <v>29.969000000000001</v>
      </c>
    </row>
    <row r="6" spans="1:20" ht="27" customHeight="1">
      <c r="A6" s="150"/>
      <c r="B6" s="254" t="s">
        <v>5468</v>
      </c>
      <c r="C6" s="493" t="s">
        <v>1601</v>
      </c>
      <c r="D6" s="493" t="s">
        <v>13</v>
      </c>
      <c r="E6" s="137"/>
      <c r="F6" s="100"/>
      <c r="G6" s="100"/>
      <c r="H6" s="494">
        <v>6484</v>
      </c>
      <c r="I6" s="254" t="s">
        <v>4820</v>
      </c>
      <c r="J6" s="223">
        <v>47848</v>
      </c>
      <c r="K6" s="374">
        <v>1.4999999999999999E-2</v>
      </c>
      <c r="L6" s="93"/>
      <c r="M6" s="93">
        <v>2.3959999999999999</v>
      </c>
      <c r="N6" s="93"/>
      <c r="O6" s="93"/>
      <c r="P6" s="93"/>
      <c r="Q6" s="93"/>
      <c r="R6" s="93"/>
      <c r="S6" s="93"/>
      <c r="T6" s="93">
        <f t="shared" si="0"/>
        <v>2.3959999999999999</v>
      </c>
    </row>
    <row r="7" spans="1:20" ht="27" customHeight="1">
      <c r="A7" s="493"/>
      <c r="B7" s="254" t="s">
        <v>1994</v>
      </c>
      <c r="C7" s="488" t="s">
        <v>9</v>
      </c>
      <c r="D7" s="113" t="s">
        <v>10</v>
      </c>
      <c r="E7" s="137"/>
      <c r="F7" s="41"/>
      <c r="G7" s="41"/>
      <c r="H7" s="473"/>
      <c r="I7" s="254" t="s">
        <v>1995</v>
      </c>
      <c r="J7" s="137">
        <v>47118</v>
      </c>
      <c r="K7" s="163"/>
      <c r="L7" s="41"/>
      <c r="M7" s="41">
        <v>0</v>
      </c>
      <c r="N7" s="95">
        <v>3.9279999999999999</v>
      </c>
      <c r="O7" s="484"/>
      <c r="P7" s="484"/>
      <c r="Q7" s="93"/>
      <c r="R7" s="93"/>
      <c r="S7" s="93"/>
      <c r="T7" s="93">
        <f t="shared" si="0"/>
        <v>1.964</v>
      </c>
    </row>
    <row r="8" spans="1:20" ht="27" customHeight="1">
      <c r="A8" s="150"/>
      <c r="B8" s="254" t="s">
        <v>4821</v>
      </c>
      <c r="C8" s="254" t="s">
        <v>1601</v>
      </c>
      <c r="D8" s="254" t="s">
        <v>13</v>
      </c>
      <c r="E8" s="137"/>
      <c r="F8" s="100"/>
      <c r="G8" s="100"/>
      <c r="H8" s="494">
        <v>6459</v>
      </c>
      <c r="I8" s="254" t="s">
        <v>4820</v>
      </c>
      <c r="J8" s="223">
        <v>47848</v>
      </c>
      <c r="K8" s="374">
        <v>1.4999999999999999E-2</v>
      </c>
      <c r="L8" s="93">
        <v>0.42</v>
      </c>
      <c r="M8" s="93">
        <v>26.515000000000001</v>
      </c>
      <c r="N8" s="93"/>
      <c r="O8" s="93"/>
      <c r="P8" s="93"/>
      <c r="Q8" s="93"/>
      <c r="R8" s="93"/>
      <c r="S8" s="93"/>
      <c r="T8" s="93">
        <f t="shared" si="0"/>
        <v>26.515000000000001</v>
      </c>
    </row>
    <row r="9" spans="1:20" s="479" customFormat="1" ht="27" customHeight="1">
      <c r="A9" s="150" t="s">
        <v>8</v>
      </c>
      <c r="B9" s="481" t="s">
        <v>1997</v>
      </c>
      <c r="C9" s="481" t="s">
        <v>9</v>
      </c>
      <c r="D9" s="113" t="s">
        <v>4</v>
      </c>
      <c r="E9" s="480">
        <v>38991</v>
      </c>
      <c r="F9" s="41" t="s">
        <v>2020</v>
      </c>
      <c r="G9" s="41"/>
      <c r="H9" s="473"/>
      <c r="I9" s="481" t="s">
        <v>1999</v>
      </c>
      <c r="J9" s="485">
        <v>46295</v>
      </c>
      <c r="K9" s="489"/>
      <c r="L9" s="41"/>
      <c r="M9" s="41">
        <v>152.08099999999999</v>
      </c>
      <c r="N9" s="484">
        <f>219.682+271.567</f>
        <v>491.24900000000002</v>
      </c>
      <c r="O9" s="93">
        <v>618.33399999999995</v>
      </c>
      <c r="P9" s="93">
        <v>606.88900000000001</v>
      </c>
      <c r="Q9" s="93"/>
      <c r="R9" s="93"/>
      <c r="S9" s="93"/>
      <c r="T9" s="93">
        <f t="shared" si="0"/>
        <v>467.13824999999997</v>
      </c>
    </row>
    <row r="10" spans="1:20" ht="27" customHeight="1">
      <c r="A10" s="150" t="s">
        <v>8</v>
      </c>
      <c r="B10" s="254" t="s">
        <v>1998</v>
      </c>
      <c r="C10" s="254" t="s">
        <v>9</v>
      </c>
      <c r="D10" s="254" t="s">
        <v>4</v>
      </c>
      <c r="E10" s="137">
        <v>40483</v>
      </c>
      <c r="F10" s="100" t="s">
        <v>3008</v>
      </c>
      <c r="G10" s="100"/>
      <c r="H10" s="494"/>
      <c r="I10" s="254" t="s">
        <v>1999</v>
      </c>
      <c r="J10" s="223">
        <v>49979</v>
      </c>
      <c r="K10" s="367"/>
      <c r="L10" s="93">
        <v>249</v>
      </c>
      <c r="M10" s="93">
        <v>0</v>
      </c>
      <c r="N10" s="93">
        <v>44.2</v>
      </c>
      <c r="O10" s="93"/>
      <c r="P10" s="93"/>
      <c r="Q10" s="93"/>
      <c r="R10" s="93"/>
      <c r="S10" s="93"/>
      <c r="T10" s="93">
        <f t="shared" si="0"/>
        <v>22.1</v>
      </c>
    </row>
    <row r="11" spans="1:20" ht="27" customHeight="1">
      <c r="A11" s="254"/>
      <c r="B11" s="254" t="s">
        <v>1561</v>
      </c>
      <c r="C11" s="145" t="s">
        <v>9</v>
      </c>
      <c r="D11" s="113" t="s">
        <v>4906</v>
      </c>
      <c r="E11" s="137">
        <v>41771</v>
      </c>
      <c r="F11" s="41" t="s">
        <v>4904</v>
      </c>
      <c r="G11" s="41" t="s">
        <v>2124</v>
      </c>
      <c r="H11" s="473"/>
      <c r="I11" s="254" t="s">
        <v>474</v>
      </c>
      <c r="J11" s="137">
        <v>49075</v>
      </c>
      <c r="K11" s="163"/>
      <c r="L11" s="41">
        <v>150</v>
      </c>
      <c r="M11" s="41">
        <v>459.19</v>
      </c>
      <c r="N11" s="95">
        <v>266.8</v>
      </c>
      <c r="O11" s="95"/>
      <c r="P11" s="95"/>
      <c r="Q11" s="93"/>
      <c r="R11" s="93"/>
      <c r="S11" s="93"/>
      <c r="T11" s="93">
        <f t="shared" si="0"/>
        <v>362.995</v>
      </c>
    </row>
    <row r="12" spans="1:20" ht="27" customHeight="1">
      <c r="A12" s="254"/>
      <c r="B12" s="254" t="s">
        <v>1562</v>
      </c>
      <c r="C12" s="145" t="s">
        <v>9</v>
      </c>
      <c r="D12" s="113" t="s">
        <v>4906</v>
      </c>
      <c r="E12" s="137">
        <v>41771</v>
      </c>
      <c r="F12" s="41" t="s">
        <v>4905</v>
      </c>
      <c r="G12" s="41" t="s">
        <v>2125</v>
      </c>
      <c r="H12" s="473"/>
      <c r="I12" s="254" t="s">
        <v>474</v>
      </c>
      <c r="J12" s="137">
        <v>49075</v>
      </c>
      <c r="K12" s="163"/>
      <c r="L12" s="41">
        <v>150</v>
      </c>
      <c r="M12" s="41">
        <v>493.69</v>
      </c>
      <c r="N12" s="95">
        <v>296.5</v>
      </c>
      <c r="O12" s="95"/>
      <c r="P12" s="95"/>
      <c r="Q12" s="93"/>
      <c r="R12" s="93"/>
      <c r="S12" s="93"/>
      <c r="T12" s="93">
        <f t="shared" si="0"/>
        <v>395.09500000000003</v>
      </c>
    </row>
    <row r="13" spans="1:20" ht="27" customHeight="1">
      <c r="A13" s="254"/>
      <c r="B13" s="254" t="s">
        <v>4822</v>
      </c>
      <c r="C13" s="145" t="s">
        <v>7</v>
      </c>
      <c r="D13" s="113" t="s">
        <v>541</v>
      </c>
      <c r="E13" s="137"/>
      <c r="F13" s="41"/>
      <c r="G13" s="41"/>
      <c r="H13" s="473"/>
      <c r="I13" s="254" t="s">
        <v>4820</v>
      </c>
      <c r="J13" s="137">
        <v>47848</v>
      </c>
      <c r="K13" s="375">
        <v>1.4999999999999999E-2</v>
      </c>
      <c r="L13" s="41">
        <v>3</v>
      </c>
      <c r="M13" s="41">
        <v>232.36600000000001</v>
      </c>
      <c r="N13" s="95"/>
      <c r="O13" s="95"/>
      <c r="P13" s="95"/>
      <c r="Q13" s="93"/>
      <c r="R13" s="93"/>
      <c r="S13" s="93"/>
      <c r="T13" s="93">
        <f t="shared" si="0"/>
        <v>232.36600000000001</v>
      </c>
    </row>
    <row r="14" spans="1:20" ht="27" customHeight="1">
      <c r="A14" s="254"/>
      <c r="B14" s="254" t="s">
        <v>5151</v>
      </c>
      <c r="C14" s="145" t="s">
        <v>9</v>
      </c>
      <c r="D14" s="113" t="s">
        <v>4808</v>
      </c>
      <c r="E14" s="137"/>
      <c r="F14" s="41" t="s">
        <v>5156</v>
      </c>
      <c r="G14" s="254" t="s">
        <v>5152</v>
      </c>
      <c r="H14" s="494"/>
      <c r="I14" s="254" t="s">
        <v>5153</v>
      </c>
      <c r="J14" s="137">
        <v>46022</v>
      </c>
      <c r="K14" s="375"/>
      <c r="L14" s="41"/>
      <c r="M14" s="41">
        <v>37.323999999999998</v>
      </c>
      <c r="N14" s="95"/>
      <c r="O14" s="95"/>
      <c r="P14" s="95"/>
      <c r="Q14" s="93"/>
      <c r="R14" s="93"/>
      <c r="S14" s="93"/>
      <c r="T14" s="93">
        <f t="shared" si="0"/>
        <v>37.323999999999998</v>
      </c>
    </row>
    <row r="15" spans="1:20" ht="27" customHeight="1">
      <c r="A15" s="254"/>
      <c r="B15" s="254" t="s">
        <v>4823</v>
      </c>
      <c r="C15" s="145" t="s">
        <v>1601</v>
      </c>
      <c r="D15" s="113" t="s">
        <v>13</v>
      </c>
      <c r="E15" s="137"/>
      <c r="F15" s="41"/>
      <c r="G15" s="41"/>
      <c r="H15" s="473"/>
      <c r="I15" s="254" t="s">
        <v>4820</v>
      </c>
      <c r="J15" s="137">
        <v>47848</v>
      </c>
      <c r="K15" s="375">
        <v>1.4999999999999999E-2</v>
      </c>
      <c r="L15" s="41">
        <v>1.2</v>
      </c>
      <c r="M15" s="41">
        <v>63.716999999999999</v>
      </c>
      <c r="N15" s="95"/>
      <c r="O15" s="95"/>
      <c r="P15" s="95"/>
      <c r="Q15" s="93"/>
      <c r="R15" s="93"/>
      <c r="S15" s="93"/>
      <c r="T15" s="93">
        <f t="shared" si="0"/>
        <v>63.716999999999999</v>
      </c>
    </row>
    <row r="16" spans="1:20" ht="27" customHeight="1">
      <c r="A16" s="254" t="s">
        <v>1508</v>
      </c>
      <c r="B16" s="254" t="s">
        <v>1921</v>
      </c>
      <c r="C16" s="145" t="s">
        <v>467</v>
      </c>
      <c r="D16" s="254" t="s">
        <v>540</v>
      </c>
      <c r="E16" s="137">
        <v>40344</v>
      </c>
      <c r="F16" s="100" t="s">
        <v>2143</v>
      </c>
      <c r="G16" s="100" t="s">
        <v>2145</v>
      </c>
      <c r="H16" s="494"/>
      <c r="I16" s="254" t="s">
        <v>474</v>
      </c>
      <c r="J16" s="147">
        <v>47879</v>
      </c>
      <c r="K16" s="365"/>
      <c r="L16" s="93">
        <v>48</v>
      </c>
      <c r="M16" s="93">
        <v>101.93645100000001</v>
      </c>
      <c r="N16" s="93">
        <f>103.457</f>
        <v>103.45699999999999</v>
      </c>
      <c r="O16" s="93">
        <f>105.245</f>
        <v>105.245</v>
      </c>
      <c r="P16" s="93"/>
      <c r="Q16" s="93"/>
      <c r="R16" s="93"/>
      <c r="S16" s="93"/>
      <c r="T16" s="93">
        <f t="shared" si="0"/>
        <v>103.54615033333334</v>
      </c>
    </row>
    <row r="17" spans="1:21" ht="27" customHeight="1">
      <c r="A17" s="254" t="s">
        <v>1508</v>
      </c>
      <c r="B17" s="254" t="s">
        <v>1504</v>
      </c>
      <c r="C17" s="145" t="s">
        <v>467</v>
      </c>
      <c r="D17" s="254" t="s">
        <v>540</v>
      </c>
      <c r="E17" s="137">
        <v>41096</v>
      </c>
      <c r="F17" s="100" t="s">
        <v>1007</v>
      </c>
      <c r="G17" s="100" t="s">
        <v>2151</v>
      </c>
      <c r="H17" s="494"/>
      <c r="I17" s="254" t="s">
        <v>474</v>
      </c>
      <c r="J17" s="147">
        <v>51268</v>
      </c>
      <c r="K17" s="365"/>
      <c r="L17" s="93">
        <v>150</v>
      </c>
      <c r="M17" s="93">
        <v>357.91550000000001</v>
      </c>
      <c r="N17" s="93">
        <v>223.166</v>
      </c>
      <c r="O17" s="93">
        <v>226.935</v>
      </c>
      <c r="P17" s="93"/>
      <c r="Q17" s="93"/>
      <c r="R17" s="93"/>
      <c r="S17" s="93"/>
      <c r="T17" s="93">
        <f t="shared" si="0"/>
        <v>269.3388333333333</v>
      </c>
    </row>
    <row r="18" spans="1:21" ht="27" customHeight="1">
      <c r="A18" s="254" t="s">
        <v>1508</v>
      </c>
      <c r="B18" s="254" t="s">
        <v>1507</v>
      </c>
      <c r="C18" s="145" t="s">
        <v>467</v>
      </c>
      <c r="D18" s="254" t="s">
        <v>540</v>
      </c>
      <c r="E18" s="137">
        <v>41773</v>
      </c>
      <c r="F18" s="100" t="s">
        <v>3240</v>
      </c>
      <c r="G18" s="100"/>
      <c r="H18" s="494"/>
      <c r="I18" s="254" t="s">
        <v>3750</v>
      </c>
      <c r="J18" s="147">
        <v>49406</v>
      </c>
      <c r="K18" s="365"/>
      <c r="L18" s="93">
        <v>250</v>
      </c>
      <c r="M18" s="93">
        <v>605.36900000000003</v>
      </c>
      <c r="N18" s="93">
        <v>149.637</v>
      </c>
      <c r="O18" s="93"/>
      <c r="P18" s="93"/>
      <c r="Q18" s="93"/>
      <c r="R18" s="93"/>
      <c r="S18" s="93"/>
      <c r="T18" s="93">
        <f t="shared" si="0"/>
        <v>377.50300000000004</v>
      </c>
    </row>
    <row r="19" spans="1:21" ht="27" customHeight="1">
      <c r="A19" s="150"/>
      <c r="B19" s="454" t="s">
        <v>4966</v>
      </c>
      <c r="C19" s="493" t="s">
        <v>3</v>
      </c>
      <c r="D19" s="254" t="s">
        <v>543</v>
      </c>
      <c r="E19" s="137"/>
      <c r="F19" s="100" t="s">
        <v>4965</v>
      </c>
      <c r="G19" s="100"/>
      <c r="H19" s="494"/>
      <c r="I19" s="100" t="s">
        <v>4801</v>
      </c>
      <c r="J19" s="147">
        <v>45809</v>
      </c>
      <c r="K19" s="365"/>
      <c r="L19" s="93">
        <v>0.6</v>
      </c>
      <c r="M19" s="93">
        <f>L19*0.6*8.76</f>
        <v>3.1536</v>
      </c>
      <c r="N19" s="93"/>
      <c r="O19" s="93"/>
      <c r="P19" s="93"/>
      <c r="Q19" s="93"/>
      <c r="R19" s="93"/>
      <c r="S19" s="93"/>
      <c r="T19" s="93">
        <f t="shared" si="0"/>
        <v>3.1536</v>
      </c>
    </row>
    <row r="20" spans="1:21" ht="27" customHeight="1">
      <c r="A20" s="254"/>
      <c r="B20" s="254" t="s">
        <v>4807</v>
      </c>
      <c r="C20" s="145" t="s">
        <v>9</v>
      </c>
      <c r="D20" s="254" t="s">
        <v>4808</v>
      </c>
      <c r="E20" s="137"/>
      <c r="F20" s="100" t="s">
        <v>5155</v>
      </c>
      <c r="G20" s="100"/>
      <c r="H20" s="494"/>
      <c r="I20" s="254" t="s">
        <v>5154</v>
      </c>
      <c r="J20" s="147">
        <v>43830</v>
      </c>
      <c r="K20" s="365" t="s">
        <v>4809</v>
      </c>
      <c r="L20" s="93"/>
      <c r="M20" s="93">
        <v>25.3</v>
      </c>
      <c r="N20" s="93"/>
      <c r="O20" s="93"/>
      <c r="P20" s="93"/>
      <c r="Q20" s="93"/>
      <c r="R20" s="93"/>
      <c r="S20" s="93"/>
      <c r="T20" s="93">
        <f t="shared" si="0"/>
        <v>25.3</v>
      </c>
    </row>
    <row r="21" spans="1:21" ht="27" customHeight="1">
      <c r="A21" s="254"/>
      <c r="B21" s="254" t="s">
        <v>4789</v>
      </c>
      <c r="C21" s="145" t="s">
        <v>3</v>
      </c>
      <c r="D21" s="254" t="s">
        <v>10</v>
      </c>
      <c r="E21" s="137"/>
      <c r="F21" s="100"/>
      <c r="G21" s="100"/>
      <c r="H21" s="494"/>
      <c r="I21" s="254" t="s">
        <v>4788</v>
      </c>
      <c r="J21" s="147">
        <v>44926</v>
      </c>
      <c r="K21" s="365"/>
      <c r="L21" s="93"/>
      <c r="M21" s="93">
        <v>0.1</v>
      </c>
      <c r="N21" s="93"/>
      <c r="O21" s="93"/>
      <c r="P21" s="93"/>
      <c r="Q21" s="93"/>
      <c r="R21" s="93"/>
      <c r="S21" s="93"/>
      <c r="T21" s="93">
        <f t="shared" si="0"/>
        <v>0.1</v>
      </c>
    </row>
    <row r="22" spans="1:21" s="497" customFormat="1" ht="27" customHeight="1">
      <c r="A22" s="504" t="s">
        <v>5474</v>
      </c>
      <c r="B22" s="504" t="s">
        <v>5475</v>
      </c>
      <c r="C22" s="503" t="s">
        <v>9</v>
      </c>
      <c r="D22" s="504" t="s">
        <v>4826</v>
      </c>
      <c r="E22" s="500"/>
      <c r="F22" s="100"/>
      <c r="G22" s="100"/>
      <c r="H22" s="505"/>
      <c r="I22" s="504" t="s">
        <v>4820</v>
      </c>
      <c r="J22" s="147" t="s">
        <v>2596</v>
      </c>
      <c r="K22" s="373">
        <v>1.4999999999999999E-2</v>
      </c>
      <c r="L22" s="93"/>
      <c r="M22" s="93">
        <v>323.57499999999999</v>
      </c>
      <c r="N22" s="93"/>
      <c r="O22" s="93"/>
      <c r="P22" s="93"/>
      <c r="Q22" s="93"/>
      <c r="R22" s="93"/>
      <c r="S22" s="93"/>
      <c r="T22" s="93">
        <f t="shared" si="0"/>
        <v>323.57499999999999</v>
      </c>
    </row>
    <row r="23" spans="1:21" s="497" customFormat="1" ht="27" customHeight="1">
      <c r="A23" s="504" t="s">
        <v>5474</v>
      </c>
      <c r="B23" s="504" t="s">
        <v>5476</v>
      </c>
      <c r="C23" s="503" t="s">
        <v>5477</v>
      </c>
      <c r="D23" s="504" t="s">
        <v>13</v>
      </c>
      <c r="E23" s="500"/>
      <c r="F23" s="100"/>
      <c r="G23" s="100"/>
      <c r="H23" s="505"/>
      <c r="I23" s="504" t="s">
        <v>4820</v>
      </c>
      <c r="J23" s="147" t="s">
        <v>2596</v>
      </c>
      <c r="K23" s="373">
        <v>1.4999999999999999E-2</v>
      </c>
      <c r="L23" s="93"/>
      <c r="M23" s="93">
        <v>16.8</v>
      </c>
      <c r="N23" s="93"/>
      <c r="O23" s="93"/>
      <c r="P23" s="93"/>
      <c r="Q23" s="93"/>
      <c r="R23" s="93"/>
      <c r="S23" s="93"/>
      <c r="T23" s="93">
        <f t="shared" si="0"/>
        <v>16.8</v>
      </c>
    </row>
    <row r="24" spans="1:21" s="288" customFormat="1" ht="24.75" customHeight="1">
      <c r="A24" s="493" t="s">
        <v>915</v>
      </c>
      <c r="B24" s="493" t="s">
        <v>1922</v>
      </c>
      <c r="C24" s="488" t="s">
        <v>467</v>
      </c>
      <c r="D24" s="493" t="s">
        <v>540</v>
      </c>
      <c r="E24" s="137">
        <v>40422</v>
      </c>
      <c r="F24" s="100" t="s">
        <v>2144</v>
      </c>
      <c r="G24" s="100" t="s">
        <v>2142</v>
      </c>
      <c r="H24" s="494"/>
      <c r="I24" s="493" t="s">
        <v>474</v>
      </c>
      <c r="J24" s="147">
        <v>47118</v>
      </c>
      <c r="K24" s="365"/>
      <c r="L24" s="93">
        <v>10</v>
      </c>
      <c r="M24" s="93">
        <v>19.885000000000002</v>
      </c>
      <c r="N24" s="93">
        <v>19.87</v>
      </c>
      <c r="O24" s="93">
        <v>20.375</v>
      </c>
      <c r="P24" s="93">
        <f>+L24*0.2127*8.76</f>
        <v>18.632519999999996</v>
      </c>
      <c r="Q24" s="93">
        <f>+L24*0.2127*8.76</f>
        <v>18.632519999999996</v>
      </c>
      <c r="R24" s="93"/>
      <c r="S24" s="93"/>
      <c r="T24" s="93">
        <f t="shared" si="0"/>
        <v>19.479008</v>
      </c>
      <c r="U24" s="495"/>
    </row>
    <row r="25" spans="1:21" ht="27" customHeight="1">
      <c r="A25" s="492"/>
      <c r="B25" s="113" t="s">
        <v>1563</v>
      </c>
      <c r="C25" s="483" t="s">
        <v>9</v>
      </c>
      <c r="D25" s="114" t="s">
        <v>1564</v>
      </c>
      <c r="E25" s="137">
        <v>42160</v>
      </c>
      <c r="F25" s="484" t="s">
        <v>3022</v>
      </c>
      <c r="G25" s="123" t="s">
        <v>2371</v>
      </c>
      <c r="H25" s="470"/>
      <c r="I25" s="113"/>
      <c r="J25" s="224">
        <v>49466</v>
      </c>
      <c r="K25" s="113" t="s">
        <v>5140</v>
      </c>
      <c r="L25" s="115">
        <v>100</v>
      </c>
      <c r="M25" s="113">
        <v>93.7</v>
      </c>
      <c r="N25" s="113"/>
      <c r="O25" s="113"/>
      <c r="P25" s="113"/>
      <c r="Q25" s="113"/>
      <c r="R25" s="113"/>
      <c r="S25" s="113"/>
      <c r="T25" s="93">
        <f t="shared" si="0"/>
        <v>93.7</v>
      </c>
      <c r="U25" s="478"/>
    </row>
    <row r="26" spans="1:21" ht="27" customHeight="1">
      <c r="A26" s="254"/>
      <c r="B26" s="254" t="s">
        <v>4824</v>
      </c>
      <c r="C26" s="145" t="s">
        <v>1601</v>
      </c>
      <c r="D26" s="254" t="s">
        <v>13</v>
      </c>
      <c r="E26" s="137"/>
      <c r="F26" s="100"/>
      <c r="G26" s="100"/>
      <c r="H26" s="494"/>
      <c r="I26" s="254" t="s">
        <v>4820</v>
      </c>
      <c r="J26" s="147">
        <v>47848</v>
      </c>
      <c r="K26" s="373">
        <v>1.4999999999999999E-2</v>
      </c>
      <c r="L26" s="93">
        <v>0.6</v>
      </c>
      <c r="M26" s="93">
        <v>7.9409999999999998</v>
      </c>
      <c r="N26" s="93"/>
      <c r="O26" s="93"/>
      <c r="P26" s="93"/>
      <c r="Q26" s="93"/>
      <c r="R26" s="93"/>
      <c r="S26" s="93"/>
      <c r="T26" s="93">
        <f t="shared" si="0"/>
        <v>7.9409999999999998</v>
      </c>
    </row>
    <row r="27" spans="1:21" ht="27" customHeight="1">
      <c r="A27" s="254"/>
      <c r="B27" s="493" t="s">
        <v>4825</v>
      </c>
      <c r="C27" s="488" t="s">
        <v>1601</v>
      </c>
      <c r="D27" s="493" t="s">
        <v>4826</v>
      </c>
      <c r="E27" s="485"/>
      <c r="F27" s="100"/>
      <c r="G27" s="100"/>
      <c r="H27" s="494" t="s">
        <v>5470</v>
      </c>
      <c r="I27" s="493" t="s">
        <v>4820</v>
      </c>
      <c r="J27" s="147">
        <v>47483</v>
      </c>
      <c r="K27" s="373">
        <v>1.4999999999999999E-2</v>
      </c>
      <c r="L27" s="93">
        <v>1.3</v>
      </c>
      <c r="M27" s="93">
        <v>101.331</v>
      </c>
      <c r="N27" s="93"/>
      <c r="O27" s="93"/>
      <c r="P27" s="93"/>
      <c r="Q27" s="93"/>
      <c r="R27" s="93"/>
      <c r="S27" s="93"/>
      <c r="T27" s="93">
        <f t="shared" si="0"/>
        <v>101.331</v>
      </c>
    </row>
    <row r="28" spans="1:21" s="482" customFormat="1" ht="27" customHeight="1">
      <c r="A28" s="493" t="s">
        <v>5474</v>
      </c>
      <c r="B28" s="504" t="s">
        <v>5472</v>
      </c>
      <c r="C28" s="488" t="s">
        <v>9</v>
      </c>
      <c r="D28" s="493" t="s">
        <v>4826</v>
      </c>
      <c r="E28" s="485"/>
      <c r="F28" s="100"/>
      <c r="G28" s="100"/>
      <c r="H28" s="494"/>
      <c r="I28" s="504" t="s">
        <v>4820</v>
      </c>
      <c r="J28" s="147" t="s">
        <v>2596</v>
      </c>
      <c r="K28" s="373">
        <v>1.4999999999999999E-2</v>
      </c>
      <c r="L28" s="93"/>
      <c r="M28" s="93">
        <v>370.58100000000002</v>
      </c>
      <c r="N28" s="93"/>
      <c r="O28" s="93"/>
      <c r="P28" s="93"/>
      <c r="Q28" s="93"/>
      <c r="R28" s="93"/>
      <c r="S28" s="93"/>
      <c r="T28" s="93">
        <f t="shared" si="0"/>
        <v>370.58100000000002</v>
      </c>
    </row>
    <row r="29" spans="1:21" s="482" customFormat="1" ht="27" customHeight="1">
      <c r="A29" s="504" t="s">
        <v>5474</v>
      </c>
      <c r="B29" s="504" t="s">
        <v>5473</v>
      </c>
      <c r="C29" s="488" t="s">
        <v>9</v>
      </c>
      <c r="D29" s="493" t="s">
        <v>4</v>
      </c>
      <c r="E29" s="485"/>
      <c r="F29" s="100"/>
      <c r="G29" s="100"/>
      <c r="H29" s="494"/>
      <c r="I29" s="504" t="s">
        <v>4820</v>
      </c>
      <c r="J29" s="147" t="s">
        <v>2596</v>
      </c>
      <c r="K29" s="373">
        <v>1.4999999999999999E-2</v>
      </c>
      <c r="L29" s="93"/>
      <c r="M29" s="93">
        <v>152.38800000000001</v>
      </c>
      <c r="N29" s="93"/>
      <c r="O29" s="93"/>
      <c r="P29" s="93"/>
      <c r="Q29" s="93"/>
      <c r="R29" s="93"/>
      <c r="S29" s="93"/>
      <c r="T29" s="93">
        <f t="shared" si="0"/>
        <v>152.38800000000001</v>
      </c>
    </row>
    <row r="30" spans="1:21" ht="27" customHeight="1">
      <c r="A30" s="493" t="s">
        <v>499</v>
      </c>
      <c r="B30" s="94" t="s">
        <v>500</v>
      </c>
      <c r="C30" s="150" t="s">
        <v>9</v>
      </c>
      <c r="D30" s="150" t="s">
        <v>10</v>
      </c>
      <c r="E30" s="147">
        <v>40486</v>
      </c>
      <c r="F30" s="100" t="s">
        <v>1222</v>
      </c>
      <c r="G30" s="100" t="s">
        <v>2444</v>
      </c>
      <c r="H30" s="494"/>
      <c r="I30" s="150" t="s">
        <v>475</v>
      </c>
      <c r="J30" s="147">
        <v>47938</v>
      </c>
      <c r="K30" s="365"/>
      <c r="L30" s="101">
        <v>124.5</v>
      </c>
      <c r="M30" s="101">
        <v>317.88583799999998</v>
      </c>
      <c r="N30" s="101">
        <v>402.62684899999999</v>
      </c>
      <c r="O30" s="101">
        <v>332.11</v>
      </c>
      <c r="P30" s="101">
        <v>368.92500000000001</v>
      </c>
      <c r="Q30" s="101">
        <f>+L30*0.3779*8760/1000</f>
        <v>412.14529800000003</v>
      </c>
      <c r="R30" s="101"/>
      <c r="S30" s="101"/>
      <c r="T30" s="93">
        <f t="shared" si="0"/>
        <v>366.73859700000003</v>
      </c>
    </row>
    <row r="31" spans="1:21" s="497" customFormat="1" ht="27" customHeight="1">
      <c r="A31" s="504" t="s">
        <v>5474</v>
      </c>
      <c r="B31" s="94" t="s">
        <v>5478</v>
      </c>
      <c r="C31" s="150" t="s">
        <v>1601</v>
      </c>
      <c r="D31" s="150" t="s">
        <v>541</v>
      </c>
      <c r="E31" s="147"/>
      <c r="F31" s="100"/>
      <c r="G31" s="100"/>
      <c r="H31" s="505"/>
      <c r="I31" s="504" t="s">
        <v>4820</v>
      </c>
      <c r="J31" s="147" t="s">
        <v>2596</v>
      </c>
      <c r="K31" s="373">
        <v>1.4999999999999999E-2</v>
      </c>
      <c r="L31" s="101"/>
      <c r="M31" s="101">
        <v>5.516</v>
      </c>
      <c r="N31" s="101"/>
      <c r="O31" s="101"/>
      <c r="P31" s="101"/>
      <c r="Q31" s="101"/>
      <c r="R31" s="101"/>
      <c r="S31" s="101"/>
      <c r="T31" s="93">
        <f t="shared" si="0"/>
        <v>5.516</v>
      </c>
    </row>
    <row r="32" spans="1:21" ht="27" customHeight="1">
      <c r="A32" s="140"/>
      <c r="B32" s="150" t="s">
        <v>2910</v>
      </c>
      <c r="C32" s="150" t="s">
        <v>1616</v>
      </c>
      <c r="D32" s="254" t="s">
        <v>4</v>
      </c>
      <c r="E32" s="137">
        <v>41275</v>
      </c>
      <c r="F32" s="143"/>
      <c r="G32" s="143"/>
      <c r="H32" s="472"/>
      <c r="I32" s="493" t="s">
        <v>5160</v>
      </c>
      <c r="J32" s="485" t="s">
        <v>5161</v>
      </c>
      <c r="K32" s="489"/>
      <c r="L32" s="41">
        <v>26</v>
      </c>
      <c r="M32" s="41">
        <v>3.8855330000000001</v>
      </c>
      <c r="N32" s="41">
        <f>58.043+46.464+0.526</f>
        <v>105.033</v>
      </c>
      <c r="O32" s="41">
        <v>24</v>
      </c>
      <c r="P32" s="41"/>
      <c r="Q32" s="41"/>
      <c r="R32" s="41"/>
      <c r="S32" s="41"/>
      <c r="T32" s="93">
        <f t="shared" si="0"/>
        <v>44.306177666666663</v>
      </c>
    </row>
    <row r="33" spans="1:21" ht="27" customHeight="1">
      <c r="A33" s="140" t="s">
        <v>911</v>
      </c>
      <c r="B33" s="150" t="s">
        <v>909</v>
      </c>
      <c r="C33" s="150" t="s">
        <v>9</v>
      </c>
      <c r="D33" s="254" t="s">
        <v>910</v>
      </c>
      <c r="E33" s="137">
        <v>41214</v>
      </c>
      <c r="F33" s="143" t="s">
        <v>1224</v>
      </c>
      <c r="G33" s="143" t="s">
        <v>2208</v>
      </c>
      <c r="H33" s="472"/>
      <c r="I33" s="94" t="s">
        <v>474</v>
      </c>
      <c r="J33" s="147">
        <v>48566</v>
      </c>
      <c r="K33" s="365"/>
      <c r="L33" s="41">
        <v>150</v>
      </c>
      <c r="M33" s="41">
        <v>460.17710399999999</v>
      </c>
      <c r="N33" s="41">
        <v>461.6</v>
      </c>
      <c r="O33" s="41">
        <v>466.41800000000001</v>
      </c>
      <c r="P33" s="41">
        <v>484</v>
      </c>
      <c r="Q33" s="41"/>
      <c r="R33" s="41"/>
      <c r="S33" s="41"/>
      <c r="T33" s="93">
        <f t="shared" si="0"/>
        <v>468.04877599999998</v>
      </c>
    </row>
    <row r="34" spans="1:21" s="497" customFormat="1" ht="27" customHeight="1">
      <c r="A34" s="504" t="s">
        <v>5474</v>
      </c>
      <c r="B34" s="150" t="s">
        <v>5479</v>
      </c>
      <c r="C34" s="150" t="s">
        <v>9</v>
      </c>
      <c r="D34" s="504" t="s">
        <v>4826</v>
      </c>
      <c r="E34" s="500"/>
      <c r="F34" s="502"/>
      <c r="G34" s="502"/>
      <c r="H34" s="472"/>
      <c r="I34" s="504" t="s">
        <v>4820</v>
      </c>
      <c r="J34" s="147" t="s">
        <v>2596</v>
      </c>
      <c r="K34" s="373">
        <v>1.4999999999999999E-2</v>
      </c>
      <c r="L34" s="41"/>
      <c r="M34" s="41">
        <v>238.81299999999999</v>
      </c>
      <c r="N34" s="41"/>
      <c r="O34" s="41"/>
      <c r="P34" s="41"/>
      <c r="Q34" s="41"/>
      <c r="R34" s="41"/>
      <c r="S34" s="41"/>
      <c r="T34" s="93">
        <f t="shared" si="0"/>
        <v>238.81299999999999</v>
      </c>
    </row>
    <row r="35" spans="1:21" s="388" customFormat="1" ht="37.5" customHeight="1">
      <c r="A35" s="140" t="s">
        <v>2069</v>
      </c>
      <c r="B35" s="150" t="s">
        <v>2068</v>
      </c>
      <c r="C35" s="150" t="s">
        <v>9</v>
      </c>
      <c r="D35" s="254" t="s">
        <v>10</v>
      </c>
      <c r="E35" s="137">
        <v>41136</v>
      </c>
      <c r="F35" s="143"/>
      <c r="G35" s="143"/>
      <c r="H35" s="472"/>
      <c r="I35" s="254" t="s">
        <v>2070</v>
      </c>
      <c r="J35" s="137">
        <v>49674</v>
      </c>
      <c r="K35" s="163"/>
      <c r="L35" s="41">
        <v>57.6</v>
      </c>
      <c r="M35" s="41">
        <v>0</v>
      </c>
      <c r="N35" s="41">
        <v>43.374000000000002</v>
      </c>
      <c r="O35" s="41"/>
      <c r="P35" s="41"/>
      <c r="Q35" s="41"/>
      <c r="R35" s="41"/>
      <c r="S35" s="41"/>
      <c r="T35" s="93">
        <f t="shared" si="0"/>
        <v>21.687000000000001</v>
      </c>
      <c r="U35" s="482"/>
    </row>
    <row r="36" spans="1:21" s="388" customFormat="1" ht="42.75" customHeight="1">
      <c r="A36" s="140"/>
      <c r="B36" s="150" t="s">
        <v>3010</v>
      </c>
      <c r="C36" s="150" t="s">
        <v>9</v>
      </c>
      <c r="D36" s="493" t="s">
        <v>3011</v>
      </c>
      <c r="E36" s="485"/>
      <c r="F36" s="143"/>
      <c r="G36" s="143"/>
      <c r="H36" s="472"/>
      <c r="I36" s="493" t="s">
        <v>1995</v>
      </c>
      <c r="J36" s="485">
        <v>47118</v>
      </c>
      <c r="K36" s="489"/>
      <c r="L36" s="41"/>
      <c r="M36" s="41">
        <v>269.78300000000002</v>
      </c>
      <c r="N36" s="41">
        <v>10.227</v>
      </c>
      <c r="O36" s="41"/>
      <c r="P36" s="41"/>
      <c r="Q36" s="41"/>
      <c r="R36" s="41"/>
      <c r="S36" s="41"/>
      <c r="T36" s="93">
        <f t="shared" si="0"/>
        <v>140.005</v>
      </c>
    </row>
    <row r="37" spans="1:21" s="388" customFormat="1" ht="27" customHeight="1">
      <c r="A37" s="150" t="s">
        <v>5</v>
      </c>
      <c r="B37" s="150" t="s">
        <v>5469</v>
      </c>
      <c r="C37" s="150" t="s">
        <v>3</v>
      </c>
      <c r="D37" s="150" t="s">
        <v>4</v>
      </c>
      <c r="E37" s="147">
        <v>39995</v>
      </c>
      <c r="F37" s="143" t="s">
        <v>1235</v>
      </c>
      <c r="G37" s="143"/>
      <c r="H37" s="472"/>
      <c r="I37" s="150" t="s">
        <v>478</v>
      </c>
      <c r="J37" s="147">
        <v>44409</v>
      </c>
      <c r="K37" s="365"/>
      <c r="L37" s="101">
        <v>34</v>
      </c>
      <c r="M37" s="101">
        <v>338.72699999999998</v>
      </c>
      <c r="N37" s="101">
        <v>311.16500000000002</v>
      </c>
      <c r="O37" s="101">
        <v>295.012</v>
      </c>
      <c r="P37" s="101">
        <v>265.51499999999999</v>
      </c>
      <c r="Q37" s="101">
        <v>243.05699999999999</v>
      </c>
      <c r="R37" s="101">
        <v>269.14</v>
      </c>
      <c r="S37" s="101"/>
      <c r="T37" s="93">
        <f t="shared" si="0"/>
        <v>287.10266666666666</v>
      </c>
    </row>
    <row r="38" spans="1:21" s="388" customFormat="1" ht="27" customHeight="1">
      <c r="A38" s="150"/>
      <c r="B38" s="150" t="s">
        <v>3018</v>
      </c>
      <c r="C38" s="150" t="s">
        <v>2086</v>
      </c>
      <c r="D38" s="150" t="s">
        <v>4</v>
      </c>
      <c r="E38" s="147">
        <v>40618</v>
      </c>
      <c r="F38" s="143" t="s">
        <v>3020</v>
      </c>
      <c r="G38" s="143"/>
      <c r="H38" s="472"/>
      <c r="I38" s="150" t="s">
        <v>4787</v>
      </c>
      <c r="J38" s="137">
        <v>45657</v>
      </c>
      <c r="K38" s="163"/>
      <c r="L38" s="101">
        <v>151.19999999999999</v>
      </c>
      <c r="M38" s="101">
        <v>201.06200000000001</v>
      </c>
      <c r="N38" s="101">
        <v>232.87100000000001</v>
      </c>
      <c r="O38" s="101"/>
      <c r="P38" s="101"/>
      <c r="Q38" s="101"/>
      <c r="R38" s="101"/>
      <c r="S38" s="101"/>
      <c r="T38" s="93">
        <f t="shared" si="0"/>
        <v>216.9665</v>
      </c>
    </row>
    <row r="39" spans="1:21" s="388" customFormat="1" ht="27" customHeight="1">
      <c r="A39" s="150"/>
      <c r="B39" s="150" t="s">
        <v>4806</v>
      </c>
      <c r="C39" s="150" t="s">
        <v>3</v>
      </c>
      <c r="D39" s="150" t="s">
        <v>4</v>
      </c>
      <c r="E39" s="147"/>
      <c r="F39" s="487"/>
      <c r="G39" s="487"/>
      <c r="H39" s="472"/>
      <c r="I39" s="150" t="s">
        <v>4801</v>
      </c>
      <c r="J39" s="485">
        <v>43556</v>
      </c>
      <c r="K39" s="489" t="s">
        <v>4805</v>
      </c>
      <c r="L39" s="101"/>
      <c r="M39" s="101">
        <v>18.291</v>
      </c>
      <c r="N39" s="101"/>
      <c r="O39" s="101"/>
      <c r="P39" s="101"/>
      <c r="Q39" s="101"/>
      <c r="R39" s="101"/>
      <c r="S39" s="101"/>
      <c r="T39" s="93">
        <f t="shared" si="0"/>
        <v>18.291</v>
      </c>
    </row>
    <row r="40" spans="1:21" s="388" customFormat="1" ht="27" customHeight="1">
      <c r="A40" s="150"/>
      <c r="B40" s="150" t="s">
        <v>4799</v>
      </c>
      <c r="C40" s="150" t="s">
        <v>9</v>
      </c>
      <c r="D40" s="150" t="s">
        <v>4</v>
      </c>
      <c r="E40" s="147"/>
      <c r="F40" s="100"/>
      <c r="G40" s="100"/>
      <c r="H40" s="494"/>
      <c r="I40" s="150" t="s">
        <v>4801</v>
      </c>
      <c r="J40" s="147">
        <v>43465</v>
      </c>
      <c r="K40" s="365" t="s">
        <v>4800</v>
      </c>
      <c r="L40" s="101"/>
      <c r="M40" s="101">
        <v>255.61799999999999</v>
      </c>
      <c r="N40" s="101"/>
      <c r="O40" s="101"/>
      <c r="P40" s="101"/>
      <c r="Q40" s="101"/>
      <c r="R40" s="93"/>
      <c r="S40" s="101"/>
      <c r="T40" s="93">
        <f t="shared" si="0"/>
        <v>255.61799999999999</v>
      </c>
    </row>
    <row r="41" spans="1:21" s="388" customFormat="1" ht="27" customHeight="1">
      <c r="A41" s="150" t="s">
        <v>502</v>
      </c>
      <c r="B41" s="150" t="s">
        <v>501</v>
      </c>
      <c r="C41" s="150" t="s">
        <v>9</v>
      </c>
      <c r="D41" s="150" t="s">
        <v>13</v>
      </c>
      <c r="E41" s="147">
        <v>39448</v>
      </c>
      <c r="F41" s="100" t="s">
        <v>1216</v>
      </c>
      <c r="G41" s="100" t="s">
        <v>2237</v>
      </c>
      <c r="H41" s="494"/>
      <c r="I41" s="150" t="s">
        <v>1920</v>
      </c>
      <c r="J41" s="147" t="s">
        <v>1230</v>
      </c>
      <c r="K41" s="365"/>
      <c r="L41" s="101">
        <v>176</v>
      </c>
      <c r="M41" s="101">
        <v>441.19870100000003</v>
      </c>
      <c r="N41" s="101">
        <v>503.935</v>
      </c>
      <c r="O41" s="101">
        <v>503.15199999999999</v>
      </c>
      <c r="P41" s="101">
        <v>504.34800000000001</v>
      </c>
      <c r="Q41" s="101">
        <f>+L41*8760*0.3112/1000</f>
        <v>479.79571199999992</v>
      </c>
      <c r="R41" s="93">
        <f>+L41*0.2797*8.76</f>
        <v>431.23027200000001</v>
      </c>
      <c r="S41" s="101">
        <f>+L41*0.2916*8760/1000</f>
        <v>449.57721600000002</v>
      </c>
      <c r="T41" s="93">
        <f t="shared" si="0"/>
        <v>473.31955728571427</v>
      </c>
    </row>
    <row r="42" spans="1:21" s="388" customFormat="1" ht="27" customHeight="1">
      <c r="A42" s="150"/>
      <c r="B42" s="150" t="s">
        <v>4840</v>
      </c>
      <c r="C42" s="150" t="s">
        <v>9</v>
      </c>
      <c r="D42" s="150" t="s">
        <v>541</v>
      </c>
      <c r="E42" s="147"/>
      <c r="F42" s="100"/>
      <c r="G42" s="100"/>
      <c r="H42" s="494"/>
      <c r="I42" s="150" t="s">
        <v>4820</v>
      </c>
      <c r="J42" s="147">
        <v>48213</v>
      </c>
      <c r="K42" s="373">
        <v>1.4999999999999999E-2</v>
      </c>
      <c r="L42" s="101">
        <v>2.2999999999999998</v>
      </c>
      <c r="M42" s="101">
        <v>0</v>
      </c>
      <c r="N42" s="101"/>
      <c r="O42" s="101"/>
      <c r="P42" s="101"/>
      <c r="Q42" s="101"/>
      <c r="R42" s="93"/>
      <c r="S42" s="101"/>
      <c r="T42" s="93">
        <f t="shared" si="0"/>
        <v>0</v>
      </c>
    </row>
    <row r="43" spans="1:21" s="506" customFormat="1" ht="27" customHeight="1">
      <c r="A43" s="150"/>
      <c r="B43" s="150" t="s">
        <v>5480</v>
      </c>
      <c r="C43" s="150" t="s">
        <v>1601</v>
      </c>
      <c r="D43" s="150" t="s">
        <v>10</v>
      </c>
      <c r="E43" s="147"/>
      <c r="F43" s="100"/>
      <c r="G43" s="100"/>
      <c r="H43" s="505"/>
      <c r="I43" s="504" t="s">
        <v>4820</v>
      </c>
      <c r="J43" s="147" t="s">
        <v>2596</v>
      </c>
      <c r="K43" s="373">
        <v>1.4999999999999999E-2</v>
      </c>
      <c r="L43" s="101"/>
      <c r="M43" s="101">
        <v>1.929</v>
      </c>
      <c r="N43" s="101"/>
      <c r="O43" s="101"/>
      <c r="P43" s="101"/>
      <c r="Q43" s="101"/>
      <c r="R43" s="93"/>
      <c r="S43" s="101"/>
      <c r="T43" s="93">
        <f t="shared" si="0"/>
        <v>1.929</v>
      </c>
    </row>
    <row r="44" spans="1:21" s="388" customFormat="1" ht="27" customHeight="1">
      <c r="A44" s="150"/>
      <c r="B44" s="150" t="s">
        <v>1967</v>
      </c>
      <c r="C44" s="150" t="s">
        <v>9</v>
      </c>
      <c r="D44" s="150" t="s">
        <v>13</v>
      </c>
      <c r="E44" s="147">
        <v>38974</v>
      </c>
      <c r="F44" s="100"/>
      <c r="G44" s="100"/>
      <c r="H44" s="494"/>
      <c r="I44" s="150" t="s">
        <v>4837</v>
      </c>
      <c r="J44" s="137">
        <v>45657</v>
      </c>
      <c r="K44" s="163" t="s">
        <v>4838</v>
      </c>
      <c r="L44" s="101">
        <v>100.5</v>
      </c>
      <c r="M44" s="101">
        <v>128.191</v>
      </c>
      <c r="N44" s="101">
        <v>43.103000000000002</v>
      </c>
      <c r="O44" s="101"/>
      <c r="P44" s="101"/>
      <c r="Q44" s="101"/>
      <c r="R44" s="93"/>
      <c r="S44" s="101"/>
      <c r="T44" s="93">
        <f t="shared" si="0"/>
        <v>85.647000000000006</v>
      </c>
    </row>
    <row r="45" spans="1:21" ht="27" customHeight="1">
      <c r="A45" s="150"/>
      <c r="B45" s="150" t="s">
        <v>3021</v>
      </c>
      <c r="C45" s="150" t="s">
        <v>9</v>
      </c>
      <c r="D45" s="150" t="s">
        <v>13</v>
      </c>
      <c r="E45" s="147">
        <v>40703</v>
      </c>
      <c r="F45" s="100"/>
      <c r="G45" s="100"/>
      <c r="H45" s="494"/>
      <c r="I45" s="150" t="s">
        <v>5148</v>
      </c>
      <c r="J45" s="137">
        <v>45657</v>
      </c>
      <c r="K45" s="163"/>
      <c r="L45" s="101">
        <v>201.3</v>
      </c>
      <c r="M45" s="101">
        <v>249.155</v>
      </c>
      <c r="N45" s="101">
        <v>304.947</v>
      </c>
      <c r="O45" s="101"/>
      <c r="P45" s="101"/>
      <c r="Q45" s="101"/>
      <c r="R45" s="93"/>
      <c r="S45" s="101"/>
      <c r="T45" s="93">
        <f t="shared" si="0"/>
        <v>277.05099999999999</v>
      </c>
      <c r="U45" s="496"/>
    </row>
    <row r="46" spans="1:21" ht="27" customHeight="1">
      <c r="A46" s="493" t="s">
        <v>495</v>
      </c>
      <c r="B46" s="493" t="s">
        <v>471</v>
      </c>
      <c r="C46" s="493" t="s">
        <v>9</v>
      </c>
      <c r="D46" s="254" t="s">
        <v>488</v>
      </c>
      <c r="E46" s="485">
        <v>40323</v>
      </c>
      <c r="F46" s="143" t="s">
        <v>1238</v>
      </c>
      <c r="G46" s="143"/>
      <c r="H46" s="472"/>
      <c r="I46" s="493" t="s">
        <v>2908</v>
      </c>
      <c r="J46" s="485" t="s">
        <v>1241</v>
      </c>
      <c r="K46" s="489"/>
      <c r="L46" s="93">
        <v>50</v>
      </c>
      <c r="M46" s="93">
        <v>131.93600000000001</v>
      </c>
      <c r="N46" s="93">
        <v>147.04300000000001</v>
      </c>
      <c r="O46" s="93">
        <v>148.75200000000001</v>
      </c>
      <c r="P46" s="93">
        <f>141144/1000</f>
        <v>141.14400000000001</v>
      </c>
      <c r="Q46" s="93">
        <f>+L46*0.3453*8760/1000</f>
        <v>151.2414</v>
      </c>
      <c r="R46" s="93"/>
      <c r="S46" s="93"/>
      <c r="T46" s="93">
        <f t="shared" si="0"/>
        <v>144.02328</v>
      </c>
    </row>
    <row r="47" spans="1:21" s="497" customFormat="1" ht="27" customHeight="1">
      <c r="A47" s="504"/>
      <c r="B47" s="504" t="s">
        <v>5481</v>
      </c>
      <c r="C47" s="504" t="s">
        <v>9</v>
      </c>
      <c r="D47" s="504" t="s">
        <v>4</v>
      </c>
      <c r="E47" s="500"/>
      <c r="F47" s="502"/>
      <c r="G47" s="502"/>
      <c r="H47" s="472"/>
      <c r="I47" s="504" t="s">
        <v>4820</v>
      </c>
      <c r="J47" s="147" t="s">
        <v>2596</v>
      </c>
      <c r="K47" s="373">
        <v>1.4999999999999999E-2</v>
      </c>
      <c r="L47" s="93"/>
      <c r="M47" s="93">
        <v>242.358</v>
      </c>
      <c r="N47" s="93"/>
      <c r="O47" s="93"/>
      <c r="P47" s="93"/>
      <c r="Q47" s="93"/>
      <c r="R47" s="93"/>
      <c r="S47" s="93"/>
      <c r="T47" s="93">
        <f t="shared" si="0"/>
        <v>242.358</v>
      </c>
    </row>
    <row r="48" spans="1:21" s="497" customFormat="1" ht="27" customHeight="1">
      <c r="A48" s="504"/>
      <c r="B48" s="504" t="s">
        <v>5482</v>
      </c>
      <c r="C48" s="504" t="s">
        <v>9</v>
      </c>
      <c r="D48" s="504" t="s">
        <v>4</v>
      </c>
      <c r="E48" s="500"/>
      <c r="F48" s="502"/>
      <c r="G48" s="502"/>
      <c r="H48" s="472"/>
      <c r="I48" s="504" t="s">
        <v>4820</v>
      </c>
      <c r="J48" s="147" t="s">
        <v>2596</v>
      </c>
      <c r="K48" s="373">
        <v>1.4999999999999999E-2</v>
      </c>
      <c r="L48" s="93"/>
      <c r="M48" s="93">
        <v>113.995</v>
      </c>
      <c r="N48" s="93"/>
      <c r="O48" s="93"/>
      <c r="P48" s="93"/>
      <c r="Q48" s="93"/>
      <c r="R48" s="93"/>
      <c r="S48" s="93"/>
      <c r="T48" s="93">
        <f t="shared" si="0"/>
        <v>113.995</v>
      </c>
    </row>
    <row r="49" spans="1:21" s="497" customFormat="1" ht="27" customHeight="1">
      <c r="A49" s="504"/>
      <c r="B49" s="504" t="s">
        <v>5483</v>
      </c>
      <c r="C49" s="504" t="s">
        <v>9</v>
      </c>
      <c r="D49" s="504" t="s">
        <v>4826</v>
      </c>
      <c r="E49" s="500"/>
      <c r="F49" s="502"/>
      <c r="G49" s="502"/>
      <c r="H49" s="472"/>
      <c r="I49" s="504" t="s">
        <v>4820</v>
      </c>
      <c r="J49" s="147" t="s">
        <v>2596</v>
      </c>
      <c r="K49" s="373">
        <v>1.4999999999999999E-2</v>
      </c>
      <c r="L49" s="93"/>
      <c r="M49" s="93">
        <v>74.87</v>
      </c>
      <c r="N49" s="93"/>
      <c r="O49" s="93"/>
      <c r="P49" s="93"/>
      <c r="Q49" s="93"/>
      <c r="R49" s="93"/>
      <c r="S49" s="93"/>
      <c r="T49" s="93">
        <f t="shared" si="0"/>
        <v>74.87</v>
      </c>
    </row>
    <row r="50" spans="1:21" ht="27" customHeight="1">
      <c r="A50" s="94" t="s">
        <v>879</v>
      </c>
      <c r="B50" s="94" t="s">
        <v>1225</v>
      </c>
      <c r="C50" s="150" t="s">
        <v>467</v>
      </c>
      <c r="D50" s="493" t="s">
        <v>543</v>
      </c>
      <c r="E50" s="147">
        <v>41640</v>
      </c>
      <c r="F50" s="487" t="s">
        <v>1391</v>
      </c>
      <c r="G50" s="487" t="s">
        <v>2248</v>
      </c>
      <c r="H50" s="472"/>
      <c r="I50" s="150" t="s">
        <v>1226</v>
      </c>
      <c r="J50" s="147">
        <v>48645</v>
      </c>
      <c r="K50" s="365"/>
      <c r="L50" s="101">
        <v>165</v>
      </c>
      <c r="M50" s="101">
        <v>397.595842</v>
      </c>
      <c r="N50" s="101">
        <v>408.21800000000002</v>
      </c>
      <c r="O50" s="101"/>
      <c r="P50" s="93"/>
      <c r="Q50" s="101"/>
      <c r="R50" s="102"/>
      <c r="S50" s="102"/>
      <c r="T50" s="93">
        <f t="shared" si="0"/>
        <v>402.90692100000001</v>
      </c>
    </row>
    <row r="51" spans="1:21" ht="27" customHeight="1">
      <c r="A51" s="254" t="s">
        <v>882</v>
      </c>
      <c r="B51" s="254" t="s">
        <v>1261</v>
      </c>
      <c r="C51" s="145" t="s">
        <v>9</v>
      </c>
      <c r="D51" s="113" t="s">
        <v>541</v>
      </c>
      <c r="E51" s="137">
        <v>40133</v>
      </c>
      <c r="F51" s="41"/>
      <c r="G51" s="41"/>
      <c r="H51" s="473"/>
      <c r="I51" s="254" t="s">
        <v>1946</v>
      </c>
      <c r="J51" s="137">
        <v>47437</v>
      </c>
      <c r="K51" s="163"/>
      <c r="L51" s="41">
        <v>203.5</v>
      </c>
      <c r="M51" s="41">
        <v>389.05599999999998</v>
      </c>
      <c r="N51" s="95">
        <v>416.92399999999998</v>
      </c>
      <c r="O51" s="95">
        <v>338.47399999999999</v>
      </c>
      <c r="P51" s="95">
        <v>456.98700000000002</v>
      </c>
      <c r="Q51" s="93">
        <v>414.42</v>
      </c>
      <c r="R51" s="93">
        <v>400.75099999999998</v>
      </c>
      <c r="S51" s="93"/>
      <c r="T51" s="93">
        <f t="shared" si="0"/>
        <v>402.76866666666666</v>
      </c>
    </row>
    <row r="52" spans="1:21" ht="27" customHeight="1">
      <c r="A52" s="254" t="s">
        <v>882</v>
      </c>
      <c r="B52" s="254" t="s">
        <v>1262</v>
      </c>
      <c r="C52" s="488" t="s">
        <v>9</v>
      </c>
      <c r="D52" s="113" t="s">
        <v>541</v>
      </c>
      <c r="E52" s="137">
        <v>40339</v>
      </c>
      <c r="F52" s="41"/>
      <c r="G52" s="41"/>
      <c r="H52" s="473"/>
      <c r="I52" s="493" t="s">
        <v>480</v>
      </c>
      <c r="J52" s="485">
        <v>48029</v>
      </c>
      <c r="K52" s="489"/>
      <c r="L52" s="41">
        <v>100.5</v>
      </c>
      <c r="M52" s="41">
        <v>188.405</v>
      </c>
      <c r="N52" s="484">
        <v>199.096</v>
      </c>
      <c r="O52" s="484">
        <v>155.261</v>
      </c>
      <c r="P52" s="484">
        <v>206.7</v>
      </c>
      <c r="Q52" s="93">
        <v>101.991</v>
      </c>
      <c r="R52" s="93"/>
      <c r="S52" s="93"/>
      <c r="T52" s="93">
        <f t="shared" si="0"/>
        <v>170.29059999999998</v>
      </c>
    </row>
    <row r="53" spans="1:21" ht="27" customHeight="1">
      <c r="A53" s="254" t="s">
        <v>912</v>
      </c>
      <c r="B53" s="254" t="s">
        <v>2365</v>
      </c>
      <c r="C53" s="150" t="s">
        <v>9</v>
      </c>
      <c r="D53" s="150" t="s">
        <v>15</v>
      </c>
      <c r="E53" s="137"/>
      <c r="F53" s="100" t="s">
        <v>2367</v>
      </c>
      <c r="G53" s="100" t="s">
        <v>2369</v>
      </c>
      <c r="H53" s="494"/>
      <c r="I53" s="150" t="s">
        <v>477</v>
      </c>
      <c r="J53" s="147">
        <v>45288</v>
      </c>
      <c r="K53" s="365"/>
      <c r="L53" s="93">
        <v>106.5</v>
      </c>
      <c r="M53" s="93">
        <v>263.255</v>
      </c>
      <c r="N53" s="93">
        <v>275.654</v>
      </c>
      <c r="O53" s="93">
        <v>283.3075</v>
      </c>
      <c r="P53" s="93">
        <v>330.90199999999999</v>
      </c>
      <c r="Q53" s="93">
        <v>319.851</v>
      </c>
      <c r="R53" s="93">
        <v>213.637</v>
      </c>
      <c r="S53" s="93"/>
      <c r="T53" s="93">
        <f t="shared" si="0"/>
        <v>281.10108333333335</v>
      </c>
    </row>
    <row r="54" spans="1:21" ht="27" customHeight="1">
      <c r="A54" s="254" t="s">
        <v>912</v>
      </c>
      <c r="B54" s="150" t="s">
        <v>2366</v>
      </c>
      <c r="C54" s="150" t="s">
        <v>9</v>
      </c>
      <c r="D54" s="150" t="s">
        <v>15</v>
      </c>
      <c r="E54" s="147">
        <v>40107</v>
      </c>
      <c r="F54" s="100" t="s">
        <v>2368</v>
      </c>
      <c r="G54" s="100" t="s">
        <v>2370</v>
      </c>
      <c r="H54" s="494"/>
      <c r="I54" s="150" t="s">
        <v>477</v>
      </c>
      <c r="J54" s="147">
        <v>45580</v>
      </c>
      <c r="K54" s="365"/>
      <c r="L54" s="101">
        <v>103.5</v>
      </c>
      <c r="M54" s="101">
        <v>260.62799999999999</v>
      </c>
      <c r="N54" s="101">
        <v>261.81</v>
      </c>
      <c r="O54" s="101">
        <v>283.3075</v>
      </c>
      <c r="P54" s="101">
        <v>330.90199999999999</v>
      </c>
      <c r="Q54" s="101">
        <v>319.851</v>
      </c>
      <c r="R54" s="101">
        <v>213.637</v>
      </c>
      <c r="S54" s="101"/>
      <c r="T54" s="93">
        <f t="shared" si="0"/>
        <v>278.3559166666667</v>
      </c>
    </row>
    <row r="55" spans="1:21" ht="27" customHeight="1">
      <c r="A55" s="254"/>
      <c r="B55" s="493" t="s">
        <v>5157</v>
      </c>
      <c r="C55" s="150" t="s">
        <v>3</v>
      </c>
      <c r="D55" s="150" t="s">
        <v>4</v>
      </c>
      <c r="E55" s="485"/>
      <c r="F55" s="100" t="s">
        <v>5158</v>
      </c>
      <c r="G55" s="100"/>
      <c r="H55" s="494"/>
      <c r="I55" s="150" t="s">
        <v>5152</v>
      </c>
      <c r="J55" s="147">
        <v>46022</v>
      </c>
      <c r="K55" s="365"/>
      <c r="L55" s="93"/>
      <c r="M55" s="93">
        <v>2.9057529999999998</v>
      </c>
      <c r="N55" s="93"/>
      <c r="O55" s="93"/>
      <c r="P55" s="93"/>
      <c r="Q55" s="93"/>
      <c r="R55" s="93"/>
      <c r="S55" s="93"/>
      <c r="T55" s="93">
        <f t="shared" si="0"/>
        <v>2.9057529999999998</v>
      </c>
    </row>
    <row r="56" spans="1:21" s="388" customFormat="1" ht="27" customHeight="1">
      <c r="A56" s="493"/>
      <c r="B56" s="372" t="s">
        <v>4827</v>
      </c>
      <c r="C56" s="150" t="s">
        <v>1601</v>
      </c>
      <c r="D56" s="150" t="s">
        <v>10</v>
      </c>
      <c r="E56" s="137"/>
      <c r="F56" s="100"/>
      <c r="G56" s="100"/>
      <c r="H56" s="494"/>
      <c r="I56" s="150" t="s">
        <v>4820</v>
      </c>
      <c r="J56" s="147">
        <v>47848</v>
      </c>
      <c r="K56" s="373">
        <v>1.4999999999999999E-2</v>
      </c>
      <c r="L56" s="93">
        <v>0.36</v>
      </c>
      <c r="M56" s="93">
        <v>28.864000000000001</v>
      </c>
      <c r="N56" s="93"/>
      <c r="O56" s="93"/>
      <c r="P56" s="93"/>
      <c r="Q56" s="93"/>
      <c r="R56" s="93"/>
      <c r="S56" s="93"/>
      <c r="T56" s="93">
        <f t="shared" si="0"/>
        <v>28.864000000000001</v>
      </c>
      <c r="U56" s="482"/>
    </row>
    <row r="57" spans="1:21" s="506" customFormat="1" ht="27" customHeight="1">
      <c r="A57" s="504"/>
      <c r="B57" s="372" t="s">
        <v>5486</v>
      </c>
      <c r="C57" s="150" t="s">
        <v>1601</v>
      </c>
      <c r="D57" s="150" t="s">
        <v>541</v>
      </c>
      <c r="E57" s="500"/>
      <c r="F57" s="100"/>
      <c r="G57" s="100"/>
      <c r="H57" s="505"/>
      <c r="I57" s="504" t="s">
        <v>4820</v>
      </c>
      <c r="J57" s="147" t="s">
        <v>2596</v>
      </c>
      <c r="K57" s="373">
        <v>1.4999999999999999E-2</v>
      </c>
      <c r="L57" s="93"/>
      <c r="M57" s="93">
        <v>6.4749999999999996</v>
      </c>
      <c r="N57" s="93"/>
      <c r="O57" s="93"/>
      <c r="P57" s="93"/>
      <c r="Q57" s="93"/>
      <c r="R57" s="93"/>
      <c r="S57" s="93"/>
      <c r="T57" s="93">
        <f t="shared" si="0"/>
        <v>6.4749999999999996</v>
      </c>
      <c r="U57" s="497"/>
    </row>
    <row r="58" spans="1:21" s="506" customFormat="1" ht="27" customHeight="1">
      <c r="A58" s="504"/>
      <c r="B58" s="372" t="s">
        <v>5487</v>
      </c>
      <c r="C58" s="150" t="s">
        <v>1601</v>
      </c>
      <c r="D58" s="150" t="s">
        <v>10</v>
      </c>
      <c r="E58" s="500"/>
      <c r="F58" s="100"/>
      <c r="G58" s="100"/>
      <c r="H58" s="505"/>
      <c r="I58" s="504" t="s">
        <v>4820</v>
      </c>
      <c r="J58" s="147" t="s">
        <v>2596</v>
      </c>
      <c r="K58" s="373">
        <v>1.4999999999999999E-2</v>
      </c>
      <c r="L58" s="93"/>
      <c r="M58" s="93">
        <v>2.4409999999999998</v>
      </c>
      <c r="N58" s="93"/>
      <c r="O58" s="93"/>
      <c r="P58" s="93"/>
      <c r="Q58" s="93"/>
      <c r="R58" s="93"/>
      <c r="S58" s="93"/>
      <c r="T58" s="93">
        <f t="shared" si="0"/>
        <v>2.4409999999999998</v>
      </c>
      <c r="U58" s="497"/>
    </row>
    <row r="59" spans="1:21" ht="30" customHeight="1">
      <c r="A59" s="252" t="s">
        <v>1236</v>
      </c>
      <c r="B59" s="254" t="s">
        <v>3012</v>
      </c>
      <c r="C59" s="113" t="s">
        <v>7</v>
      </c>
      <c r="D59" s="114" t="s">
        <v>540</v>
      </c>
      <c r="E59" s="116">
        <v>41636</v>
      </c>
      <c r="F59" s="113" t="s">
        <v>3013</v>
      </c>
      <c r="G59" s="113"/>
      <c r="H59" s="453"/>
      <c r="I59" s="113" t="s">
        <v>478</v>
      </c>
      <c r="J59" s="116">
        <v>48944</v>
      </c>
      <c r="K59" s="368"/>
      <c r="L59" s="122">
        <v>48</v>
      </c>
      <c r="M59" s="122">
        <v>0</v>
      </c>
      <c r="N59" s="115">
        <v>110.791</v>
      </c>
      <c r="O59" s="392"/>
      <c r="P59" s="122"/>
      <c r="Q59" s="113"/>
      <c r="R59" s="453"/>
      <c r="S59" s="113"/>
      <c r="T59" s="93">
        <f t="shared" si="0"/>
        <v>55.395499999999998</v>
      </c>
    </row>
    <row r="60" spans="1:21" s="388" customFormat="1" ht="27" customHeight="1">
      <c r="A60" s="492"/>
      <c r="B60" s="254" t="s">
        <v>5471</v>
      </c>
      <c r="C60" s="113" t="s">
        <v>1089</v>
      </c>
      <c r="D60" s="114" t="s">
        <v>541</v>
      </c>
      <c r="E60" s="116">
        <v>42736</v>
      </c>
      <c r="F60" s="113"/>
      <c r="G60" s="113"/>
      <c r="H60" s="453"/>
      <c r="I60" s="113" t="s">
        <v>4820</v>
      </c>
      <c r="J60" s="116">
        <v>50041</v>
      </c>
      <c r="K60" s="378">
        <v>1.4999999999999999E-2</v>
      </c>
      <c r="L60" s="122">
        <v>1.9</v>
      </c>
      <c r="M60" s="122">
        <v>1.3919999999999999</v>
      </c>
      <c r="N60" s="115"/>
      <c r="O60" s="392"/>
      <c r="P60" s="122"/>
      <c r="Q60" s="113"/>
      <c r="R60" s="453"/>
      <c r="S60" s="113"/>
      <c r="T60" s="93">
        <f t="shared" si="0"/>
        <v>1.3919999999999999</v>
      </c>
      <c r="U60" s="482"/>
    </row>
    <row r="61" spans="1:21" ht="27" customHeight="1">
      <c r="A61" s="150" t="s">
        <v>8</v>
      </c>
      <c r="B61" s="254" t="s">
        <v>469</v>
      </c>
      <c r="C61" s="254" t="s">
        <v>9</v>
      </c>
      <c r="D61" s="104" t="s">
        <v>486</v>
      </c>
      <c r="E61" s="485">
        <v>39903</v>
      </c>
      <c r="F61" s="100" t="s">
        <v>1240</v>
      </c>
      <c r="G61" s="100"/>
      <c r="H61" s="494"/>
      <c r="I61" s="493" t="s">
        <v>1239</v>
      </c>
      <c r="J61" s="137">
        <v>46416</v>
      </c>
      <c r="K61" s="163"/>
      <c r="L61" s="93">
        <v>98.7</v>
      </c>
      <c r="M61" s="93">
        <v>199.04</v>
      </c>
      <c r="N61" s="93">
        <v>231.065</v>
      </c>
      <c r="O61" s="93">
        <v>227.768</v>
      </c>
      <c r="P61" s="93">
        <v>294.92399999999998</v>
      </c>
      <c r="Q61" s="93">
        <f>+L61*0.2776*8760/1000</f>
        <v>240.01629120000004</v>
      </c>
      <c r="R61" s="93">
        <f>+L61*0.2518*8760/1000</f>
        <v>217.70930160000003</v>
      </c>
      <c r="S61" s="93"/>
      <c r="T61" s="93">
        <f t="shared" si="0"/>
        <v>235.08709880000004</v>
      </c>
      <c r="U61" s="496"/>
    </row>
    <row r="62" spans="1:21" ht="27" customHeight="1">
      <c r="A62" s="150"/>
      <c r="B62" s="254" t="s">
        <v>2915</v>
      </c>
      <c r="C62" s="254" t="s">
        <v>2916</v>
      </c>
      <c r="D62" s="104" t="s">
        <v>10</v>
      </c>
      <c r="E62" s="139">
        <v>2013</v>
      </c>
      <c r="F62" s="100" t="s">
        <v>2917</v>
      </c>
      <c r="G62" s="100"/>
      <c r="H62" s="494"/>
      <c r="I62" s="94" t="s">
        <v>2918</v>
      </c>
      <c r="J62" s="137">
        <v>44926</v>
      </c>
      <c r="K62" s="489"/>
      <c r="L62" s="93">
        <v>10.5</v>
      </c>
      <c r="M62" s="93">
        <v>0</v>
      </c>
      <c r="N62" s="93">
        <v>1.31992</v>
      </c>
      <c r="O62" s="93">
        <v>1</v>
      </c>
      <c r="P62" s="93"/>
      <c r="Q62" s="93"/>
      <c r="R62" s="93"/>
      <c r="S62" s="93"/>
      <c r="T62" s="93">
        <f t="shared" si="0"/>
        <v>0.77330666666666659</v>
      </c>
    </row>
    <row r="63" spans="1:21" ht="27" customHeight="1">
      <c r="A63" s="150"/>
      <c r="B63" s="254" t="s">
        <v>4828</v>
      </c>
      <c r="C63" s="254" t="s">
        <v>1601</v>
      </c>
      <c r="D63" s="104" t="s">
        <v>541</v>
      </c>
      <c r="E63" s="139"/>
      <c r="F63" s="100"/>
      <c r="G63" s="100"/>
      <c r="H63" s="494"/>
      <c r="I63" s="94" t="s">
        <v>4820</v>
      </c>
      <c r="J63" s="137">
        <v>47848</v>
      </c>
      <c r="K63" s="375">
        <v>1.4999999999999999E-2</v>
      </c>
      <c r="L63" s="93">
        <v>0.2</v>
      </c>
      <c r="M63" s="93">
        <v>9.8460000000000001</v>
      </c>
      <c r="N63" s="93"/>
      <c r="O63" s="93"/>
      <c r="P63" s="93"/>
      <c r="Q63" s="93"/>
      <c r="R63" s="93"/>
      <c r="S63" s="93"/>
      <c r="T63" s="93">
        <f t="shared" si="0"/>
        <v>9.8460000000000001</v>
      </c>
    </row>
    <row r="64" spans="1:21" ht="27" customHeight="1">
      <c r="A64" s="150"/>
      <c r="B64" s="254" t="s">
        <v>4839</v>
      </c>
      <c r="C64" s="254" t="s">
        <v>9</v>
      </c>
      <c r="D64" s="104" t="s">
        <v>4826</v>
      </c>
      <c r="E64" s="139"/>
      <c r="F64" s="100"/>
      <c r="G64" s="100"/>
      <c r="H64" s="494"/>
      <c r="I64" s="94" t="s">
        <v>4820</v>
      </c>
      <c r="J64" s="485">
        <v>47848</v>
      </c>
      <c r="K64" s="375">
        <v>1.4999999999999999E-2</v>
      </c>
      <c r="L64" s="93">
        <v>4</v>
      </c>
      <c r="M64" s="93">
        <v>0</v>
      </c>
      <c r="N64" s="93"/>
      <c r="O64" s="93"/>
      <c r="P64" s="93"/>
      <c r="Q64" s="93"/>
      <c r="R64" s="93"/>
      <c r="S64" s="93"/>
      <c r="T64" s="93">
        <f t="shared" si="0"/>
        <v>0</v>
      </c>
    </row>
    <row r="65" spans="1:21" ht="27" customHeight="1">
      <c r="A65" s="150" t="s">
        <v>8</v>
      </c>
      <c r="B65" s="254" t="s">
        <v>2906</v>
      </c>
      <c r="C65" s="254" t="s">
        <v>9</v>
      </c>
      <c r="D65" s="104" t="s">
        <v>487</v>
      </c>
      <c r="E65" s="139">
        <v>2009</v>
      </c>
      <c r="F65" s="100" t="s">
        <v>1242</v>
      </c>
      <c r="G65" s="100"/>
      <c r="H65" s="494"/>
      <c r="I65" s="94" t="s">
        <v>4803</v>
      </c>
      <c r="J65" s="486" t="s">
        <v>2073</v>
      </c>
      <c r="K65" s="163"/>
      <c r="L65" s="93">
        <v>127.4</v>
      </c>
      <c r="M65" s="93">
        <v>271.90499999999997</v>
      </c>
      <c r="N65" s="93">
        <v>109.485</v>
      </c>
      <c r="O65" s="93">
        <v>273.31599999999997</v>
      </c>
      <c r="P65" s="93">
        <v>273.31599999999997</v>
      </c>
      <c r="Q65" s="93">
        <f>+L65*0.3328*8760/1000</f>
        <v>371.41278719999997</v>
      </c>
      <c r="R65" s="93">
        <f>+L65*8760*0.264/1000</f>
        <v>294.630336</v>
      </c>
      <c r="S65" s="93">
        <f>+L65*0.2792*8760/1000</f>
        <v>311.59390080000009</v>
      </c>
      <c r="T65" s="93">
        <f t="shared" si="0"/>
        <v>272.23700342857143</v>
      </c>
    </row>
    <row r="66" spans="1:21" s="497" customFormat="1" ht="27" customHeight="1">
      <c r="A66" s="150"/>
      <c r="B66" s="504" t="s">
        <v>5488</v>
      </c>
      <c r="C66" s="504" t="s">
        <v>1601</v>
      </c>
      <c r="D66" s="104" t="s">
        <v>13</v>
      </c>
      <c r="E66" s="501"/>
      <c r="F66" s="100"/>
      <c r="G66" s="100"/>
      <c r="H66" s="505"/>
      <c r="I66" s="504" t="s">
        <v>4820</v>
      </c>
      <c r="J66" s="147" t="s">
        <v>2596</v>
      </c>
      <c r="K66" s="373">
        <v>1.4999999999999999E-2</v>
      </c>
      <c r="L66" s="93"/>
      <c r="M66" s="93">
        <v>6.3780000000000001</v>
      </c>
      <c r="N66" s="93"/>
      <c r="O66" s="93"/>
      <c r="P66" s="93"/>
      <c r="Q66" s="93"/>
      <c r="R66" s="93"/>
      <c r="S66" s="93"/>
      <c r="T66" s="93">
        <f t="shared" si="0"/>
        <v>6.3780000000000001</v>
      </c>
    </row>
    <row r="67" spans="1:21" s="497" customFormat="1" ht="27" customHeight="1">
      <c r="A67" s="150"/>
      <c r="B67" s="504" t="s">
        <v>5489</v>
      </c>
      <c r="C67" s="504" t="s">
        <v>1601</v>
      </c>
      <c r="D67" s="104" t="s">
        <v>13</v>
      </c>
      <c r="E67" s="501"/>
      <c r="F67" s="100"/>
      <c r="G67" s="100"/>
      <c r="H67" s="505"/>
      <c r="I67" s="504" t="s">
        <v>4820</v>
      </c>
      <c r="J67" s="147" t="s">
        <v>2596</v>
      </c>
      <c r="K67" s="373">
        <v>1.4999999999999999E-2</v>
      </c>
      <c r="L67" s="93"/>
      <c r="M67" s="93">
        <v>27.780999999999999</v>
      </c>
      <c r="N67" s="93"/>
      <c r="O67" s="93"/>
      <c r="P67" s="93"/>
      <c r="Q67" s="93"/>
      <c r="R67" s="93"/>
      <c r="S67" s="93"/>
      <c r="T67" s="93">
        <f t="shared" ref="T67:T101" si="1">AVERAGE(M67:S67)</f>
        <v>27.780999999999999</v>
      </c>
    </row>
    <row r="68" spans="1:21" s="497" customFormat="1" ht="27" customHeight="1">
      <c r="A68" s="150"/>
      <c r="B68" s="504" t="s">
        <v>5490</v>
      </c>
      <c r="C68" s="504" t="s">
        <v>1601</v>
      </c>
      <c r="D68" s="104" t="s">
        <v>13</v>
      </c>
      <c r="E68" s="501"/>
      <c r="F68" s="100"/>
      <c r="G68" s="100"/>
      <c r="H68" s="505"/>
      <c r="I68" s="504" t="s">
        <v>4820</v>
      </c>
      <c r="J68" s="147" t="s">
        <v>2596</v>
      </c>
      <c r="K68" s="373">
        <v>1.4999999999999999E-2</v>
      </c>
      <c r="L68" s="93"/>
      <c r="M68" s="93">
        <v>1.2190000000000001</v>
      </c>
      <c r="N68" s="93"/>
      <c r="O68" s="93"/>
      <c r="P68" s="93"/>
      <c r="Q68" s="93"/>
      <c r="R68" s="93"/>
      <c r="S68" s="93"/>
      <c r="T68" s="93">
        <f t="shared" si="1"/>
        <v>1.2190000000000001</v>
      </c>
    </row>
    <row r="69" spans="1:21" ht="27" customHeight="1">
      <c r="A69" s="150"/>
      <c r="B69" s="493" t="s">
        <v>5159</v>
      </c>
      <c r="C69" s="493" t="s">
        <v>9</v>
      </c>
      <c r="D69" s="104" t="s">
        <v>4808</v>
      </c>
      <c r="E69" s="486"/>
      <c r="F69" s="100"/>
      <c r="G69" s="100"/>
      <c r="H69" s="494"/>
      <c r="I69" s="94" t="s">
        <v>5152</v>
      </c>
      <c r="J69" s="485">
        <v>46022</v>
      </c>
      <c r="K69" s="489"/>
      <c r="L69" s="93"/>
      <c r="M69" s="93">
        <v>33.314</v>
      </c>
      <c r="N69" s="93"/>
      <c r="O69" s="93"/>
      <c r="P69" s="93"/>
      <c r="Q69" s="93"/>
      <c r="R69" s="93"/>
      <c r="S69" s="93"/>
      <c r="T69" s="93">
        <f t="shared" si="1"/>
        <v>33.314</v>
      </c>
    </row>
    <row r="70" spans="1:21" ht="27" customHeight="1">
      <c r="A70" s="150" t="s">
        <v>11</v>
      </c>
      <c r="B70" s="150" t="s">
        <v>12</v>
      </c>
      <c r="C70" s="150" t="s">
        <v>9</v>
      </c>
      <c r="D70" s="150" t="s">
        <v>13</v>
      </c>
      <c r="E70" s="147">
        <v>39808</v>
      </c>
      <c r="F70" s="100" t="s">
        <v>4903</v>
      </c>
      <c r="G70" s="100" t="s">
        <v>2112</v>
      </c>
      <c r="H70" s="494"/>
      <c r="I70" s="150" t="s">
        <v>474</v>
      </c>
      <c r="J70" s="147">
        <v>45295</v>
      </c>
      <c r="K70" s="365"/>
      <c r="L70" s="101">
        <v>102.9</v>
      </c>
      <c r="M70" s="101">
        <v>185.53200000000001</v>
      </c>
      <c r="N70" s="101">
        <v>226.63833500000001</v>
      </c>
      <c r="O70" s="101">
        <v>216.333</v>
      </c>
      <c r="P70" s="101">
        <f>215403.7/1000</f>
        <v>215.40370000000001</v>
      </c>
      <c r="Q70" s="101">
        <f>+L70*0.2622*8760/1000</f>
        <v>236.34812880000001</v>
      </c>
      <c r="R70" s="101">
        <f>+L70*0.2245*8760/1000</f>
        <v>202.36519799999999</v>
      </c>
      <c r="S70" s="101">
        <f>+L70*0.25*8760/1000</f>
        <v>225.351</v>
      </c>
      <c r="T70" s="93">
        <f t="shared" si="1"/>
        <v>215.42448025714287</v>
      </c>
    </row>
    <row r="71" spans="1:21" ht="27" customHeight="1">
      <c r="A71" s="140" t="s">
        <v>912</v>
      </c>
      <c r="B71" s="150" t="s">
        <v>913</v>
      </c>
      <c r="C71" s="150" t="s">
        <v>9</v>
      </c>
      <c r="D71" s="254" t="s">
        <v>15</v>
      </c>
      <c r="E71" s="137">
        <v>41271</v>
      </c>
      <c r="F71" s="143" t="s">
        <v>1246</v>
      </c>
      <c r="G71" s="143" t="s">
        <v>2371</v>
      </c>
      <c r="H71" s="472"/>
      <c r="I71" s="94" t="s">
        <v>477</v>
      </c>
      <c r="J71" s="137">
        <v>48866</v>
      </c>
      <c r="K71" s="489"/>
      <c r="L71" s="41">
        <v>189</v>
      </c>
      <c r="M71" s="41">
        <v>609.63199999999995</v>
      </c>
      <c r="N71" s="41">
        <v>567.99599999999998</v>
      </c>
      <c r="O71" s="41">
        <v>349.23200000000003</v>
      </c>
      <c r="P71" s="41">
        <v>664</v>
      </c>
      <c r="Q71" s="41"/>
      <c r="R71" s="41"/>
      <c r="S71" s="41"/>
      <c r="T71" s="93">
        <f t="shared" si="1"/>
        <v>547.71499999999992</v>
      </c>
    </row>
    <row r="72" spans="1:21" ht="27" customHeight="1">
      <c r="A72" s="140"/>
      <c r="B72" s="150" t="s">
        <v>4832</v>
      </c>
      <c r="C72" s="150" t="s">
        <v>9</v>
      </c>
      <c r="D72" s="254" t="s">
        <v>4826</v>
      </c>
      <c r="E72" s="485"/>
      <c r="F72" s="143"/>
      <c r="G72" s="143"/>
      <c r="H72" s="472"/>
      <c r="I72" s="94" t="s">
        <v>4820</v>
      </c>
      <c r="J72" s="137">
        <v>44561</v>
      </c>
      <c r="K72" s="375">
        <v>1.4999999999999999E-2</v>
      </c>
      <c r="L72" s="41">
        <v>2.2000000000000002</v>
      </c>
      <c r="M72" s="41">
        <v>91.831000000000003</v>
      </c>
      <c r="N72" s="41"/>
      <c r="O72" s="41"/>
      <c r="P72" s="41"/>
      <c r="Q72" s="41"/>
      <c r="R72" s="41"/>
      <c r="S72" s="41"/>
      <c r="T72" s="93">
        <f t="shared" si="1"/>
        <v>91.831000000000003</v>
      </c>
    </row>
    <row r="73" spans="1:21" s="497" customFormat="1" ht="27" customHeight="1">
      <c r="A73" s="140"/>
      <c r="B73" s="150" t="s">
        <v>5491</v>
      </c>
      <c r="C73" s="150" t="s">
        <v>9</v>
      </c>
      <c r="D73" s="504" t="s">
        <v>4826</v>
      </c>
      <c r="E73" s="500"/>
      <c r="F73" s="502"/>
      <c r="G73" s="502"/>
      <c r="H73" s="472"/>
      <c r="I73" s="504" t="s">
        <v>4820</v>
      </c>
      <c r="J73" s="147" t="s">
        <v>2596</v>
      </c>
      <c r="K73" s="373">
        <v>1.4999999999999999E-2</v>
      </c>
      <c r="L73" s="41"/>
      <c r="M73" s="41">
        <v>245.28399999999999</v>
      </c>
      <c r="N73" s="41"/>
      <c r="O73" s="41"/>
      <c r="P73" s="41"/>
      <c r="Q73" s="41"/>
      <c r="R73" s="41"/>
      <c r="S73" s="41"/>
      <c r="T73" s="93">
        <f t="shared" si="1"/>
        <v>245.28399999999999</v>
      </c>
    </row>
    <row r="74" spans="1:21" s="388" customFormat="1" ht="27" customHeight="1">
      <c r="A74" s="140"/>
      <c r="B74" s="150" t="s">
        <v>4802</v>
      </c>
      <c r="C74" s="150" t="s">
        <v>3</v>
      </c>
      <c r="D74" s="254" t="s">
        <v>4</v>
      </c>
      <c r="E74" s="113"/>
      <c r="F74" s="143"/>
      <c r="G74" s="143"/>
      <c r="H74" s="472"/>
      <c r="I74" s="94" t="s">
        <v>4788</v>
      </c>
      <c r="J74" s="137">
        <v>44985</v>
      </c>
      <c r="K74" s="163" t="s">
        <v>4804</v>
      </c>
      <c r="L74" s="41"/>
      <c r="M74" s="41">
        <v>24.149000000000001</v>
      </c>
      <c r="N74" s="41"/>
      <c r="O74" s="41"/>
      <c r="P74" s="41"/>
      <c r="Q74" s="41"/>
      <c r="R74" s="41"/>
      <c r="S74" s="41"/>
      <c r="T74" s="93">
        <f t="shared" si="1"/>
        <v>24.149000000000001</v>
      </c>
      <c r="U74" s="482"/>
    </row>
    <row r="75" spans="1:21" s="388" customFormat="1" ht="27" customHeight="1">
      <c r="A75" s="140"/>
      <c r="B75" s="150" t="s">
        <v>2071</v>
      </c>
      <c r="C75" s="150" t="s">
        <v>3</v>
      </c>
      <c r="D75" s="254" t="s">
        <v>541</v>
      </c>
      <c r="E75" s="137">
        <v>38899</v>
      </c>
      <c r="F75" s="487"/>
      <c r="G75" s="487"/>
      <c r="H75" s="472"/>
      <c r="I75" s="94" t="s">
        <v>2072</v>
      </c>
      <c r="J75" s="485">
        <v>45291</v>
      </c>
      <c r="K75" s="489"/>
      <c r="L75" s="41">
        <v>3.2</v>
      </c>
      <c r="M75" s="41">
        <v>0</v>
      </c>
      <c r="N75" s="41">
        <v>8.5790000000000006</v>
      </c>
      <c r="O75" s="41"/>
      <c r="P75" s="41"/>
      <c r="Q75" s="41"/>
      <c r="R75" s="41"/>
      <c r="S75" s="41"/>
      <c r="T75" s="93">
        <f t="shared" si="1"/>
        <v>4.2895000000000003</v>
      </c>
    </row>
    <row r="76" spans="1:21" s="506" customFormat="1" ht="27" customHeight="1">
      <c r="A76" s="140"/>
      <c r="B76" s="150" t="s">
        <v>5492</v>
      </c>
      <c r="C76" s="150" t="s">
        <v>9</v>
      </c>
      <c r="D76" s="504" t="s">
        <v>4826</v>
      </c>
      <c r="E76" s="500"/>
      <c r="F76" s="502"/>
      <c r="G76" s="502"/>
      <c r="H76" s="472"/>
      <c r="I76" s="504" t="s">
        <v>4820</v>
      </c>
      <c r="J76" s="147" t="s">
        <v>2596</v>
      </c>
      <c r="K76" s="373">
        <v>1.4999999999999999E-2</v>
      </c>
      <c r="L76" s="41"/>
      <c r="M76" s="41">
        <v>288.75400000000002</v>
      </c>
      <c r="N76" s="41"/>
      <c r="O76" s="41"/>
      <c r="P76" s="41"/>
      <c r="Q76" s="41"/>
      <c r="R76" s="41"/>
      <c r="S76" s="41"/>
      <c r="T76" s="93">
        <f t="shared" si="1"/>
        <v>288.75400000000002</v>
      </c>
    </row>
    <row r="77" spans="1:21" s="506" customFormat="1" ht="27" customHeight="1">
      <c r="A77" s="140"/>
      <c r="B77" s="150" t="s">
        <v>5493</v>
      </c>
      <c r="C77" s="150" t="s">
        <v>9</v>
      </c>
      <c r="D77" s="504" t="s">
        <v>4826</v>
      </c>
      <c r="E77" s="500"/>
      <c r="F77" s="502"/>
      <c r="G77" s="502"/>
      <c r="H77" s="472"/>
      <c r="I77" s="504" t="s">
        <v>4820</v>
      </c>
      <c r="J77" s="147" t="s">
        <v>2596</v>
      </c>
      <c r="K77" s="373">
        <v>1.4999999999999999E-2</v>
      </c>
      <c r="L77" s="41"/>
      <c r="M77" s="41">
        <v>64.063000000000002</v>
      </c>
      <c r="N77" s="41"/>
      <c r="O77" s="41"/>
      <c r="P77" s="41"/>
      <c r="Q77" s="41"/>
      <c r="R77" s="41"/>
      <c r="S77" s="41"/>
      <c r="T77" s="93">
        <f t="shared" si="1"/>
        <v>64.063000000000002</v>
      </c>
    </row>
    <row r="78" spans="1:21" s="506" customFormat="1" ht="27" customHeight="1">
      <c r="A78" s="140"/>
      <c r="B78" s="150" t="s">
        <v>5494</v>
      </c>
      <c r="C78" s="504" t="s">
        <v>1601</v>
      </c>
      <c r="D78" s="504" t="s">
        <v>10</v>
      </c>
      <c r="E78" s="500"/>
      <c r="F78" s="502"/>
      <c r="G78" s="502"/>
      <c r="H78" s="472"/>
      <c r="I78" s="504" t="s">
        <v>4820</v>
      </c>
      <c r="J78" s="147" t="s">
        <v>2596</v>
      </c>
      <c r="K78" s="373">
        <v>1.4999999999999999E-2</v>
      </c>
      <c r="L78" s="41"/>
      <c r="M78" s="41">
        <v>14.474</v>
      </c>
      <c r="N78" s="41"/>
      <c r="O78" s="41"/>
      <c r="P78" s="41"/>
      <c r="Q78" s="41"/>
      <c r="R78" s="41"/>
      <c r="S78" s="41"/>
      <c r="T78" s="93">
        <f t="shared" si="1"/>
        <v>14.474</v>
      </c>
    </row>
    <row r="79" spans="1:21" s="506" customFormat="1" ht="27" customHeight="1">
      <c r="A79" s="140"/>
      <c r="B79" s="150" t="s">
        <v>5495</v>
      </c>
      <c r="C79" s="504" t="s">
        <v>1601</v>
      </c>
      <c r="D79" s="504" t="s">
        <v>10</v>
      </c>
      <c r="E79" s="500"/>
      <c r="F79" s="502"/>
      <c r="G79" s="502"/>
      <c r="H79" s="472"/>
      <c r="I79" s="504" t="s">
        <v>4820</v>
      </c>
      <c r="J79" s="147" t="s">
        <v>2596</v>
      </c>
      <c r="K79" s="373">
        <v>1.4999999999999999E-2</v>
      </c>
      <c r="L79" s="41"/>
      <c r="M79" s="41">
        <v>3.5470000000000002</v>
      </c>
      <c r="N79" s="41"/>
      <c r="O79" s="41"/>
      <c r="P79" s="41"/>
      <c r="Q79" s="41"/>
      <c r="R79" s="41"/>
      <c r="S79" s="41"/>
      <c r="T79" s="93">
        <f t="shared" si="1"/>
        <v>3.5470000000000002</v>
      </c>
    </row>
    <row r="80" spans="1:21" s="506" customFormat="1" ht="27" customHeight="1">
      <c r="A80" s="140"/>
      <c r="B80" s="150" t="s">
        <v>5496</v>
      </c>
      <c r="C80" s="504" t="s">
        <v>1601</v>
      </c>
      <c r="D80" s="504" t="s">
        <v>541</v>
      </c>
      <c r="E80" s="500"/>
      <c r="F80" s="502"/>
      <c r="G80" s="502"/>
      <c r="H80" s="472"/>
      <c r="I80" s="504" t="s">
        <v>4820</v>
      </c>
      <c r="J80" s="147" t="s">
        <v>2596</v>
      </c>
      <c r="K80" s="373">
        <v>1.4999999999999999E-2</v>
      </c>
      <c r="L80" s="41"/>
      <c r="M80" s="41">
        <v>3.8969999999999998</v>
      </c>
      <c r="N80" s="41"/>
      <c r="O80" s="41"/>
      <c r="P80" s="41"/>
      <c r="Q80" s="41"/>
      <c r="R80" s="41"/>
      <c r="S80" s="41"/>
      <c r="T80" s="93">
        <f t="shared" si="1"/>
        <v>3.8969999999999998</v>
      </c>
    </row>
    <row r="81" spans="1:21" s="388" customFormat="1" ht="27" customHeight="1">
      <c r="A81" s="140" t="s">
        <v>907</v>
      </c>
      <c r="B81" s="150" t="s">
        <v>905</v>
      </c>
      <c r="C81" s="150" t="s">
        <v>9</v>
      </c>
      <c r="D81" s="254" t="s">
        <v>13</v>
      </c>
      <c r="E81" s="137">
        <v>40878</v>
      </c>
      <c r="F81" s="254" t="s">
        <v>1218</v>
      </c>
      <c r="G81" s="493" t="s">
        <v>2507</v>
      </c>
      <c r="H81" s="494"/>
      <c r="I81" s="94" t="s">
        <v>475</v>
      </c>
      <c r="J81" s="147">
        <v>48479</v>
      </c>
      <c r="K81" s="365"/>
      <c r="L81" s="41">
        <v>265</v>
      </c>
      <c r="M81" s="41">
        <v>489.30180000000001</v>
      </c>
      <c r="N81" s="41">
        <v>582.93979999999999</v>
      </c>
      <c r="O81" s="41">
        <v>542.11680000000001</v>
      </c>
      <c r="P81" s="41">
        <f>L81*0.2835*8.76</f>
        <v>658.11689999999999</v>
      </c>
      <c r="Q81" s="41"/>
      <c r="R81" s="41"/>
      <c r="S81" s="41"/>
      <c r="T81" s="93">
        <f t="shared" si="1"/>
        <v>568.11882500000002</v>
      </c>
    </row>
    <row r="82" spans="1:21" s="388" customFormat="1" ht="27" customHeight="1">
      <c r="A82" s="140" t="s">
        <v>908</v>
      </c>
      <c r="B82" s="150" t="s">
        <v>906</v>
      </c>
      <c r="C82" s="150" t="s">
        <v>9</v>
      </c>
      <c r="D82" s="254" t="s">
        <v>13</v>
      </c>
      <c r="E82" s="137">
        <v>41091</v>
      </c>
      <c r="F82" s="254" t="s">
        <v>1219</v>
      </c>
      <c r="G82" s="182" t="s">
        <v>2572</v>
      </c>
      <c r="H82" s="494"/>
      <c r="I82" s="94" t="s">
        <v>475</v>
      </c>
      <c r="J82" s="147">
        <v>48665</v>
      </c>
      <c r="K82" s="365"/>
      <c r="L82" s="41">
        <v>290</v>
      </c>
      <c r="M82" s="41">
        <v>568.07320000000004</v>
      </c>
      <c r="N82" s="41">
        <v>601.41499999999996</v>
      </c>
      <c r="O82" s="41">
        <v>585.49279999999999</v>
      </c>
      <c r="P82" s="41">
        <f>L82*0.2835*8.76</f>
        <v>720.20339999999987</v>
      </c>
      <c r="Q82" s="41"/>
      <c r="R82" s="41"/>
      <c r="S82" s="41"/>
      <c r="T82" s="93">
        <f t="shared" si="1"/>
        <v>618.79610000000002</v>
      </c>
    </row>
    <row r="83" spans="1:21" s="290" customFormat="1" ht="25.5">
      <c r="A83" s="140" t="s">
        <v>5484</v>
      </c>
      <c r="B83" s="150" t="s">
        <v>1221</v>
      </c>
      <c r="C83" s="150" t="s">
        <v>9</v>
      </c>
      <c r="D83" s="493" t="s">
        <v>13</v>
      </c>
      <c r="E83" s="485">
        <v>40959</v>
      </c>
      <c r="F83" s="493" t="s">
        <v>1220</v>
      </c>
      <c r="G83" s="493" t="s">
        <v>2459</v>
      </c>
      <c r="H83" s="494"/>
      <c r="I83" s="94" t="s">
        <v>475</v>
      </c>
      <c r="J83" s="147">
        <v>48584</v>
      </c>
      <c r="K83" s="365"/>
      <c r="L83" s="41">
        <v>290</v>
      </c>
      <c r="M83" s="41">
        <v>530.39239999999995</v>
      </c>
      <c r="N83" s="41">
        <v>652.34299999999996</v>
      </c>
      <c r="O83" s="41">
        <v>612.26940000000002</v>
      </c>
      <c r="P83" s="41">
        <f>L83*0.2835*8.76</f>
        <v>720.20339999999987</v>
      </c>
      <c r="Q83" s="41"/>
      <c r="R83" s="41"/>
      <c r="S83" s="41"/>
      <c r="T83" s="93">
        <f t="shared" si="1"/>
        <v>628.80205000000001</v>
      </c>
      <c r="U83" s="477"/>
    </row>
    <row r="84" spans="1:21" s="376" customFormat="1" ht="27.75" customHeight="1">
      <c r="A84" s="166"/>
      <c r="B84" s="166" t="s">
        <v>3023</v>
      </c>
      <c r="C84" s="166" t="s">
        <v>1089</v>
      </c>
      <c r="D84" s="166" t="s">
        <v>540</v>
      </c>
      <c r="E84" s="204">
        <v>42005</v>
      </c>
      <c r="F84" s="205" t="s">
        <v>3915</v>
      </c>
      <c r="G84" s="205" t="s">
        <v>3683</v>
      </c>
      <c r="H84" s="475"/>
      <c r="I84" s="166" t="s">
        <v>475</v>
      </c>
      <c r="J84" s="204">
        <v>49584</v>
      </c>
      <c r="K84" s="491"/>
      <c r="L84" s="166">
        <v>91.5</v>
      </c>
      <c r="M84" s="166">
        <v>613</v>
      </c>
      <c r="N84" s="166"/>
      <c r="O84" s="166"/>
      <c r="P84" s="166"/>
      <c r="Q84" s="166"/>
      <c r="R84" s="166"/>
      <c r="S84" s="166"/>
      <c r="T84" s="93">
        <f t="shared" si="1"/>
        <v>613</v>
      </c>
    </row>
    <row r="85" spans="1:21" s="376" customFormat="1" ht="27.75" customHeight="1">
      <c r="A85" s="166"/>
      <c r="B85" s="166" t="s">
        <v>4833</v>
      </c>
      <c r="C85" s="166" t="s">
        <v>1601</v>
      </c>
      <c r="D85" s="166" t="s">
        <v>13</v>
      </c>
      <c r="E85" s="204"/>
      <c r="F85" s="205"/>
      <c r="G85" s="205"/>
      <c r="H85" s="475"/>
      <c r="I85" s="166" t="s">
        <v>4820</v>
      </c>
      <c r="J85" s="204">
        <v>48213</v>
      </c>
      <c r="K85" s="377">
        <v>1.4999999999999999E-2</v>
      </c>
      <c r="L85" s="166">
        <v>1.3</v>
      </c>
      <c r="M85" s="166">
        <v>44.734999999999999</v>
      </c>
      <c r="N85" s="166"/>
      <c r="O85" s="166"/>
      <c r="P85" s="166"/>
      <c r="Q85" s="166"/>
      <c r="R85" s="166"/>
      <c r="S85" s="166"/>
      <c r="T85" s="93">
        <f t="shared" si="1"/>
        <v>44.734999999999999</v>
      </c>
    </row>
    <row r="86" spans="1:21" ht="27" customHeight="1">
      <c r="A86" s="490"/>
      <c r="B86" s="490" t="s">
        <v>4834</v>
      </c>
      <c r="C86" s="490" t="s">
        <v>1601</v>
      </c>
      <c r="D86" s="490" t="s">
        <v>541</v>
      </c>
      <c r="E86" s="204"/>
      <c r="F86" s="205"/>
      <c r="G86" s="205"/>
      <c r="H86" s="475"/>
      <c r="I86" s="490" t="s">
        <v>4820</v>
      </c>
      <c r="J86" s="204">
        <v>48213</v>
      </c>
      <c r="K86" s="377">
        <v>1.4999999999999999E-2</v>
      </c>
      <c r="L86" s="490">
        <v>0.8</v>
      </c>
      <c r="M86" s="490">
        <v>34.277999999999999</v>
      </c>
      <c r="N86" s="490"/>
      <c r="O86" s="490"/>
      <c r="P86" s="490"/>
      <c r="Q86" s="490"/>
      <c r="R86" s="490"/>
      <c r="S86" s="490"/>
      <c r="T86" s="93">
        <f t="shared" si="1"/>
        <v>34.277999999999999</v>
      </c>
      <c r="U86" s="376"/>
    </row>
    <row r="87" spans="1:21" ht="27" customHeight="1">
      <c r="A87" s="150" t="s">
        <v>8</v>
      </c>
      <c r="B87" s="254" t="s">
        <v>470</v>
      </c>
      <c r="C87" s="493" t="s">
        <v>9</v>
      </c>
      <c r="D87" s="104" t="s">
        <v>13</v>
      </c>
      <c r="E87" s="485">
        <v>40235</v>
      </c>
      <c r="F87" s="487" t="s">
        <v>1243</v>
      </c>
      <c r="G87" s="487"/>
      <c r="H87" s="472"/>
      <c r="I87" s="254" t="s">
        <v>1996</v>
      </c>
      <c r="J87" s="137">
        <v>47664</v>
      </c>
      <c r="K87" s="163"/>
      <c r="L87" s="93">
        <v>98.7</v>
      </c>
      <c r="M87" s="93">
        <v>0</v>
      </c>
      <c r="N87" s="93">
        <v>248.46199999999999</v>
      </c>
      <c r="O87" s="93">
        <v>253.11500000000001</v>
      </c>
      <c r="P87" s="93">
        <f>235069/1000</f>
        <v>235.06899999999999</v>
      </c>
      <c r="Q87" s="93">
        <v>245.57300000000001</v>
      </c>
      <c r="R87" s="93">
        <f>+L87*0.3374*8760/1000</f>
        <v>291.72008880000004</v>
      </c>
      <c r="S87" s="93"/>
      <c r="T87" s="93">
        <f t="shared" si="1"/>
        <v>212.32318146666668</v>
      </c>
    </row>
    <row r="88" spans="1:21" ht="27" customHeight="1">
      <c r="A88" s="150"/>
      <c r="B88" s="454" t="s">
        <v>4968</v>
      </c>
      <c r="C88" s="254" t="s">
        <v>3</v>
      </c>
      <c r="D88" s="254" t="s">
        <v>543</v>
      </c>
      <c r="E88" s="137"/>
      <c r="F88" s="100" t="s">
        <v>4967</v>
      </c>
      <c r="G88" s="100"/>
      <c r="H88" s="494"/>
      <c r="I88" s="100" t="s">
        <v>4801</v>
      </c>
      <c r="J88" s="147">
        <v>45809</v>
      </c>
      <c r="K88" s="365"/>
      <c r="L88" s="93">
        <v>0.6</v>
      </c>
      <c r="M88" s="93">
        <v>2.02</v>
      </c>
      <c r="N88" s="93"/>
      <c r="O88" s="93"/>
      <c r="P88" s="93"/>
      <c r="Q88" s="93"/>
      <c r="R88" s="93"/>
      <c r="S88" s="93"/>
      <c r="T88" s="93">
        <f t="shared" si="1"/>
        <v>2.02</v>
      </c>
    </row>
    <row r="89" spans="1:21" ht="27" customHeight="1">
      <c r="A89" s="493" t="s">
        <v>1172</v>
      </c>
      <c r="B89" s="493" t="s">
        <v>1174</v>
      </c>
      <c r="C89" s="488" t="s">
        <v>7</v>
      </c>
      <c r="D89" s="113" t="s">
        <v>540</v>
      </c>
      <c r="E89" s="484" t="s">
        <v>1175</v>
      </c>
      <c r="F89" s="41" t="s">
        <v>1173</v>
      </c>
      <c r="G89" s="41" t="s">
        <v>5004</v>
      </c>
      <c r="H89" s="473"/>
      <c r="I89" s="493" t="s">
        <v>475</v>
      </c>
      <c r="J89" s="485">
        <v>50590</v>
      </c>
      <c r="K89" s="489"/>
      <c r="L89" s="41">
        <v>64.7</v>
      </c>
      <c r="M89" s="41">
        <v>0</v>
      </c>
      <c r="N89" s="484">
        <v>487.76400000000001</v>
      </c>
      <c r="O89" s="484">
        <v>495.13</v>
      </c>
      <c r="P89" s="93">
        <v>477.541</v>
      </c>
      <c r="Q89" s="93">
        <v>474.03699999999998</v>
      </c>
      <c r="R89" s="93">
        <v>427.83800000000002</v>
      </c>
      <c r="S89" s="93">
        <v>448</v>
      </c>
      <c r="T89" s="93">
        <f t="shared" si="1"/>
        <v>401.47285714285715</v>
      </c>
    </row>
    <row r="90" spans="1:21" ht="27" customHeight="1">
      <c r="A90" s="254" t="s">
        <v>542</v>
      </c>
      <c r="B90" s="254" t="s">
        <v>468</v>
      </c>
      <c r="C90" s="493" t="s">
        <v>7</v>
      </c>
      <c r="D90" s="254" t="s">
        <v>541</v>
      </c>
      <c r="E90" s="137">
        <v>39836</v>
      </c>
      <c r="F90" s="100" t="s">
        <v>1956</v>
      </c>
      <c r="G90" s="100"/>
      <c r="H90" s="494"/>
      <c r="I90" s="254" t="s">
        <v>1955</v>
      </c>
      <c r="J90" s="485">
        <v>48846</v>
      </c>
      <c r="K90" s="489"/>
      <c r="L90" s="93">
        <v>15</v>
      </c>
      <c r="M90" s="93">
        <v>63.716999999999999</v>
      </c>
      <c r="N90" s="93">
        <v>58.67</v>
      </c>
      <c r="O90" s="93">
        <v>47.889000000000003</v>
      </c>
      <c r="P90" s="93">
        <v>19.3</v>
      </c>
      <c r="Q90" s="93">
        <v>100.44520400000002</v>
      </c>
      <c r="R90" s="93"/>
      <c r="S90" s="93"/>
      <c r="T90" s="93">
        <f t="shared" si="1"/>
        <v>58.004240800000005</v>
      </c>
    </row>
    <row r="91" spans="1:21" ht="27" customHeight="1">
      <c r="A91" s="94" t="s">
        <v>498</v>
      </c>
      <c r="B91" s="94" t="s">
        <v>497</v>
      </c>
      <c r="C91" s="150" t="s">
        <v>616</v>
      </c>
      <c r="D91" s="254" t="s">
        <v>4</v>
      </c>
      <c r="E91" s="146" t="s">
        <v>484</v>
      </c>
      <c r="F91" s="487" t="s">
        <v>1237</v>
      </c>
      <c r="G91" s="487"/>
      <c r="H91" s="472"/>
      <c r="I91" s="150" t="s">
        <v>3015</v>
      </c>
      <c r="J91" s="146" t="s">
        <v>1245</v>
      </c>
      <c r="K91" s="365"/>
      <c r="L91" s="101">
        <v>57.468000000000004</v>
      </c>
      <c r="M91" s="101">
        <v>41.043999999999997</v>
      </c>
      <c r="N91" s="101">
        <v>57.061</v>
      </c>
      <c r="O91" s="101">
        <v>22.4</v>
      </c>
      <c r="P91" s="101">
        <v>57.8</v>
      </c>
      <c r="Q91" s="101">
        <v>63.3</v>
      </c>
      <c r="R91" s="101">
        <v>38.856999999999999</v>
      </c>
      <c r="S91" s="101"/>
      <c r="T91" s="93">
        <f t="shared" si="1"/>
        <v>46.743666666666662</v>
      </c>
    </row>
    <row r="92" spans="1:21" ht="27" customHeight="1">
      <c r="A92" s="493" t="s">
        <v>2067</v>
      </c>
      <c r="B92" s="493" t="s">
        <v>2066</v>
      </c>
      <c r="C92" s="488" t="s">
        <v>494</v>
      </c>
      <c r="D92" s="254" t="s">
        <v>541</v>
      </c>
      <c r="E92" s="137">
        <v>39904</v>
      </c>
      <c r="F92" s="100" t="s">
        <v>3009</v>
      </c>
      <c r="G92" s="100"/>
      <c r="H92" s="494"/>
      <c r="I92" s="493" t="s">
        <v>2065</v>
      </c>
      <c r="J92" s="147">
        <v>45291</v>
      </c>
      <c r="K92" s="365"/>
      <c r="L92" s="93">
        <v>4.8</v>
      </c>
      <c r="M92" s="93">
        <v>333.60599999999999</v>
      </c>
      <c r="N92" s="93">
        <v>24.097999999999999</v>
      </c>
      <c r="O92" s="93"/>
      <c r="P92" s="93"/>
      <c r="Q92" s="93"/>
      <c r="R92" s="93"/>
      <c r="S92" s="93"/>
      <c r="T92" s="93">
        <f t="shared" si="1"/>
        <v>178.852</v>
      </c>
    </row>
    <row r="93" spans="1:21" ht="27" customHeight="1">
      <c r="A93" s="150" t="s">
        <v>496</v>
      </c>
      <c r="B93" s="493" t="s">
        <v>3016</v>
      </c>
      <c r="C93" s="254" t="s">
        <v>9</v>
      </c>
      <c r="D93" s="254" t="s">
        <v>488</v>
      </c>
      <c r="E93" s="137">
        <v>39873</v>
      </c>
      <c r="F93" s="100" t="s">
        <v>2074</v>
      </c>
      <c r="G93" s="100"/>
      <c r="H93" s="494"/>
      <c r="I93" s="493" t="s">
        <v>3752</v>
      </c>
      <c r="J93" s="146" t="s">
        <v>1245</v>
      </c>
      <c r="K93" s="365"/>
      <c r="L93" s="93">
        <v>137</v>
      </c>
      <c r="M93" s="93">
        <v>0</v>
      </c>
      <c r="N93" s="93">
        <v>387.12700000000001</v>
      </c>
      <c r="O93" s="93">
        <f>+L93*0.34*8.76</f>
        <v>408.04080000000005</v>
      </c>
      <c r="P93" s="93">
        <v>347.23200000000003</v>
      </c>
      <c r="Q93" s="93"/>
      <c r="R93" s="93"/>
      <c r="S93" s="93"/>
      <c r="T93" s="93">
        <f t="shared" si="1"/>
        <v>285.59995000000004</v>
      </c>
    </row>
    <row r="94" spans="1:21" ht="27" customHeight="1">
      <c r="A94" s="150" t="s">
        <v>503</v>
      </c>
      <c r="B94" s="254" t="s">
        <v>504</v>
      </c>
      <c r="C94" s="254" t="s">
        <v>9</v>
      </c>
      <c r="D94" s="254" t="s">
        <v>4</v>
      </c>
      <c r="E94" s="137">
        <v>40428</v>
      </c>
      <c r="F94" s="100" t="s">
        <v>1223</v>
      </c>
      <c r="G94" s="100" t="s">
        <v>2319</v>
      </c>
      <c r="H94" s="494"/>
      <c r="I94" s="254" t="s">
        <v>474</v>
      </c>
      <c r="J94" s="147">
        <v>45933</v>
      </c>
      <c r="K94" s="365"/>
      <c r="L94" s="93">
        <v>90</v>
      </c>
      <c r="M94" s="93">
        <v>237.04300000000001</v>
      </c>
      <c r="N94" s="93">
        <v>262.39999999999998</v>
      </c>
      <c r="O94" s="103">
        <v>245.52363182999997</v>
      </c>
      <c r="P94" s="103">
        <f>262872.346/1000</f>
        <v>262.87234599999999</v>
      </c>
      <c r="Q94" s="93">
        <v>290.76</v>
      </c>
      <c r="R94" s="93"/>
      <c r="S94" s="93"/>
      <c r="T94" s="93">
        <f t="shared" si="1"/>
        <v>259.71979556600002</v>
      </c>
    </row>
    <row r="95" spans="1:21" s="497" customFormat="1" ht="27" customHeight="1">
      <c r="A95" s="150"/>
      <c r="B95" s="504" t="s">
        <v>5497</v>
      </c>
      <c r="C95" s="504" t="s">
        <v>1601</v>
      </c>
      <c r="D95" s="504" t="s">
        <v>4826</v>
      </c>
      <c r="E95" s="500"/>
      <c r="F95" s="100"/>
      <c r="G95" s="100"/>
      <c r="H95" s="505"/>
      <c r="I95" s="504" t="s">
        <v>4820</v>
      </c>
      <c r="J95" s="147" t="s">
        <v>2596</v>
      </c>
      <c r="K95" s="373">
        <v>1.4999999999999999E-2</v>
      </c>
      <c r="L95" s="93"/>
      <c r="M95" s="93">
        <v>1.0049999999999999</v>
      </c>
      <c r="N95" s="93"/>
      <c r="O95" s="103"/>
      <c r="P95" s="103"/>
      <c r="Q95" s="93"/>
      <c r="R95" s="93"/>
      <c r="S95" s="93"/>
      <c r="T95" s="93">
        <f t="shared" si="1"/>
        <v>1.0049999999999999</v>
      </c>
    </row>
    <row r="96" spans="1:21" s="497" customFormat="1" ht="27" customHeight="1">
      <c r="A96" s="150"/>
      <c r="B96" s="504" t="s">
        <v>5498</v>
      </c>
      <c r="C96" s="504" t="s">
        <v>1601</v>
      </c>
      <c r="D96" s="504" t="s">
        <v>13</v>
      </c>
      <c r="E96" s="500"/>
      <c r="F96" s="100"/>
      <c r="G96" s="100"/>
      <c r="H96" s="505"/>
      <c r="I96" s="504" t="s">
        <v>4820</v>
      </c>
      <c r="J96" s="147" t="s">
        <v>2596</v>
      </c>
      <c r="K96" s="373">
        <v>1.4999999999999999E-2</v>
      </c>
      <c r="L96" s="93"/>
      <c r="M96" s="93">
        <v>3.49</v>
      </c>
      <c r="N96" s="93"/>
      <c r="O96" s="103"/>
      <c r="P96" s="103"/>
      <c r="Q96" s="93"/>
      <c r="R96" s="93"/>
      <c r="S96" s="93"/>
      <c r="T96" s="93">
        <f t="shared" si="1"/>
        <v>3.49</v>
      </c>
    </row>
    <row r="97" spans="1:20" s="497" customFormat="1" ht="27" customHeight="1">
      <c r="A97" s="150"/>
      <c r="B97" s="504" t="s">
        <v>5499</v>
      </c>
      <c r="C97" s="504" t="s">
        <v>1601</v>
      </c>
      <c r="D97" s="504" t="s">
        <v>541</v>
      </c>
      <c r="E97" s="500"/>
      <c r="F97" s="100"/>
      <c r="G97" s="100"/>
      <c r="H97" s="505"/>
      <c r="I97" s="504" t="s">
        <v>4820</v>
      </c>
      <c r="J97" s="147" t="s">
        <v>2596</v>
      </c>
      <c r="K97" s="373">
        <v>1.4999999999999999E-2</v>
      </c>
      <c r="L97" s="93"/>
      <c r="M97" s="93">
        <v>9.9260000000000002</v>
      </c>
      <c r="N97" s="93"/>
      <c r="O97" s="103"/>
      <c r="P97" s="103"/>
      <c r="Q97" s="93"/>
      <c r="R97" s="93"/>
      <c r="S97" s="93"/>
      <c r="T97" s="93">
        <f t="shared" si="1"/>
        <v>9.9260000000000002</v>
      </c>
    </row>
    <row r="98" spans="1:20" ht="27" customHeight="1">
      <c r="A98" s="254" t="s">
        <v>1232</v>
      </c>
      <c r="B98" s="254" t="s">
        <v>1234</v>
      </c>
      <c r="C98" s="254" t="s">
        <v>7</v>
      </c>
      <c r="D98" s="254" t="s">
        <v>540</v>
      </c>
      <c r="E98" s="137">
        <v>41614</v>
      </c>
      <c r="F98" s="100" t="s">
        <v>5163</v>
      </c>
      <c r="G98" s="100"/>
      <c r="H98" s="494"/>
      <c r="I98" s="254" t="s">
        <v>1233</v>
      </c>
      <c r="J98" s="137">
        <v>48944</v>
      </c>
      <c r="K98" s="163"/>
      <c r="L98" s="93">
        <v>16</v>
      </c>
      <c r="M98" s="93">
        <v>224.7</v>
      </c>
      <c r="N98" s="93">
        <v>150.12</v>
      </c>
      <c r="O98" s="93">
        <f>+L98*0.8*8760/1000</f>
        <v>112.128</v>
      </c>
      <c r="P98" s="93"/>
      <c r="Q98" s="93"/>
      <c r="R98" s="93"/>
      <c r="S98" s="93"/>
      <c r="T98" s="93">
        <f t="shared" si="1"/>
        <v>162.316</v>
      </c>
    </row>
    <row r="99" spans="1:20" ht="27" customHeight="1">
      <c r="A99" s="94" t="s">
        <v>880</v>
      </c>
      <c r="B99" s="94" t="s">
        <v>881</v>
      </c>
      <c r="C99" s="150" t="s">
        <v>9</v>
      </c>
      <c r="D99" s="254" t="s">
        <v>13</v>
      </c>
      <c r="E99" s="147">
        <v>39813</v>
      </c>
      <c r="F99" s="143" t="s">
        <v>1244</v>
      </c>
      <c r="G99" s="143"/>
      <c r="H99" s="472"/>
      <c r="I99" s="150" t="s">
        <v>480</v>
      </c>
      <c r="J99" s="147">
        <v>45260</v>
      </c>
      <c r="K99" s="365"/>
      <c r="L99" s="101">
        <v>72</v>
      </c>
      <c r="M99" s="101">
        <v>134.69300000000001</v>
      </c>
      <c r="N99" s="101">
        <v>172.654</v>
      </c>
      <c r="O99" s="101">
        <v>169.77500000000001</v>
      </c>
      <c r="P99" s="93">
        <v>167.56800000000001</v>
      </c>
      <c r="Q99" s="101">
        <v>190.684</v>
      </c>
      <c r="R99" s="101">
        <v>166.94499999999999</v>
      </c>
      <c r="S99" s="101">
        <v>172.55</v>
      </c>
      <c r="T99" s="93">
        <f t="shared" si="1"/>
        <v>167.83842857142855</v>
      </c>
    </row>
    <row r="100" spans="1:20" ht="27" customHeight="1">
      <c r="A100" s="493"/>
      <c r="B100" s="493" t="s">
        <v>3017</v>
      </c>
      <c r="C100" s="493" t="s">
        <v>2086</v>
      </c>
      <c r="D100" s="254" t="s">
        <v>4</v>
      </c>
      <c r="E100" s="485">
        <v>40112</v>
      </c>
      <c r="F100" s="100"/>
      <c r="G100" s="100"/>
      <c r="H100" s="494"/>
      <c r="I100" s="493" t="s">
        <v>2907</v>
      </c>
      <c r="J100" s="485">
        <v>47417</v>
      </c>
      <c r="K100" s="489"/>
      <c r="L100" s="93">
        <v>262</v>
      </c>
      <c r="M100" s="93">
        <v>624.78899999999999</v>
      </c>
      <c r="N100" s="93">
        <v>659.85</v>
      </c>
      <c r="O100" s="93"/>
      <c r="P100" s="93"/>
      <c r="Q100" s="93"/>
      <c r="R100" s="93"/>
      <c r="S100" s="93"/>
      <c r="T100" s="93">
        <f t="shared" si="1"/>
        <v>642.31950000000006</v>
      </c>
    </row>
    <row r="101" spans="1:20" ht="27" customHeight="1">
      <c r="A101" s="94"/>
      <c r="B101" s="94" t="s">
        <v>4835</v>
      </c>
      <c r="C101" s="150" t="s">
        <v>9</v>
      </c>
      <c r="D101" s="254" t="s">
        <v>10</v>
      </c>
      <c r="E101" s="147"/>
      <c r="F101" s="487"/>
      <c r="G101" s="487"/>
      <c r="H101" s="472"/>
      <c r="I101" s="150" t="s">
        <v>4820</v>
      </c>
      <c r="J101" s="147" t="s">
        <v>4836</v>
      </c>
      <c r="K101" s="373">
        <v>1.4999999999999999E-2</v>
      </c>
      <c r="L101" s="101">
        <v>2.7</v>
      </c>
      <c r="M101" s="101">
        <v>139.01900000000001</v>
      </c>
      <c r="N101" s="101"/>
      <c r="O101" s="101"/>
      <c r="P101" s="93"/>
      <c r="Q101" s="101"/>
      <c r="R101" s="101"/>
      <c r="S101" s="101"/>
      <c r="T101" s="93">
        <f t="shared" si="1"/>
        <v>139.01900000000001</v>
      </c>
    </row>
    <row r="102" spans="1:20" ht="27" customHeight="1">
      <c r="A102" s="162"/>
      <c r="B102" s="162"/>
      <c r="C102" s="162"/>
      <c r="D102" s="455"/>
      <c r="E102" s="162"/>
      <c r="F102" s="456"/>
      <c r="G102" s="456"/>
      <c r="H102" s="474"/>
      <c r="I102" s="351"/>
      <c r="J102" s="162" t="s">
        <v>666</v>
      </c>
      <c r="K102" s="369"/>
      <c r="L102" s="96">
        <f>SUM(L3:L101)</f>
        <v>5633.9479999999994</v>
      </c>
      <c r="M102" s="96">
        <f>SUM(M3:M101)</f>
        <v>15983.689722000006</v>
      </c>
      <c r="N102" s="96">
        <f t="shared" ref="N102:T102" si="2">SUM(N3:N101)</f>
        <v>12431.729903999998</v>
      </c>
      <c r="O102" s="96">
        <f t="shared" si="2"/>
        <v>9049.3044318299999</v>
      </c>
      <c r="P102" s="96">
        <f t="shared" si="2"/>
        <v>8828.4942659999997</v>
      </c>
      <c r="Q102" s="96">
        <f t="shared" si="2"/>
        <v>4673.5613412000002</v>
      </c>
      <c r="R102" s="96">
        <f t="shared" si="2"/>
        <v>3168.4601964000003</v>
      </c>
      <c r="S102" s="96">
        <f t="shared" si="2"/>
        <v>1607.0721168000002</v>
      </c>
      <c r="T102" s="96">
        <f t="shared" si="2"/>
        <v>16866.670987985057</v>
      </c>
    </row>
    <row r="103" spans="1:20" s="99" customFormat="1">
      <c r="A103" s="97"/>
      <c r="B103" s="240"/>
      <c r="C103" s="97"/>
      <c r="D103" s="97"/>
      <c r="E103" s="97"/>
      <c r="F103" s="97"/>
      <c r="G103" s="97"/>
      <c r="H103" s="370"/>
      <c r="I103" s="97"/>
      <c r="J103" s="97"/>
      <c r="K103" s="370"/>
      <c r="L103" s="98"/>
      <c r="M103" s="98"/>
      <c r="N103" s="98"/>
      <c r="O103" s="98"/>
      <c r="P103" s="98"/>
      <c r="Q103" s="97"/>
      <c r="R103" s="97"/>
      <c r="S103" s="97"/>
      <c r="T103" s="97"/>
    </row>
    <row r="104" spans="1:20">
      <c r="A104" s="7" t="s">
        <v>1252</v>
      </c>
    </row>
    <row r="105" spans="1:20">
      <c r="A105" s="7" t="s">
        <v>1253</v>
      </c>
      <c r="D105" s="9"/>
    </row>
    <row r="106" spans="1:20">
      <c r="A106" s="7" t="s">
        <v>942</v>
      </c>
    </row>
    <row r="107" spans="1:20">
      <c r="L107" s="12"/>
      <c r="M107" s="12"/>
      <c r="N107" s="12"/>
      <c r="O107" s="12"/>
      <c r="P107" s="12"/>
    </row>
    <row r="120" spans="1:5" ht="15">
      <c r="A120" s="393"/>
      <c r="B120" s="393"/>
      <c r="D120" s="393"/>
      <c r="E120" s="393"/>
    </row>
    <row r="121" spans="1:5" ht="15">
      <c r="A121" s="393"/>
      <c r="B121" s="393"/>
      <c r="D121" s="393"/>
      <c r="E121" s="393"/>
    </row>
  </sheetData>
  <autoFilter ref="A2:U102"/>
  <mergeCells count="1">
    <mergeCell ref="A1:T1"/>
  </mergeCells>
  <pageMargins left="0.5" right="0.5" top="0.5" bottom="0.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5"/>
  <sheetViews>
    <sheetView workbookViewId="0">
      <selection activeCell="J5" sqref="J5"/>
    </sheetView>
  </sheetViews>
  <sheetFormatPr defaultColWidth="9.85546875" defaultRowHeight="12.75"/>
  <cols>
    <col min="1" max="1" width="15.7109375" style="117" customWidth="1"/>
    <col min="2" max="2" width="24.140625" style="117" customWidth="1"/>
    <col min="3" max="3" width="12.42578125" style="117" customWidth="1"/>
    <col min="4" max="4" width="9.140625" style="118" customWidth="1"/>
    <col min="5" max="5" width="23" style="119" bestFit="1" customWidth="1"/>
    <col min="6" max="6" width="15.28515625" style="120" bestFit="1" customWidth="1"/>
    <col min="7" max="7" width="8.85546875" style="120" customWidth="1"/>
    <col min="8" max="8" width="9.140625" style="120" customWidth="1"/>
    <col min="9" max="9" width="12.42578125" style="121" bestFit="1" customWidth="1"/>
    <col min="10" max="10" width="14.42578125" style="117" customWidth="1"/>
    <col min="11" max="11" width="11.5703125" style="117" bestFit="1" customWidth="1"/>
    <col min="12" max="16384" width="9.85546875" style="290"/>
  </cols>
  <sheetData>
    <row r="1" spans="1:12" s="288" customFormat="1" ht="36" customHeight="1">
      <c r="A1" s="611" t="s">
        <v>941</v>
      </c>
      <c r="B1" s="611"/>
      <c r="C1" s="611"/>
      <c r="D1" s="611"/>
      <c r="E1" s="611"/>
      <c r="F1" s="611"/>
      <c r="G1" s="611"/>
      <c r="H1" s="611"/>
      <c r="I1" s="611"/>
      <c r="J1" s="611"/>
      <c r="K1" s="9"/>
    </row>
    <row r="2" spans="1:12" s="289" customFormat="1" ht="38.25">
      <c r="A2" s="90" t="s">
        <v>0</v>
      </c>
      <c r="B2" s="90" t="s">
        <v>1</v>
      </c>
      <c r="C2" s="75" t="s">
        <v>3755</v>
      </c>
      <c r="D2" s="90" t="s">
        <v>2</v>
      </c>
      <c r="E2" s="90" t="s">
        <v>491</v>
      </c>
      <c r="F2" s="92" t="s">
        <v>1215</v>
      </c>
      <c r="G2" s="92" t="s">
        <v>2111</v>
      </c>
      <c r="H2" s="90" t="s">
        <v>2152</v>
      </c>
      <c r="I2" s="90" t="s">
        <v>1229</v>
      </c>
      <c r="J2" s="91" t="s">
        <v>489</v>
      </c>
      <c r="K2" s="92" t="s">
        <v>3699</v>
      </c>
      <c r="L2" s="291"/>
    </row>
    <row r="3" spans="1:12" ht="27" customHeight="1">
      <c r="A3" s="460"/>
      <c r="B3" s="460" t="s">
        <v>5459</v>
      </c>
      <c r="C3" s="460" t="s">
        <v>2086</v>
      </c>
      <c r="D3" s="460" t="s">
        <v>5460</v>
      </c>
      <c r="E3" s="461">
        <v>42370</v>
      </c>
      <c r="F3" s="462" t="s">
        <v>3022</v>
      </c>
      <c r="G3" s="462"/>
      <c r="H3" s="460"/>
      <c r="I3" s="461"/>
      <c r="J3" s="460">
        <v>155</v>
      </c>
      <c r="K3" s="460">
        <f>J3*0.25*8.76</f>
        <v>339.45</v>
      </c>
      <c r="L3" s="292"/>
    </row>
    <row r="4" spans="1:12" ht="27" customHeight="1">
      <c r="A4" s="460"/>
      <c r="B4" s="460" t="s">
        <v>3233</v>
      </c>
      <c r="C4" s="460" t="s">
        <v>3234</v>
      </c>
      <c r="D4" s="460" t="s">
        <v>540</v>
      </c>
      <c r="E4" s="461">
        <v>42370</v>
      </c>
      <c r="F4" s="462" t="s">
        <v>3235</v>
      </c>
      <c r="G4" s="462"/>
      <c r="H4" s="460" t="s">
        <v>480</v>
      </c>
      <c r="I4" s="461"/>
      <c r="J4" s="460">
        <v>19</v>
      </c>
      <c r="K4" s="460">
        <f>J4*0.8*8.76</f>
        <v>133.15200000000002</v>
      </c>
      <c r="L4" s="292"/>
    </row>
    <row r="5" spans="1:12" ht="27" customHeight="1">
      <c r="A5" s="460"/>
      <c r="B5" s="460" t="s">
        <v>3023</v>
      </c>
      <c r="C5" s="460" t="s">
        <v>1089</v>
      </c>
      <c r="D5" s="460" t="s">
        <v>540</v>
      </c>
      <c r="E5" s="461">
        <v>42370</v>
      </c>
      <c r="F5" s="462" t="s">
        <v>3915</v>
      </c>
      <c r="G5" s="462" t="s">
        <v>3683</v>
      </c>
      <c r="H5" s="460" t="s">
        <v>475</v>
      </c>
      <c r="I5" s="461">
        <v>49584</v>
      </c>
      <c r="J5" s="460">
        <f>250-91.5</f>
        <v>158.5</v>
      </c>
      <c r="K5" s="460">
        <v>613</v>
      </c>
      <c r="L5" s="292"/>
    </row>
    <row r="6" spans="1:12" ht="27" customHeight="1">
      <c r="A6" s="460"/>
      <c r="B6" s="460" t="s">
        <v>4706</v>
      </c>
      <c r="C6" s="460" t="s">
        <v>1089</v>
      </c>
      <c r="D6" s="460" t="s">
        <v>541</v>
      </c>
      <c r="E6" s="461">
        <v>42580</v>
      </c>
      <c r="F6" s="462" t="s">
        <v>4707</v>
      </c>
      <c r="G6" s="462"/>
      <c r="H6" s="460"/>
      <c r="I6" s="461"/>
      <c r="J6" s="460">
        <v>80</v>
      </c>
      <c r="K6" s="460">
        <f>J6*0.27*8.76</f>
        <v>189.21600000000001</v>
      </c>
      <c r="L6" s="292"/>
    </row>
    <row r="8" spans="1:12" s="288" customFormat="1">
      <c r="A8" s="117"/>
      <c r="B8" s="117"/>
      <c r="C8" s="117"/>
      <c r="D8" s="117"/>
      <c r="E8" s="117"/>
      <c r="F8" s="117"/>
      <c r="G8" s="294" t="s">
        <v>666</v>
      </c>
      <c r="H8" s="294"/>
      <c r="I8" s="294"/>
      <c r="J8" s="295">
        <f>SUM(J4:J6)</f>
        <v>257.5</v>
      </c>
      <c r="K8" s="295">
        <f>SUM(K4:K6)</f>
        <v>935.36800000000005</v>
      </c>
      <c r="L8" s="293"/>
    </row>
    <row r="9" spans="1:12" s="288" customFormat="1">
      <c r="A9" s="117"/>
      <c r="B9" s="117"/>
      <c r="C9" s="117"/>
      <c r="D9" s="117"/>
      <c r="E9" s="117"/>
      <c r="F9" s="117"/>
      <c r="G9" s="117"/>
      <c r="H9" s="117"/>
      <c r="I9" s="117"/>
      <c r="J9" s="117"/>
      <c r="K9" s="117"/>
    </row>
    <row r="10" spans="1:12" s="288" customFormat="1">
      <c r="A10" s="170" t="s">
        <v>1252</v>
      </c>
      <c r="B10" s="117"/>
      <c r="C10" s="117"/>
      <c r="D10" s="117"/>
      <c r="E10" s="117"/>
      <c r="F10" s="117"/>
      <c r="G10" s="117"/>
      <c r="H10" s="117"/>
      <c r="I10" s="117"/>
      <c r="J10" s="117"/>
      <c r="K10" s="117"/>
    </row>
    <row r="11" spans="1:12" s="288" customFormat="1">
      <c r="A11" s="170" t="s">
        <v>1254</v>
      </c>
      <c r="B11" s="117"/>
      <c r="C11" s="117"/>
      <c r="D11" s="117"/>
      <c r="E11" s="117"/>
      <c r="F11" s="117"/>
      <c r="G11" s="117"/>
      <c r="H11" s="117"/>
      <c r="I11" s="117"/>
      <c r="J11" s="117"/>
      <c r="K11" s="117"/>
    </row>
    <row r="12" spans="1:12" s="288" customFormat="1">
      <c r="A12" s="170" t="s">
        <v>942</v>
      </c>
      <c r="B12" s="117"/>
      <c r="C12" s="117"/>
      <c r="D12" s="117"/>
      <c r="E12" s="117"/>
      <c r="F12" s="117"/>
      <c r="G12" s="117"/>
      <c r="H12" s="117"/>
      <c r="I12" s="117"/>
      <c r="J12" s="117"/>
      <c r="K12" s="117"/>
    </row>
    <row r="13" spans="1:12" s="288" customFormat="1">
      <c r="A13" s="117"/>
      <c r="B13" s="117"/>
      <c r="C13" s="117"/>
      <c r="D13" s="117"/>
      <c r="E13" s="117"/>
      <c r="F13" s="117"/>
      <c r="G13" s="117"/>
      <c r="H13" s="117"/>
      <c r="I13" s="117"/>
      <c r="J13" s="117"/>
      <c r="K13" s="117"/>
    </row>
    <row r="14" spans="1:12" s="288" customFormat="1">
      <c r="A14" s="117"/>
      <c r="B14" s="117"/>
      <c r="C14" s="117"/>
      <c r="D14" s="117"/>
      <c r="E14" s="117"/>
      <c r="F14" s="117"/>
      <c r="G14" s="117"/>
      <c r="H14" s="117"/>
      <c r="I14" s="117"/>
      <c r="J14" s="117"/>
      <c r="K14" s="117"/>
    </row>
    <row r="15" spans="1:12" ht="51">
      <c r="E15" s="119" t="s">
        <v>4816</v>
      </c>
      <c r="F15" s="120" t="s">
        <v>4817</v>
      </c>
    </row>
  </sheetData>
  <autoFilter ref="A2:L2">
    <sortState ref="A3:L19">
      <sortCondition ref="E2"/>
    </sortState>
  </autoFilter>
  <mergeCells count="1">
    <mergeCell ref="A1:J1"/>
  </mergeCells>
  <pageMargins left="0.5" right="0.5" top="0.5" bottom="0.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workbookViewId="0">
      <selection activeCell="C14" sqref="C14"/>
    </sheetView>
  </sheetViews>
  <sheetFormatPr defaultColWidth="9.85546875" defaultRowHeight="12.75"/>
  <cols>
    <col min="1" max="1" width="15.7109375" style="117" customWidth="1"/>
    <col min="2" max="2" width="24.140625" style="117" customWidth="1"/>
    <col min="3" max="3" width="12.42578125" style="117" customWidth="1"/>
    <col min="4" max="4" width="9.140625" style="118" customWidth="1"/>
    <col min="5" max="5" width="23" style="119" bestFit="1" customWidth="1"/>
    <col min="6" max="6" width="15.28515625" style="120" bestFit="1" customWidth="1"/>
    <col min="7" max="7" width="8.85546875" style="120" customWidth="1"/>
    <col min="8" max="8" width="9.140625" style="120" customWidth="1"/>
    <col min="9" max="9" width="12.42578125" style="121" bestFit="1" customWidth="1"/>
    <col min="10" max="10" width="14.42578125" style="117" customWidth="1"/>
    <col min="11" max="11" width="11.5703125" style="117" bestFit="1" customWidth="1"/>
    <col min="12" max="16384" width="9.85546875" style="290"/>
  </cols>
  <sheetData>
    <row r="1" spans="1:12" s="288" customFormat="1" ht="36" customHeight="1">
      <c r="A1" s="611" t="s">
        <v>941</v>
      </c>
      <c r="B1" s="611"/>
      <c r="C1" s="611"/>
      <c r="D1" s="611"/>
      <c r="E1" s="611"/>
      <c r="F1" s="611"/>
      <c r="G1" s="611"/>
      <c r="H1" s="611"/>
      <c r="I1" s="611"/>
      <c r="J1" s="611"/>
      <c r="K1" s="9"/>
    </row>
    <row r="2" spans="1:12" s="289" customFormat="1" ht="38.25">
      <c r="A2" s="90" t="s">
        <v>0</v>
      </c>
      <c r="B2" s="90" t="s">
        <v>1</v>
      </c>
      <c r="C2" s="75" t="s">
        <v>3755</v>
      </c>
      <c r="D2" s="90" t="s">
        <v>2</v>
      </c>
      <c r="E2" s="90" t="s">
        <v>491</v>
      </c>
      <c r="F2" s="92" t="s">
        <v>1215</v>
      </c>
      <c r="G2" s="92" t="s">
        <v>2111</v>
      </c>
      <c r="H2" s="90" t="s">
        <v>2152</v>
      </c>
      <c r="I2" s="90" t="s">
        <v>1229</v>
      </c>
      <c r="J2" s="91" t="s">
        <v>489</v>
      </c>
      <c r="K2" s="92" t="s">
        <v>3699</v>
      </c>
      <c r="L2" s="291"/>
    </row>
    <row r="3" spans="1:12" ht="27" customHeight="1">
      <c r="A3" s="460"/>
      <c r="B3" s="460" t="s">
        <v>2590</v>
      </c>
      <c r="C3" s="460" t="s">
        <v>1089</v>
      </c>
      <c r="D3" s="460" t="s">
        <v>540</v>
      </c>
      <c r="E3" s="461">
        <v>42736</v>
      </c>
      <c r="F3" s="462" t="s">
        <v>5445</v>
      </c>
      <c r="G3" s="462" t="s">
        <v>3686</v>
      </c>
      <c r="H3" s="462" t="s">
        <v>475</v>
      </c>
      <c r="I3" s="461">
        <v>50041</v>
      </c>
      <c r="J3" s="460">
        <v>93.6</v>
      </c>
      <c r="K3" s="460">
        <v>256</v>
      </c>
      <c r="L3" s="292"/>
    </row>
    <row r="4" spans="1:12" ht="27" customHeight="1">
      <c r="A4" s="460"/>
      <c r="B4" s="460" t="s">
        <v>4981</v>
      </c>
      <c r="C4" s="460" t="s">
        <v>9</v>
      </c>
      <c r="D4" s="460" t="s">
        <v>4982</v>
      </c>
      <c r="E4" s="461">
        <v>42736</v>
      </c>
      <c r="F4" s="460" t="s">
        <v>4980</v>
      </c>
      <c r="G4" s="462" t="s">
        <v>4984</v>
      </c>
      <c r="H4" s="460"/>
      <c r="I4" s="461"/>
      <c r="J4" s="460">
        <v>182</v>
      </c>
      <c r="K4" s="460">
        <v>500</v>
      </c>
      <c r="L4" s="292"/>
    </row>
    <row r="5" spans="1:12" ht="27" customHeight="1">
      <c r="A5" s="460"/>
      <c r="B5" s="460" t="s">
        <v>5196</v>
      </c>
      <c r="C5" s="460" t="s">
        <v>1089</v>
      </c>
      <c r="D5" s="460" t="s">
        <v>540</v>
      </c>
      <c r="E5" s="461">
        <v>42736</v>
      </c>
      <c r="F5" s="462" t="s">
        <v>5197</v>
      </c>
      <c r="G5" s="462"/>
      <c r="H5" s="462" t="s">
        <v>480</v>
      </c>
      <c r="I5" s="461"/>
      <c r="J5" s="460">
        <v>250</v>
      </c>
      <c r="K5" s="460"/>
      <c r="L5" s="292"/>
    </row>
    <row r="6" spans="1:12" ht="27" customHeight="1">
      <c r="A6" s="460"/>
      <c r="B6" s="460" t="s">
        <v>5446</v>
      </c>
      <c r="C6" s="460" t="s">
        <v>1089</v>
      </c>
      <c r="D6" s="460" t="s">
        <v>543</v>
      </c>
      <c r="E6" s="461">
        <v>42736</v>
      </c>
      <c r="F6" s="460" t="s">
        <v>5448</v>
      </c>
      <c r="G6" s="462"/>
      <c r="H6" s="460"/>
      <c r="I6" s="461"/>
      <c r="J6" s="460">
        <v>150</v>
      </c>
      <c r="K6" s="460"/>
      <c r="L6" s="292"/>
    </row>
    <row r="7" spans="1:12" ht="27" customHeight="1">
      <c r="A7" s="460"/>
      <c r="B7" s="460" t="s">
        <v>5115</v>
      </c>
      <c r="C7" s="460" t="s">
        <v>1089</v>
      </c>
      <c r="D7" s="460" t="s">
        <v>543</v>
      </c>
      <c r="E7" s="461">
        <v>42736</v>
      </c>
      <c r="F7" s="462" t="s">
        <v>5447</v>
      </c>
      <c r="G7" s="462"/>
      <c r="H7" s="460"/>
      <c r="I7" s="461"/>
      <c r="J7" s="460">
        <v>100</v>
      </c>
      <c r="K7" s="460"/>
      <c r="L7" s="292"/>
    </row>
    <row r="8" spans="1:12" ht="27" customHeight="1">
      <c r="A8" s="460" t="s">
        <v>4815</v>
      </c>
      <c r="B8" s="460" t="s">
        <v>4814</v>
      </c>
      <c r="C8" s="460" t="s">
        <v>1089</v>
      </c>
      <c r="D8" s="460" t="s">
        <v>540</v>
      </c>
      <c r="E8" s="461">
        <v>42767</v>
      </c>
      <c r="F8" s="462" t="s">
        <v>5458</v>
      </c>
      <c r="G8" s="462"/>
      <c r="H8" s="460" t="s">
        <v>4816</v>
      </c>
      <c r="I8" s="461" t="s">
        <v>2933</v>
      </c>
      <c r="J8" s="460">
        <v>49</v>
      </c>
      <c r="K8" s="460">
        <v>149</v>
      </c>
      <c r="L8" s="292"/>
    </row>
    <row r="9" spans="1:12" ht="27" customHeight="1">
      <c r="A9" s="460"/>
      <c r="B9" s="460" t="s">
        <v>5080</v>
      </c>
      <c r="C9" s="460" t="s">
        <v>9</v>
      </c>
      <c r="D9" s="460" t="s">
        <v>4982</v>
      </c>
      <c r="E9" s="461">
        <v>42736</v>
      </c>
      <c r="F9" s="460" t="s">
        <v>5079</v>
      </c>
      <c r="G9" s="462" t="s">
        <v>5081</v>
      </c>
      <c r="H9" s="460"/>
      <c r="I9" s="461"/>
      <c r="J9" s="460">
        <v>298</v>
      </c>
      <c r="K9" s="460">
        <v>913</v>
      </c>
      <c r="L9" s="292"/>
    </row>
    <row r="10" spans="1:12" ht="27" customHeight="1">
      <c r="A10" s="460"/>
      <c r="B10" s="460" t="s">
        <v>5178</v>
      </c>
      <c r="C10" s="460" t="s">
        <v>9</v>
      </c>
      <c r="D10" s="460" t="s">
        <v>4982</v>
      </c>
      <c r="E10" s="461">
        <v>43070</v>
      </c>
      <c r="F10" s="462" t="s">
        <v>5179</v>
      </c>
      <c r="G10" s="462"/>
      <c r="H10" s="462" t="s">
        <v>478</v>
      </c>
      <c r="I10" s="461">
        <v>52231</v>
      </c>
      <c r="J10" s="460">
        <v>220.8</v>
      </c>
      <c r="K10" s="460"/>
      <c r="L10" s="292"/>
    </row>
    <row r="11" spans="1:12" ht="27" customHeight="1">
      <c r="A11" s="460"/>
      <c r="B11" s="460" t="s">
        <v>4983</v>
      </c>
      <c r="C11" s="460" t="s">
        <v>9</v>
      </c>
      <c r="D11" s="460" t="s">
        <v>4982</v>
      </c>
      <c r="E11" s="461" t="s">
        <v>5444</v>
      </c>
      <c r="F11" s="462" t="s">
        <v>4986</v>
      </c>
      <c r="G11" s="462" t="s">
        <v>4985</v>
      </c>
      <c r="H11" s="460"/>
      <c r="I11" s="461"/>
      <c r="J11" s="460">
        <v>143</v>
      </c>
      <c r="K11" s="460">
        <v>400</v>
      </c>
      <c r="L11" s="292"/>
    </row>
    <row r="13" spans="1:12" s="288" customFormat="1">
      <c r="A13" s="117"/>
      <c r="B13" s="117"/>
      <c r="C13" s="117"/>
      <c r="D13" s="117"/>
      <c r="E13" s="117"/>
      <c r="F13" s="117"/>
      <c r="G13" s="294" t="s">
        <v>666</v>
      </c>
      <c r="H13" s="294"/>
      <c r="I13" s="294"/>
      <c r="J13" s="295">
        <f>SUM(J3:J11)</f>
        <v>1486.3999999999999</v>
      </c>
      <c r="K13" s="295">
        <f>SUM(K3:K11)</f>
        <v>2218</v>
      </c>
      <c r="L13" s="293"/>
    </row>
    <row r="14" spans="1:12" s="288" customFormat="1">
      <c r="A14" s="117"/>
      <c r="B14" s="117"/>
      <c r="C14" s="117"/>
      <c r="D14" s="117"/>
      <c r="E14" s="117"/>
      <c r="F14" s="117"/>
      <c r="G14" s="117"/>
      <c r="H14" s="117"/>
      <c r="I14" s="117"/>
      <c r="J14" s="117"/>
      <c r="K14" s="117"/>
    </row>
    <row r="15" spans="1:12" s="288" customFormat="1">
      <c r="A15" s="170" t="s">
        <v>1252</v>
      </c>
      <c r="B15" s="117"/>
      <c r="C15" s="117"/>
      <c r="D15" s="117"/>
      <c r="E15" s="117"/>
      <c r="F15" s="117"/>
      <c r="G15" s="117"/>
      <c r="H15" s="117"/>
      <c r="I15" s="117"/>
      <c r="J15" s="117"/>
      <c r="K15" s="117"/>
    </row>
    <row r="16" spans="1:12" s="288" customFormat="1">
      <c r="A16" s="170" t="s">
        <v>1254</v>
      </c>
      <c r="B16" s="117"/>
      <c r="C16" s="117"/>
      <c r="D16" s="117"/>
      <c r="E16" s="117"/>
      <c r="F16" s="117"/>
      <c r="G16" s="117"/>
      <c r="H16" s="117"/>
      <c r="I16" s="117"/>
      <c r="J16" s="117"/>
      <c r="K16" s="117"/>
    </row>
    <row r="17" spans="1:11" s="288" customFormat="1">
      <c r="A17" s="170" t="s">
        <v>942</v>
      </c>
      <c r="B17" s="117"/>
      <c r="C17" s="117"/>
      <c r="D17" s="117"/>
      <c r="E17" s="117"/>
      <c r="F17" s="117"/>
      <c r="G17" s="117"/>
      <c r="H17" s="117"/>
      <c r="I17" s="117"/>
      <c r="J17" s="117"/>
      <c r="K17" s="117"/>
    </row>
    <row r="18" spans="1:11" s="288" customFormat="1">
      <c r="A18" s="117"/>
      <c r="B18" s="117"/>
      <c r="C18" s="117"/>
      <c r="D18" s="117"/>
      <c r="E18" s="117"/>
      <c r="F18" s="117"/>
      <c r="G18" s="117"/>
      <c r="H18" s="117"/>
      <c r="I18" s="117"/>
      <c r="J18" s="117"/>
      <c r="K18" s="117"/>
    </row>
    <row r="19" spans="1:11" s="288" customFormat="1">
      <c r="A19" s="117"/>
      <c r="B19" s="117"/>
      <c r="C19" s="117"/>
      <c r="D19" s="117"/>
      <c r="E19" s="117"/>
      <c r="F19" s="117"/>
      <c r="G19" s="117"/>
      <c r="H19" s="117"/>
      <c r="I19" s="117"/>
      <c r="J19" s="117"/>
      <c r="K19" s="117"/>
    </row>
    <row r="20" spans="1:11" ht="51">
      <c r="E20" s="119" t="s">
        <v>4816</v>
      </c>
      <c r="F20" s="120" t="s">
        <v>4817</v>
      </c>
    </row>
  </sheetData>
  <autoFilter ref="A2:L2">
    <sortState ref="A3:L19">
      <sortCondition ref="E2"/>
    </sortState>
  </autoFilter>
  <mergeCells count="1">
    <mergeCell ref="A1:J1"/>
  </mergeCells>
  <pageMargins left="0.5" right="0.5" top="0.5" bottom="0.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T76"/>
  <sheetViews>
    <sheetView topLeftCell="B2" zoomScale="70" zoomScaleNormal="70" workbookViewId="0">
      <pane ySplit="1" topLeftCell="A3" activePane="bottomLeft" state="frozen"/>
      <selection activeCell="A2" sqref="A2"/>
      <selection pane="bottomLeft" activeCell="B26" sqref="B26"/>
    </sheetView>
  </sheetViews>
  <sheetFormatPr defaultRowHeight="14.25"/>
  <cols>
    <col min="1" max="1" width="27.42578125" style="87" customWidth="1"/>
    <col min="2" max="2" width="33.42578125" style="259" customWidth="1"/>
    <col min="3" max="3" width="13.5703125" style="74" customWidth="1"/>
    <col min="4" max="4" width="13.5703125" style="259" customWidth="1"/>
    <col min="5" max="5" width="13.5703125" style="360" customWidth="1"/>
    <col min="6" max="6" width="18" style="85" customWidth="1"/>
    <col min="7" max="8" width="6.28515625" style="83" customWidth="1"/>
    <col min="9" max="9" width="10.5703125" style="259" customWidth="1"/>
    <col min="10" max="10" width="13.5703125" style="85" customWidth="1"/>
    <col min="11" max="11" width="10.7109375" style="84" customWidth="1"/>
    <col min="12" max="12" width="10.7109375" style="356" customWidth="1"/>
    <col min="13" max="13" width="16.7109375" style="86" customWidth="1"/>
    <col min="14" max="14" width="14.140625" style="80" customWidth="1"/>
    <col min="15" max="15" width="8.5703125" style="83" customWidth="1"/>
    <col min="16" max="16" width="7.42578125" style="203" customWidth="1"/>
    <col min="17" max="17" width="13.7109375" style="84" customWidth="1"/>
    <col min="18" max="254" width="9.140625" style="259"/>
    <col min="255" max="16384" width="9.140625" style="74"/>
  </cols>
  <sheetData>
    <row r="1" spans="1:254" ht="53.25" customHeight="1">
      <c r="A1" s="612" t="s">
        <v>1204</v>
      </c>
      <c r="B1" s="613"/>
      <c r="C1" s="613"/>
      <c r="D1" s="613"/>
      <c r="E1" s="613"/>
      <c r="F1" s="613"/>
      <c r="G1" s="613"/>
      <c r="H1" s="613"/>
      <c r="I1" s="613"/>
      <c r="J1" s="613"/>
      <c r="K1" s="613"/>
      <c r="L1" s="613"/>
      <c r="M1" s="613"/>
      <c r="N1" s="613"/>
      <c r="O1" s="613"/>
      <c r="P1" s="613"/>
      <c r="Q1" s="613"/>
    </row>
    <row r="2" spans="1:254" s="79" customFormat="1" ht="70.5" customHeight="1">
      <c r="A2" s="75" t="s">
        <v>1205</v>
      </c>
      <c r="B2" s="75" t="s">
        <v>0</v>
      </c>
      <c r="C2" s="26" t="s">
        <v>1636</v>
      </c>
      <c r="D2" s="75" t="s">
        <v>1096</v>
      </c>
      <c r="E2" s="61" t="s">
        <v>3754</v>
      </c>
      <c r="F2" s="359" t="s">
        <v>619</v>
      </c>
      <c r="G2" s="89" t="s">
        <v>2111</v>
      </c>
      <c r="H2" s="89" t="s">
        <v>3538</v>
      </c>
      <c r="I2" s="89" t="s">
        <v>3700</v>
      </c>
      <c r="J2" s="76" t="s">
        <v>1206</v>
      </c>
      <c r="K2" s="75" t="s">
        <v>3755</v>
      </c>
      <c r="L2" s="357" t="s">
        <v>4031</v>
      </c>
      <c r="M2" s="77" t="s">
        <v>3918</v>
      </c>
      <c r="N2" s="77" t="s">
        <v>3794</v>
      </c>
      <c r="O2" s="78" t="s">
        <v>547</v>
      </c>
      <c r="P2" s="89" t="s">
        <v>662</v>
      </c>
      <c r="Q2" s="196" t="s">
        <v>1207</v>
      </c>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row>
    <row r="3" spans="1:254">
      <c r="A3" s="492"/>
      <c r="B3" s="329" t="s">
        <v>4701</v>
      </c>
      <c r="C3" s="492"/>
      <c r="D3" s="250"/>
      <c r="E3" s="489" t="s">
        <v>3995</v>
      </c>
      <c r="F3" s="251">
        <v>42975</v>
      </c>
      <c r="G3" s="262"/>
      <c r="H3" s="262"/>
      <c r="I3" s="262"/>
      <c r="J3" s="262"/>
      <c r="K3" s="257" t="s">
        <v>1089</v>
      </c>
      <c r="L3" s="269">
        <v>1.75</v>
      </c>
      <c r="M3" s="144"/>
      <c r="N3" s="241"/>
      <c r="O3" s="253" t="s">
        <v>3954</v>
      </c>
      <c r="P3" s="254" t="s">
        <v>474</v>
      </c>
      <c r="Q3" s="188"/>
    </row>
    <row r="4" spans="1:254">
      <c r="A4" s="492"/>
      <c r="B4" s="325" t="s">
        <v>3849</v>
      </c>
      <c r="C4" s="252"/>
      <c r="D4" s="250"/>
      <c r="E4" s="489" t="s">
        <v>3992</v>
      </c>
      <c r="F4" s="151">
        <v>42736</v>
      </c>
      <c r="G4" s="262"/>
      <c r="H4" s="262"/>
      <c r="I4" s="262"/>
      <c r="J4" s="262"/>
      <c r="K4" s="257" t="s">
        <v>1089</v>
      </c>
      <c r="L4" s="269">
        <v>0.5</v>
      </c>
      <c r="M4" s="144"/>
      <c r="N4" s="241"/>
      <c r="O4" s="253" t="s">
        <v>3851</v>
      </c>
      <c r="P4" s="504" t="s">
        <v>474</v>
      </c>
      <c r="Q4" s="188"/>
    </row>
    <row r="5" spans="1:254" s="259" customFormat="1" ht="27" customHeight="1">
      <c r="A5" s="252"/>
      <c r="B5" s="325" t="s">
        <v>3969</v>
      </c>
      <c r="C5" s="252"/>
      <c r="D5" s="250"/>
      <c r="E5" s="163" t="s">
        <v>3993</v>
      </c>
      <c r="F5" s="251">
        <v>42736</v>
      </c>
      <c r="G5" s="262"/>
      <c r="H5" s="262"/>
      <c r="I5" s="262"/>
      <c r="J5" s="262"/>
      <c r="K5" s="257" t="s">
        <v>1089</v>
      </c>
      <c r="L5" s="269">
        <v>0.25</v>
      </c>
      <c r="M5" s="144"/>
      <c r="N5" s="241"/>
      <c r="O5" s="253" t="s">
        <v>3971</v>
      </c>
      <c r="P5" s="254"/>
      <c r="Q5" s="188"/>
    </row>
    <row r="6" spans="1:254" s="259" customFormat="1" ht="27" customHeight="1">
      <c r="A6" s="492" t="s">
        <v>4734</v>
      </c>
      <c r="B6" s="325" t="s">
        <v>3901</v>
      </c>
      <c r="C6" s="252"/>
      <c r="D6" s="250"/>
      <c r="E6" s="489" t="s">
        <v>3989</v>
      </c>
      <c r="F6" s="251">
        <v>42736</v>
      </c>
      <c r="G6" s="504" t="s">
        <v>3896</v>
      </c>
      <c r="H6" s="262">
        <v>60186</v>
      </c>
      <c r="I6" s="262"/>
      <c r="J6" s="56" t="s">
        <v>4769</v>
      </c>
      <c r="K6" s="257" t="s">
        <v>1089</v>
      </c>
      <c r="L6" s="269">
        <v>50</v>
      </c>
      <c r="M6" s="144"/>
      <c r="N6" s="241"/>
      <c r="O6" s="351" t="s">
        <v>1583</v>
      </c>
      <c r="P6" s="504" t="s">
        <v>3896</v>
      </c>
      <c r="Q6" s="188">
        <v>20</v>
      </c>
    </row>
    <row r="7" spans="1:254" s="259" customFormat="1" ht="27" customHeight="1">
      <c r="A7" s="492"/>
      <c r="B7" s="325" t="s">
        <v>4735</v>
      </c>
      <c r="C7" s="252"/>
      <c r="D7" s="250"/>
      <c r="E7" s="489"/>
      <c r="F7" s="251">
        <v>42736</v>
      </c>
      <c r="G7" s="254" t="s">
        <v>4732</v>
      </c>
      <c r="H7" s="262">
        <v>59557</v>
      </c>
      <c r="I7" s="262"/>
      <c r="J7" s="262" t="s">
        <v>4736</v>
      </c>
      <c r="K7" s="257" t="s">
        <v>3</v>
      </c>
      <c r="L7" s="269">
        <v>4</v>
      </c>
      <c r="M7" s="144"/>
      <c r="N7" s="241"/>
      <c r="O7" s="351"/>
      <c r="P7" s="504"/>
      <c r="Q7" s="188"/>
    </row>
    <row r="8" spans="1:254" s="259" customFormat="1" ht="27" customHeight="1">
      <c r="A8" s="492"/>
      <c r="B8" s="325" t="s">
        <v>4932</v>
      </c>
      <c r="C8" s="252"/>
      <c r="D8" s="250"/>
      <c r="E8" s="489" t="s">
        <v>5350</v>
      </c>
      <c r="F8" s="251">
        <v>42736</v>
      </c>
      <c r="G8" s="504" t="s">
        <v>4933</v>
      </c>
      <c r="H8" s="262"/>
      <c r="I8" s="262"/>
      <c r="J8" s="262"/>
      <c r="K8" s="490" t="s">
        <v>1089</v>
      </c>
      <c r="L8" s="269">
        <v>10</v>
      </c>
      <c r="M8" s="144"/>
      <c r="N8" s="241"/>
      <c r="O8" s="351" t="s">
        <v>3954</v>
      </c>
      <c r="P8" s="504"/>
      <c r="Q8" s="188"/>
    </row>
    <row r="9" spans="1:254" s="259" customFormat="1" ht="27" customHeight="1">
      <c r="A9" s="523"/>
      <c r="B9" s="584" t="s">
        <v>4017</v>
      </c>
      <c r="C9" s="523"/>
      <c r="D9" s="525" t="s">
        <v>4018</v>
      </c>
      <c r="E9" s="526"/>
      <c r="F9" s="527">
        <v>42370</v>
      </c>
      <c r="G9" s="528"/>
      <c r="H9" s="528"/>
      <c r="I9" s="528"/>
      <c r="J9" s="523" t="s">
        <v>4729</v>
      </c>
      <c r="K9" s="523" t="s">
        <v>1089</v>
      </c>
      <c r="L9" s="530">
        <v>3</v>
      </c>
      <c r="M9" s="531">
        <f>L9*0.2*8.76</f>
        <v>5.2560000000000002</v>
      </c>
      <c r="N9" s="532">
        <f>(13-MONTH(F9))/12*M9</f>
        <v>5.2560000000000002</v>
      </c>
      <c r="O9" s="533" t="s">
        <v>1942</v>
      </c>
      <c r="P9" s="528"/>
      <c r="Q9" s="535"/>
    </row>
    <row r="10" spans="1:254" s="259" customFormat="1" ht="27" customHeight="1">
      <c r="A10" s="490"/>
      <c r="B10" s="189" t="s">
        <v>4936</v>
      </c>
      <c r="C10" s="490"/>
      <c r="D10" s="180"/>
      <c r="E10" s="491" t="s">
        <v>5357</v>
      </c>
      <c r="F10" s="151">
        <v>42736</v>
      </c>
      <c r="G10" s="262" t="s">
        <v>4937</v>
      </c>
      <c r="H10" s="262"/>
      <c r="I10" s="262"/>
      <c r="J10" s="490"/>
      <c r="K10" s="490" t="s">
        <v>1089</v>
      </c>
      <c r="L10" s="269">
        <v>5.25</v>
      </c>
      <c r="M10" s="168"/>
      <c r="N10" s="241"/>
      <c r="O10" s="169" t="s">
        <v>1702</v>
      </c>
      <c r="P10" s="262"/>
      <c r="Q10" s="198"/>
    </row>
    <row r="11" spans="1:254" s="259" customFormat="1" ht="27" customHeight="1">
      <c r="A11" s="166"/>
      <c r="B11" s="189" t="s">
        <v>4934</v>
      </c>
      <c r="C11" s="166"/>
      <c r="D11" s="180"/>
      <c r="E11" s="220" t="s">
        <v>5351</v>
      </c>
      <c r="F11" s="167">
        <v>42736</v>
      </c>
      <c r="G11" s="262" t="s">
        <v>4935</v>
      </c>
      <c r="H11" s="262"/>
      <c r="I11" s="262"/>
      <c r="J11" s="166"/>
      <c r="K11" s="166" t="s">
        <v>1089</v>
      </c>
      <c r="L11" s="269">
        <v>1</v>
      </c>
      <c r="M11" s="168"/>
      <c r="N11" s="241"/>
      <c r="O11" s="169" t="s">
        <v>1702</v>
      </c>
      <c r="P11" s="262"/>
      <c r="Q11" s="198"/>
    </row>
    <row r="12" spans="1:254" s="259" customFormat="1" ht="27" customHeight="1">
      <c r="A12" s="490"/>
      <c r="B12" s="189" t="s">
        <v>4938</v>
      </c>
      <c r="C12" s="490"/>
      <c r="D12" s="180"/>
      <c r="E12" s="491" t="s">
        <v>4945</v>
      </c>
      <c r="F12" s="167">
        <v>43100</v>
      </c>
      <c r="G12" s="262" t="s">
        <v>4942</v>
      </c>
      <c r="H12" s="262"/>
      <c r="I12" s="262"/>
      <c r="J12" s="490"/>
      <c r="K12" s="490" t="s">
        <v>1089</v>
      </c>
      <c r="L12" s="269">
        <v>20</v>
      </c>
      <c r="M12" s="168"/>
      <c r="N12" s="241"/>
      <c r="O12" s="169" t="s">
        <v>4941</v>
      </c>
      <c r="P12" s="262"/>
      <c r="Q12" s="198"/>
    </row>
    <row r="13" spans="1:254" s="259" customFormat="1" ht="27" customHeight="1">
      <c r="A13" s="490"/>
      <c r="B13" s="189" t="s">
        <v>4939</v>
      </c>
      <c r="C13" s="490"/>
      <c r="D13" s="180"/>
      <c r="E13" s="491" t="s">
        <v>4946</v>
      </c>
      <c r="F13" s="167">
        <v>43100</v>
      </c>
      <c r="G13" s="262" t="s">
        <v>4943</v>
      </c>
      <c r="H13" s="262"/>
      <c r="I13" s="262"/>
      <c r="J13" s="490"/>
      <c r="K13" s="490" t="s">
        <v>1089</v>
      </c>
      <c r="L13" s="269">
        <v>20</v>
      </c>
      <c r="M13" s="168"/>
      <c r="N13" s="241"/>
      <c r="O13" s="169" t="s">
        <v>4941</v>
      </c>
      <c r="P13" s="262"/>
      <c r="Q13" s="198"/>
    </row>
    <row r="14" spans="1:254" s="259" customFormat="1" ht="27" customHeight="1">
      <c r="A14" s="490"/>
      <c r="B14" s="189" t="s">
        <v>4940</v>
      </c>
      <c r="C14" s="490"/>
      <c r="D14" s="180"/>
      <c r="E14" s="491" t="s">
        <v>4947</v>
      </c>
      <c r="F14" s="167">
        <v>43100</v>
      </c>
      <c r="G14" s="262" t="s">
        <v>4944</v>
      </c>
      <c r="H14" s="262"/>
      <c r="I14" s="262"/>
      <c r="J14" s="490"/>
      <c r="K14" s="490" t="s">
        <v>1089</v>
      </c>
      <c r="L14" s="269">
        <v>20</v>
      </c>
      <c r="M14" s="168"/>
      <c r="N14" s="241"/>
      <c r="O14" s="169" t="s">
        <v>4941</v>
      </c>
      <c r="P14" s="262"/>
      <c r="Q14" s="198"/>
    </row>
    <row r="15" spans="1:254" s="259" customFormat="1" ht="27" customHeight="1">
      <c r="A15" s="504" t="s">
        <v>3899</v>
      </c>
      <c r="B15" s="189" t="s">
        <v>3889</v>
      </c>
      <c r="C15" s="492"/>
      <c r="D15" s="492"/>
      <c r="E15" s="501" t="s">
        <v>4002</v>
      </c>
      <c r="F15" s="500">
        <v>42736</v>
      </c>
      <c r="G15" s="504" t="s">
        <v>480</v>
      </c>
      <c r="H15" s="504"/>
      <c r="I15" s="504"/>
      <c r="J15" s="37"/>
      <c r="K15" s="257" t="s">
        <v>1089</v>
      </c>
      <c r="L15" s="269">
        <v>56</v>
      </c>
      <c r="M15" s="350"/>
      <c r="N15" s="350"/>
      <c r="O15" s="351" t="s">
        <v>1702</v>
      </c>
      <c r="P15" s="504" t="s">
        <v>480</v>
      </c>
      <c r="Q15" s="484">
        <v>25</v>
      </c>
    </row>
    <row r="16" spans="1:254" s="427" customFormat="1" ht="15">
      <c r="A16" s="341" t="s">
        <v>3899</v>
      </c>
      <c r="B16" s="189" t="s">
        <v>4000</v>
      </c>
      <c r="C16" s="492"/>
      <c r="D16" s="492"/>
      <c r="E16" s="501" t="s">
        <v>4003</v>
      </c>
      <c r="F16" s="500">
        <v>42825</v>
      </c>
      <c r="G16" s="504"/>
      <c r="H16" s="504"/>
      <c r="I16" s="504"/>
      <c r="J16" s="37"/>
      <c r="K16" s="257" t="s">
        <v>1089</v>
      </c>
      <c r="L16" s="269">
        <v>44.88</v>
      </c>
      <c r="M16" s="350"/>
      <c r="N16" s="350"/>
      <c r="O16" s="351" t="s">
        <v>1702</v>
      </c>
      <c r="P16" s="504"/>
      <c r="Q16" s="484"/>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259"/>
      <c r="ET16" s="259"/>
      <c r="EU16" s="259"/>
      <c r="EV16" s="259"/>
      <c r="EW16" s="259"/>
      <c r="EX16" s="259"/>
      <c r="EY16" s="259"/>
      <c r="EZ16" s="259"/>
      <c r="FA16" s="259"/>
      <c r="FB16" s="259"/>
      <c r="FC16" s="259"/>
      <c r="FD16" s="259"/>
      <c r="FE16" s="259"/>
      <c r="FF16" s="259"/>
      <c r="FG16" s="259"/>
      <c r="FH16" s="259"/>
      <c r="FI16" s="259"/>
      <c r="FJ16" s="259"/>
      <c r="FK16" s="259"/>
      <c r="FL16" s="259"/>
      <c r="FM16" s="259"/>
      <c r="FN16" s="259"/>
      <c r="FO16" s="259"/>
      <c r="FP16" s="259"/>
      <c r="FQ16" s="259"/>
      <c r="FR16" s="259"/>
      <c r="FS16" s="259"/>
      <c r="FT16" s="259"/>
      <c r="FU16" s="259"/>
      <c r="FV16" s="259"/>
      <c r="FW16" s="259"/>
      <c r="FX16" s="259"/>
      <c r="FY16" s="259"/>
      <c r="FZ16" s="259"/>
      <c r="GA16" s="259"/>
      <c r="GB16" s="259"/>
      <c r="GC16" s="259"/>
      <c r="GD16" s="259"/>
      <c r="GE16" s="259"/>
      <c r="GF16" s="259"/>
      <c r="GG16" s="259"/>
      <c r="GH16" s="259"/>
      <c r="GI16" s="259"/>
      <c r="GJ16" s="259"/>
      <c r="GK16" s="259"/>
      <c r="GL16" s="259"/>
      <c r="GM16" s="259"/>
      <c r="GN16" s="259"/>
      <c r="GO16" s="259"/>
      <c r="GP16" s="259"/>
      <c r="GQ16" s="259"/>
      <c r="GR16" s="259"/>
      <c r="GS16" s="259"/>
      <c r="GT16" s="259"/>
      <c r="GU16" s="259"/>
      <c r="GV16" s="259"/>
      <c r="GW16" s="259"/>
      <c r="GX16" s="259"/>
      <c r="GY16" s="259"/>
      <c r="GZ16" s="259"/>
      <c r="HA16" s="259"/>
      <c r="HB16" s="259"/>
      <c r="HC16" s="259"/>
      <c r="HD16" s="259"/>
      <c r="HE16" s="259"/>
      <c r="HF16" s="259"/>
      <c r="HG16" s="259"/>
      <c r="HH16" s="259"/>
      <c r="HI16" s="259"/>
      <c r="HJ16" s="259"/>
      <c r="HK16" s="259"/>
      <c r="HL16" s="259"/>
      <c r="HM16" s="259"/>
      <c r="HN16" s="259"/>
      <c r="HO16" s="259"/>
      <c r="HP16" s="259"/>
      <c r="HQ16" s="259"/>
      <c r="HR16" s="259"/>
      <c r="HS16" s="259"/>
      <c r="HT16" s="259"/>
      <c r="HU16" s="259"/>
      <c r="HV16" s="259"/>
      <c r="HW16" s="259"/>
      <c r="HX16" s="259"/>
      <c r="HY16" s="259"/>
      <c r="HZ16" s="259"/>
      <c r="IA16" s="259"/>
      <c r="IB16" s="259"/>
      <c r="IC16" s="259"/>
      <c r="ID16" s="259"/>
      <c r="IE16" s="259"/>
      <c r="IF16" s="259"/>
      <c r="IG16" s="259"/>
      <c r="IH16" s="259"/>
      <c r="II16" s="259"/>
      <c r="IJ16" s="259"/>
      <c r="IK16" s="259"/>
      <c r="IL16" s="259"/>
      <c r="IM16" s="259"/>
      <c r="IN16" s="259"/>
      <c r="IO16" s="259"/>
      <c r="IP16" s="259"/>
      <c r="IQ16" s="259"/>
      <c r="IR16" s="259"/>
      <c r="IS16" s="259"/>
      <c r="IT16" s="259"/>
    </row>
    <row r="17" spans="1:254" s="259" customFormat="1" ht="27" customHeight="1">
      <c r="A17" s="504" t="s">
        <v>3899</v>
      </c>
      <c r="B17" s="189" t="s">
        <v>3890</v>
      </c>
      <c r="C17" s="492"/>
      <c r="D17" s="492"/>
      <c r="E17" s="501" t="s">
        <v>4004</v>
      </c>
      <c r="F17" s="500">
        <v>42736</v>
      </c>
      <c r="G17" s="504" t="s">
        <v>480</v>
      </c>
      <c r="H17" s="504">
        <v>59316</v>
      </c>
      <c r="I17" s="504"/>
      <c r="J17" s="37"/>
      <c r="K17" s="257" t="s">
        <v>1089</v>
      </c>
      <c r="L17" s="269">
        <v>56</v>
      </c>
      <c r="M17" s="350"/>
      <c r="N17" s="350"/>
      <c r="O17" s="351" t="s">
        <v>1702</v>
      </c>
      <c r="P17" s="504" t="s">
        <v>480</v>
      </c>
      <c r="Q17" s="484">
        <v>25</v>
      </c>
    </row>
    <row r="18" spans="1:254" s="259" customFormat="1" ht="27" customHeight="1">
      <c r="A18" s="504" t="s">
        <v>3899</v>
      </c>
      <c r="B18" s="189" t="s">
        <v>4001</v>
      </c>
      <c r="C18" s="252"/>
      <c r="D18" s="492"/>
      <c r="E18" s="501" t="s">
        <v>4006</v>
      </c>
      <c r="F18" s="500">
        <v>42825</v>
      </c>
      <c r="G18" s="504"/>
      <c r="H18" s="504"/>
      <c r="I18" s="504"/>
      <c r="J18" s="37"/>
      <c r="K18" s="257" t="s">
        <v>1089</v>
      </c>
      <c r="L18" s="269">
        <v>44.88</v>
      </c>
      <c r="M18" s="350"/>
      <c r="N18" s="350"/>
      <c r="O18" s="351" t="s">
        <v>1702</v>
      </c>
      <c r="P18" s="504"/>
      <c r="Q18" s="484"/>
    </row>
    <row r="19" spans="1:254" ht="30">
      <c r="A19" s="534"/>
      <c r="B19" s="588" t="s">
        <v>4028</v>
      </c>
      <c r="C19" s="523"/>
      <c r="D19" s="539"/>
      <c r="E19" s="540" t="s">
        <v>4683</v>
      </c>
      <c r="F19" s="540">
        <v>42704</v>
      </c>
      <c r="G19" s="534"/>
      <c r="H19" s="534"/>
      <c r="I19" s="534"/>
      <c r="J19" s="541" t="s">
        <v>4029</v>
      </c>
      <c r="K19" s="529" t="s">
        <v>1089</v>
      </c>
      <c r="L19" s="542">
        <v>20</v>
      </c>
      <c r="M19" s="531">
        <f>L19*0.2*8.76</f>
        <v>35.04</v>
      </c>
      <c r="N19" s="532">
        <f>(13-MONTH(F19))/12*M19</f>
        <v>5.84</v>
      </c>
      <c r="O19" s="533" t="s">
        <v>1942</v>
      </c>
      <c r="P19" s="534"/>
      <c r="Q19" s="543"/>
    </row>
    <row r="20" spans="1:254">
      <c r="A20" s="492"/>
      <c r="B20" s="334" t="s">
        <v>4022</v>
      </c>
      <c r="C20" s="252"/>
      <c r="D20" s="250"/>
      <c r="E20" s="489" t="s">
        <v>4684</v>
      </c>
      <c r="F20" s="251">
        <v>42887</v>
      </c>
      <c r="G20" s="262"/>
      <c r="H20" s="262"/>
      <c r="I20" s="262"/>
      <c r="J20" s="262"/>
      <c r="K20" s="257" t="s">
        <v>1089</v>
      </c>
      <c r="L20" s="269">
        <v>125</v>
      </c>
      <c r="M20" s="144"/>
      <c r="N20" s="241"/>
      <c r="O20" s="351" t="s">
        <v>1942</v>
      </c>
      <c r="P20" s="262" t="s">
        <v>475</v>
      </c>
      <c r="Q20" s="188"/>
    </row>
    <row r="21" spans="1:254" s="259" customFormat="1" ht="27" customHeight="1">
      <c r="A21" s="492"/>
      <c r="B21" s="334" t="s">
        <v>4023</v>
      </c>
      <c r="C21" s="492"/>
      <c r="D21" s="250"/>
      <c r="E21" s="489" t="s">
        <v>4685</v>
      </c>
      <c r="F21" s="251">
        <v>42887</v>
      </c>
      <c r="G21" s="262"/>
      <c r="H21" s="262"/>
      <c r="I21" s="262"/>
      <c r="J21" s="262"/>
      <c r="K21" s="257" t="s">
        <v>1089</v>
      </c>
      <c r="L21" s="269">
        <v>125</v>
      </c>
      <c r="M21" s="144"/>
      <c r="N21" s="241"/>
      <c r="O21" s="351" t="s">
        <v>1942</v>
      </c>
      <c r="P21" s="262" t="s">
        <v>475</v>
      </c>
      <c r="Q21" s="188"/>
    </row>
    <row r="22" spans="1:254" s="259" customFormat="1" ht="27" customHeight="1">
      <c r="A22" s="143"/>
      <c r="B22" s="330" t="s">
        <v>4730</v>
      </c>
      <c r="C22" s="492"/>
      <c r="D22" s="257"/>
      <c r="E22" s="209" t="s">
        <v>4731</v>
      </c>
      <c r="F22" s="151">
        <v>42884</v>
      </c>
      <c r="G22" s="262" t="s">
        <v>4732</v>
      </c>
      <c r="H22" s="262"/>
      <c r="I22" s="262"/>
      <c r="J22" s="492" t="s">
        <v>4733</v>
      </c>
      <c r="K22" s="257" t="s">
        <v>1089</v>
      </c>
      <c r="L22" s="269">
        <v>130</v>
      </c>
      <c r="M22" s="144"/>
      <c r="N22" s="241"/>
      <c r="O22" s="154" t="s">
        <v>4117</v>
      </c>
      <c r="P22" s="262"/>
      <c r="Q22" s="264"/>
    </row>
    <row r="23" spans="1:254" s="348" customFormat="1" ht="15">
      <c r="A23" s="502" t="s">
        <v>4740</v>
      </c>
      <c r="B23" s="326" t="s">
        <v>4739</v>
      </c>
      <c r="C23" s="260"/>
      <c r="D23" s="504"/>
      <c r="E23" s="209" t="s">
        <v>4741</v>
      </c>
      <c r="F23" s="151">
        <v>42736</v>
      </c>
      <c r="G23" s="262"/>
      <c r="H23" s="262">
        <v>60077</v>
      </c>
      <c r="I23" s="262"/>
      <c r="J23" s="260"/>
      <c r="K23" s="257" t="s">
        <v>1089</v>
      </c>
      <c r="L23" s="269">
        <v>15.8</v>
      </c>
      <c r="M23" s="144"/>
      <c r="N23" s="241"/>
      <c r="O23" s="134" t="s">
        <v>1770</v>
      </c>
      <c r="P23" s="262"/>
      <c r="Q23" s="264"/>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59"/>
    </row>
    <row r="24" spans="1:254" s="427" customFormat="1" ht="15">
      <c r="A24" s="589"/>
      <c r="B24" s="337" t="s">
        <v>4742</v>
      </c>
      <c r="C24" s="260"/>
      <c r="D24" s="504"/>
      <c r="E24" s="209" t="s">
        <v>4747</v>
      </c>
      <c r="F24" s="151">
        <v>42736</v>
      </c>
      <c r="G24" s="262" t="s">
        <v>5094</v>
      </c>
      <c r="H24" s="362">
        <v>60078</v>
      </c>
      <c r="I24" s="262"/>
      <c r="J24" s="260"/>
      <c r="K24" s="257" t="s">
        <v>1089</v>
      </c>
      <c r="L24" s="269">
        <v>20</v>
      </c>
      <c r="M24" s="144">
        <v>52</v>
      </c>
      <c r="N24" s="241"/>
      <c r="O24" s="134"/>
      <c r="P24" s="262"/>
      <c r="Q24" s="264"/>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row>
    <row r="25" spans="1:254" s="259" customFormat="1" ht="27" customHeight="1">
      <c r="A25" s="502"/>
      <c r="B25" s="337" t="s">
        <v>4743</v>
      </c>
      <c r="C25" s="260"/>
      <c r="D25" s="504"/>
      <c r="E25" s="209" t="s">
        <v>4748</v>
      </c>
      <c r="F25" s="151">
        <v>42736</v>
      </c>
      <c r="G25" s="262" t="s">
        <v>5095</v>
      </c>
      <c r="H25" s="362">
        <v>60079</v>
      </c>
      <c r="I25" s="262"/>
      <c r="J25" s="260"/>
      <c r="K25" s="257" t="s">
        <v>1089</v>
      </c>
      <c r="L25" s="269">
        <v>20</v>
      </c>
      <c r="M25" s="144">
        <v>52</v>
      </c>
      <c r="N25" s="241"/>
      <c r="O25" s="134"/>
      <c r="P25" s="262"/>
      <c r="Q25" s="264"/>
    </row>
    <row r="26" spans="1:254" s="259" customFormat="1" ht="27" customHeight="1">
      <c r="A26" s="502"/>
      <c r="B26" s="337" t="s">
        <v>4744</v>
      </c>
      <c r="C26" s="260"/>
      <c r="D26" s="504"/>
      <c r="E26" s="209" t="s">
        <v>4746</v>
      </c>
      <c r="F26" s="151">
        <v>42736</v>
      </c>
      <c r="G26" s="262" t="s">
        <v>5097</v>
      </c>
      <c r="H26" s="362">
        <v>60080</v>
      </c>
      <c r="I26" s="262"/>
      <c r="J26" s="260"/>
      <c r="K26" s="257" t="s">
        <v>1089</v>
      </c>
      <c r="L26" s="269">
        <v>15</v>
      </c>
      <c r="M26" s="144">
        <v>41</v>
      </c>
      <c r="N26" s="241"/>
      <c r="O26" s="134"/>
      <c r="P26" s="262"/>
      <c r="Q26" s="264"/>
    </row>
    <row r="27" spans="1:254" s="259" customFormat="1" ht="27" customHeight="1">
      <c r="A27" s="502"/>
      <c r="B27" s="337" t="s">
        <v>4745</v>
      </c>
      <c r="C27" s="260"/>
      <c r="D27" s="504"/>
      <c r="E27" s="209" t="s">
        <v>4749</v>
      </c>
      <c r="F27" s="151">
        <v>42736</v>
      </c>
      <c r="G27" s="262" t="s">
        <v>5096</v>
      </c>
      <c r="H27" s="362">
        <v>60081</v>
      </c>
      <c r="I27" s="262"/>
      <c r="J27" s="260"/>
      <c r="K27" s="257" t="s">
        <v>1089</v>
      </c>
      <c r="L27" s="269">
        <v>20</v>
      </c>
      <c r="M27" s="144">
        <v>52</v>
      </c>
      <c r="N27" s="241"/>
      <c r="O27" s="134"/>
      <c r="P27" s="262"/>
      <c r="Q27" s="264"/>
    </row>
    <row r="28" spans="1:254" s="259" customFormat="1" ht="27" customHeight="1">
      <c r="A28" s="502"/>
      <c r="B28" s="326" t="s">
        <v>4770</v>
      </c>
      <c r="C28" s="260"/>
      <c r="D28" s="504"/>
      <c r="E28" s="209" t="s">
        <v>4771</v>
      </c>
      <c r="F28" s="151">
        <v>42885</v>
      </c>
      <c r="G28" s="262"/>
      <c r="H28" s="262">
        <v>59915</v>
      </c>
      <c r="I28" s="262"/>
      <c r="J28" s="260" t="s">
        <v>4756</v>
      </c>
      <c r="K28" s="257" t="s">
        <v>1089</v>
      </c>
      <c r="L28" s="269">
        <v>20</v>
      </c>
      <c r="M28" s="144"/>
      <c r="N28" s="241"/>
      <c r="O28" s="134" t="s">
        <v>3954</v>
      </c>
      <c r="P28" s="262"/>
      <c r="Q28" s="264"/>
    </row>
    <row r="29" spans="1:254" s="259" customFormat="1" ht="27" customHeight="1">
      <c r="A29" s="143"/>
      <c r="B29" s="327" t="s">
        <v>5087</v>
      </c>
      <c r="C29" s="252"/>
      <c r="D29" s="250"/>
      <c r="E29" s="209" t="s">
        <v>5086</v>
      </c>
      <c r="F29" s="151">
        <v>42736</v>
      </c>
      <c r="G29" s="262" t="s">
        <v>5089</v>
      </c>
      <c r="H29" s="262"/>
      <c r="I29" s="262"/>
      <c r="J29" s="492" t="s">
        <v>5088</v>
      </c>
      <c r="K29" s="257" t="s">
        <v>1089</v>
      </c>
      <c r="L29" s="269">
        <v>2</v>
      </c>
      <c r="M29" s="144">
        <v>4.3</v>
      </c>
      <c r="N29" s="241">
        <v>0.7</v>
      </c>
      <c r="O29" s="154" t="s">
        <v>1914</v>
      </c>
      <c r="P29" s="262"/>
      <c r="Q29" s="264"/>
    </row>
    <row r="30" spans="1:254" s="259" customFormat="1" ht="27" customHeight="1">
      <c r="A30" s="502"/>
      <c r="B30" s="337" t="s">
        <v>4738</v>
      </c>
      <c r="C30" s="252"/>
      <c r="D30" s="501"/>
      <c r="E30" s="501" t="s">
        <v>5358</v>
      </c>
      <c r="F30" s="151">
        <v>42736</v>
      </c>
      <c r="G30" s="504" t="s">
        <v>5085</v>
      </c>
      <c r="H30" s="504">
        <v>60151</v>
      </c>
      <c r="I30" s="263"/>
      <c r="J30" s="37"/>
      <c r="K30" s="257" t="s">
        <v>1089</v>
      </c>
      <c r="L30" s="269">
        <v>1.3</v>
      </c>
      <c r="M30" s="350">
        <v>2.7</v>
      </c>
      <c r="N30" s="350">
        <v>0.4</v>
      </c>
      <c r="O30" s="134" t="s">
        <v>1914</v>
      </c>
      <c r="P30" s="504"/>
      <c r="Q30" s="484"/>
    </row>
    <row r="31" spans="1:254" s="259" customFormat="1" ht="27" customHeight="1">
      <c r="A31" s="502"/>
      <c r="B31" s="337" t="s">
        <v>4737</v>
      </c>
      <c r="C31" s="492"/>
      <c r="D31" s="501"/>
      <c r="E31" s="501" t="s">
        <v>5359</v>
      </c>
      <c r="F31" s="151">
        <v>42736</v>
      </c>
      <c r="G31" s="504" t="s">
        <v>5084</v>
      </c>
      <c r="H31" s="504">
        <v>60154</v>
      </c>
      <c r="I31" s="504"/>
      <c r="J31" s="37"/>
      <c r="K31" s="257" t="s">
        <v>1089</v>
      </c>
      <c r="L31" s="269">
        <v>1</v>
      </c>
      <c r="M31" s="350">
        <v>1.8</v>
      </c>
      <c r="N31" s="350">
        <v>0.3</v>
      </c>
      <c r="O31" s="134" t="s">
        <v>1914</v>
      </c>
      <c r="P31" s="504"/>
      <c r="Q31" s="484"/>
    </row>
    <row r="32" spans="1:254" ht="25.5">
      <c r="A32" s="317"/>
      <c r="B32" s="598" t="s">
        <v>5099</v>
      </c>
      <c r="C32" s="17"/>
      <c r="D32" s="396"/>
      <c r="E32" s="318" t="s">
        <v>5098</v>
      </c>
      <c r="F32" s="320">
        <v>42736</v>
      </c>
      <c r="G32" s="319" t="s">
        <v>5101</v>
      </c>
      <c r="H32" s="319"/>
      <c r="I32" s="319"/>
      <c r="J32" s="17" t="s">
        <v>5100</v>
      </c>
      <c r="K32" s="131" t="s">
        <v>1089</v>
      </c>
      <c r="L32" s="594">
        <v>20</v>
      </c>
      <c r="M32" s="321">
        <v>49.5</v>
      </c>
      <c r="N32" s="322">
        <v>3.3</v>
      </c>
      <c r="O32" s="599" t="s">
        <v>4106</v>
      </c>
      <c r="P32" s="319"/>
      <c r="Q32" s="324"/>
    </row>
    <row r="33" spans="1:254" s="348" customFormat="1" ht="25.5">
      <c r="A33" s="504"/>
      <c r="B33" s="189" t="s">
        <v>3854</v>
      </c>
      <c r="C33" s="252"/>
      <c r="D33" s="492"/>
      <c r="E33" s="501" t="s">
        <v>4009</v>
      </c>
      <c r="F33" s="500">
        <v>42791</v>
      </c>
      <c r="G33" s="504" t="s">
        <v>5092</v>
      </c>
      <c r="H33" s="504"/>
      <c r="I33" s="504"/>
      <c r="J33" s="262" t="s">
        <v>3960</v>
      </c>
      <c r="K33" s="257" t="s">
        <v>1089</v>
      </c>
      <c r="L33" s="269">
        <v>3</v>
      </c>
      <c r="M33" s="350">
        <v>8.9</v>
      </c>
      <c r="N33" s="350"/>
      <c r="O33" s="351" t="s">
        <v>1942</v>
      </c>
      <c r="P33" s="262" t="s">
        <v>1608</v>
      </c>
      <c r="Q33" s="484"/>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59"/>
      <c r="GH33" s="259"/>
      <c r="GI33" s="259"/>
      <c r="GJ33" s="259"/>
      <c r="GK33" s="259"/>
      <c r="GL33" s="259"/>
      <c r="GM33" s="259"/>
      <c r="GN33" s="259"/>
      <c r="GO33" s="259"/>
      <c r="GP33" s="259"/>
      <c r="GQ33" s="259"/>
      <c r="GR33" s="259"/>
      <c r="GS33" s="259"/>
      <c r="GT33" s="259"/>
      <c r="GU33" s="259"/>
      <c r="GV33" s="259"/>
      <c r="GW33" s="259"/>
      <c r="GX33" s="259"/>
      <c r="GY33" s="259"/>
      <c r="GZ33" s="259"/>
      <c r="HA33" s="259"/>
      <c r="HB33" s="259"/>
      <c r="HC33" s="259"/>
      <c r="HD33" s="259"/>
      <c r="HE33" s="259"/>
      <c r="HF33" s="259"/>
      <c r="HG33" s="259"/>
      <c r="HH33" s="259"/>
      <c r="HI33" s="259"/>
      <c r="HJ33" s="259"/>
      <c r="HK33" s="259"/>
      <c r="HL33" s="259"/>
      <c r="HM33" s="259"/>
      <c r="HN33" s="259"/>
      <c r="HO33" s="259"/>
      <c r="HP33" s="259"/>
      <c r="HQ33" s="259"/>
      <c r="HR33" s="259"/>
      <c r="HS33" s="259"/>
      <c r="HT33" s="259"/>
      <c r="HU33" s="259"/>
      <c r="HV33" s="259"/>
      <c r="HW33" s="259"/>
      <c r="HX33" s="259"/>
      <c r="HY33" s="259"/>
      <c r="HZ33" s="259"/>
      <c r="IA33" s="259"/>
      <c r="IB33" s="259"/>
      <c r="IC33" s="259"/>
      <c r="ID33" s="259"/>
      <c r="IE33" s="259"/>
      <c r="IF33" s="259"/>
      <c r="IG33" s="259"/>
      <c r="IH33" s="259"/>
      <c r="II33" s="259"/>
      <c r="IJ33" s="259"/>
      <c r="IK33" s="259"/>
      <c r="IL33" s="259"/>
      <c r="IM33" s="259"/>
      <c r="IN33" s="259"/>
      <c r="IO33" s="259"/>
      <c r="IP33" s="259"/>
      <c r="IQ33" s="259"/>
      <c r="IR33" s="259"/>
      <c r="IS33" s="259"/>
      <c r="IT33" s="259"/>
    </row>
    <row r="34" spans="1:254" s="259" customFormat="1" ht="27" customHeight="1">
      <c r="A34" s="415"/>
      <c r="B34" s="428" t="s">
        <v>4400</v>
      </c>
      <c r="C34" s="429"/>
      <c r="D34" s="428" t="s">
        <v>4399</v>
      </c>
      <c r="E34" s="429" t="s">
        <v>5219</v>
      </c>
      <c r="F34" s="430">
        <v>43100</v>
      </c>
      <c r="G34" s="429"/>
      <c r="H34" s="449"/>
      <c r="I34" s="429"/>
      <c r="J34" s="429"/>
      <c r="K34" s="431" t="s">
        <v>1089</v>
      </c>
      <c r="L34" s="269">
        <v>20</v>
      </c>
      <c r="M34" s="429"/>
      <c r="N34" s="429"/>
      <c r="O34" s="429"/>
      <c r="P34" s="429"/>
      <c r="Q34" s="429"/>
    </row>
    <row r="35" spans="1:254">
      <c r="A35" s="252" t="s">
        <v>4784</v>
      </c>
      <c r="B35" s="334" t="s">
        <v>4783</v>
      </c>
      <c r="C35" s="252"/>
      <c r="D35" s="250"/>
      <c r="E35" s="163" t="s">
        <v>5360</v>
      </c>
      <c r="F35" s="251">
        <v>42736</v>
      </c>
      <c r="G35" s="262" t="s">
        <v>5111</v>
      </c>
      <c r="H35" s="262">
        <v>60485</v>
      </c>
      <c r="I35" s="262"/>
      <c r="J35" s="492"/>
      <c r="K35" s="257" t="s">
        <v>1089</v>
      </c>
      <c r="L35" s="269">
        <v>20</v>
      </c>
      <c r="M35" s="144">
        <v>63.3</v>
      </c>
      <c r="N35" s="241">
        <v>3.1</v>
      </c>
      <c r="O35" s="253"/>
      <c r="P35" s="254"/>
      <c r="Q35" s="188"/>
    </row>
    <row r="36" spans="1:254" ht="25.5">
      <c r="A36" s="502" t="s">
        <v>480</v>
      </c>
      <c r="B36" s="326" t="s">
        <v>3283</v>
      </c>
      <c r="C36" s="502"/>
      <c r="D36" s="502"/>
      <c r="E36" s="489"/>
      <c r="F36" s="151">
        <v>43070</v>
      </c>
      <c r="G36" s="504" t="s">
        <v>480</v>
      </c>
      <c r="H36" s="502">
        <v>57308</v>
      </c>
      <c r="I36" s="502"/>
      <c r="J36" s="262" t="s">
        <v>2596</v>
      </c>
      <c r="K36" s="502" t="s">
        <v>1089</v>
      </c>
      <c r="L36" s="269">
        <v>2.2000000000000002</v>
      </c>
      <c r="M36" s="144"/>
      <c r="N36" s="241"/>
      <c r="O36" s="262" t="s">
        <v>1914</v>
      </c>
      <c r="P36" s="492"/>
      <c r="Q36" s="262" t="s">
        <v>1961</v>
      </c>
    </row>
    <row r="37" spans="1:254">
      <c r="A37" s="492" t="s">
        <v>4754</v>
      </c>
      <c r="B37" s="325" t="s">
        <v>4753</v>
      </c>
      <c r="C37" s="252"/>
      <c r="D37" s="250"/>
      <c r="E37" s="489" t="s">
        <v>4755</v>
      </c>
      <c r="F37" s="251">
        <v>42736</v>
      </c>
      <c r="G37" s="262"/>
      <c r="H37" s="262">
        <v>60237</v>
      </c>
      <c r="I37" s="262"/>
      <c r="J37" s="262" t="s">
        <v>4756</v>
      </c>
      <c r="K37" s="257" t="s">
        <v>1089</v>
      </c>
      <c r="L37" s="269">
        <v>30</v>
      </c>
      <c r="M37" s="144"/>
      <c r="N37" s="241"/>
      <c r="O37" s="253" t="s">
        <v>2904</v>
      </c>
      <c r="P37" s="504"/>
      <c r="Q37" s="188"/>
    </row>
    <row r="38" spans="1:254" s="259" customFormat="1" ht="27" customHeight="1">
      <c r="A38" s="492"/>
      <c r="B38" s="325" t="s">
        <v>5121</v>
      </c>
      <c r="C38" s="252"/>
      <c r="D38" s="250"/>
      <c r="E38" s="489" t="s">
        <v>5123</v>
      </c>
      <c r="F38" s="251">
        <v>42948</v>
      </c>
      <c r="G38" s="262" t="s">
        <v>5122</v>
      </c>
      <c r="H38" s="262"/>
      <c r="I38" s="262"/>
      <c r="J38" s="262"/>
      <c r="K38" s="257" t="s">
        <v>1089</v>
      </c>
      <c r="L38" s="269">
        <v>20</v>
      </c>
      <c r="M38" s="144">
        <v>24.4</v>
      </c>
      <c r="N38" s="241"/>
      <c r="O38" s="253"/>
      <c r="P38" s="504"/>
      <c r="Q38" s="188"/>
    </row>
    <row r="39" spans="1:254" s="259" customFormat="1" ht="27" customHeight="1">
      <c r="A39" s="492"/>
      <c r="B39" s="325" t="s">
        <v>3842</v>
      </c>
      <c r="C39" s="492"/>
      <c r="D39" s="250"/>
      <c r="E39" s="489" t="s">
        <v>3994</v>
      </c>
      <c r="F39" s="251">
        <v>43070</v>
      </c>
      <c r="G39" s="262" t="s">
        <v>5059</v>
      </c>
      <c r="H39" s="262"/>
      <c r="I39" s="262"/>
      <c r="J39" s="262" t="s">
        <v>1608</v>
      </c>
      <c r="K39" s="257" t="s">
        <v>1089</v>
      </c>
      <c r="L39" s="269">
        <v>1.2</v>
      </c>
      <c r="M39" s="144">
        <v>2.2000000000000002</v>
      </c>
      <c r="N39" s="241"/>
      <c r="O39" s="253" t="s">
        <v>3844</v>
      </c>
      <c r="P39" s="504" t="s">
        <v>475</v>
      </c>
      <c r="Q39" s="188">
        <v>20</v>
      </c>
    </row>
    <row r="40" spans="1:254" s="259" customFormat="1" ht="27" customHeight="1">
      <c r="A40" s="502" t="s">
        <v>1915</v>
      </c>
      <c r="B40" s="326" t="s">
        <v>4010</v>
      </c>
      <c r="C40" s="252"/>
      <c r="D40" s="257"/>
      <c r="E40" s="209" t="s">
        <v>3679</v>
      </c>
      <c r="F40" s="151">
        <v>42736</v>
      </c>
      <c r="G40" s="262" t="s">
        <v>3680</v>
      </c>
      <c r="H40" s="262"/>
      <c r="I40" s="262"/>
      <c r="J40" s="262" t="s">
        <v>3960</v>
      </c>
      <c r="K40" s="257" t="s">
        <v>1089</v>
      </c>
      <c r="L40" s="269">
        <v>3</v>
      </c>
      <c r="M40" s="321">
        <v>5.8</v>
      </c>
      <c r="N40" s="322">
        <v>0.1</v>
      </c>
      <c r="O40" s="134" t="s">
        <v>1916</v>
      </c>
      <c r="P40" s="262" t="s">
        <v>475</v>
      </c>
      <c r="Q40" s="264"/>
    </row>
    <row r="41" spans="1:254" s="259" customFormat="1" ht="27" customHeight="1">
      <c r="A41" s="502"/>
      <c r="B41" s="327" t="s">
        <v>5072</v>
      </c>
      <c r="C41" s="252"/>
      <c r="D41" s="250"/>
      <c r="E41" s="209" t="s">
        <v>5071</v>
      </c>
      <c r="F41" s="151">
        <v>42766</v>
      </c>
      <c r="G41" s="262" t="s">
        <v>5077</v>
      </c>
      <c r="H41" s="262"/>
      <c r="I41" s="262"/>
      <c r="J41" s="492" t="s">
        <v>5073</v>
      </c>
      <c r="K41" s="257" t="s">
        <v>1089</v>
      </c>
      <c r="L41" s="269" t="s">
        <v>4067</v>
      </c>
      <c r="M41" s="321">
        <v>1.9</v>
      </c>
      <c r="N41" s="322"/>
      <c r="O41" s="154" t="s">
        <v>1942</v>
      </c>
      <c r="P41" s="262"/>
      <c r="Q41" s="264"/>
    </row>
    <row r="42" spans="1:254" ht="25.5">
      <c r="A42" s="502"/>
      <c r="B42" s="327" t="s">
        <v>5075</v>
      </c>
      <c r="C42" s="252"/>
      <c r="D42" s="250"/>
      <c r="E42" s="209" t="s">
        <v>5074</v>
      </c>
      <c r="F42" s="151">
        <v>42766</v>
      </c>
      <c r="G42" s="262" t="s">
        <v>5078</v>
      </c>
      <c r="H42" s="262"/>
      <c r="I42" s="262"/>
      <c r="J42" s="492" t="s">
        <v>5073</v>
      </c>
      <c r="K42" s="257" t="s">
        <v>1089</v>
      </c>
      <c r="L42" s="269" t="s">
        <v>5076</v>
      </c>
      <c r="M42" s="144">
        <v>0.85</v>
      </c>
      <c r="N42" s="241"/>
      <c r="O42" s="154" t="s">
        <v>1914</v>
      </c>
      <c r="P42" s="262"/>
      <c r="Q42" s="264"/>
    </row>
    <row r="43" spans="1:254" ht="15">
      <c r="A43" s="448"/>
      <c r="B43" s="337" t="s">
        <v>5118</v>
      </c>
      <c r="C43" s="252"/>
      <c r="D43" s="257"/>
      <c r="E43" s="209" t="s">
        <v>5117</v>
      </c>
      <c r="F43" s="151">
        <v>42736</v>
      </c>
      <c r="G43" s="262" t="s">
        <v>5120</v>
      </c>
      <c r="H43" s="262"/>
      <c r="I43" s="262"/>
      <c r="J43" s="262" t="s">
        <v>5119</v>
      </c>
      <c r="K43" s="257" t="s">
        <v>1089</v>
      </c>
      <c r="L43" s="269">
        <v>2.33</v>
      </c>
      <c r="M43" s="144">
        <v>6.7</v>
      </c>
      <c r="N43" s="241">
        <v>1.2</v>
      </c>
      <c r="O43" s="134" t="s">
        <v>4106</v>
      </c>
      <c r="P43" s="262" t="s">
        <v>477</v>
      </c>
      <c r="Q43" s="264"/>
    </row>
    <row r="44" spans="1:254" s="259" customFormat="1" ht="27" customHeight="1">
      <c r="A44" s="502"/>
      <c r="B44" s="337" t="s">
        <v>4762</v>
      </c>
      <c r="C44" s="252"/>
      <c r="D44" s="257"/>
      <c r="E44" s="209" t="s">
        <v>4763</v>
      </c>
      <c r="F44" s="151">
        <v>42767</v>
      </c>
      <c r="G44" s="262"/>
      <c r="H44" s="262">
        <v>59962</v>
      </c>
      <c r="I44" s="262"/>
      <c r="J44" s="262" t="s">
        <v>4764</v>
      </c>
      <c r="K44" s="257" t="s">
        <v>1089</v>
      </c>
      <c r="L44" s="269">
        <v>20</v>
      </c>
      <c r="M44" s="144"/>
      <c r="N44" s="241"/>
      <c r="O44" s="134" t="s">
        <v>1914</v>
      </c>
      <c r="P44" s="262"/>
      <c r="Q44" s="264"/>
    </row>
    <row r="45" spans="1:254" s="259" customFormat="1" ht="27" customHeight="1">
      <c r="A45" s="504"/>
      <c r="B45" s="189" t="s">
        <v>3964</v>
      </c>
      <c r="C45" s="492"/>
      <c r="D45" s="492"/>
      <c r="E45" s="139" t="s">
        <v>4011</v>
      </c>
      <c r="F45" s="500">
        <v>42736</v>
      </c>
      <c r="G45" s="254" t="s">
        <v>475</v>
      </c>
      <c r="H45" s="254"/>
      <c r="I45" s="492"/>
      <c r="J45" s="262" t="s">
        <v>3973</v>
      </c>
      <c r="K45" s="257" t="s">
        <v>1089</v>
      </c>
      <c r="L45" s="269">
        <v>246</v>
      </c>
      <c r="M45" s="350"/>
      <c r="N45" s="351"/>
      <c r="O45" s="504" t="s">
        <v>3965</v>
      </c>
      <c r="P45" s="484"/>
      <c r="Q45" s="37"/>
    </row>
    <row r="46" spans="1:254">
      <c r="A46" s="492"/>
      <c r="B46" s="325" t="s">
        <v>3850</v>
      </c>
      <c r="C46" s="252"/>
      <c r="D46" s="250"/>
      <c r="E46" s="489" t="s">
        <v>4012</v>
      </c>
      <c r="F46" s="251">
        <v>42736</v>
      </c>
      <c r="G46" s="262"/>
      <c r="H46" s="262"/>
      <c r="I46" s="262"/>
      <c r="J46" s="262" t="s">
        <v>3960</v>
      </c>
      <c r="K46" s="257" t="s">
        <v>1089</v>
      </c>
      <c r="L46" s="269">
        <v>2</v>
      </c>
      <c r="M46" s="144"/>
      <c r="N46" s="241"/>
      <c r="O46" s="253" t="s">
        <v>3852</v>
      </c>
      <c r="P46" s="504" t="s">
        <v>474</v>
      </c>
      <c r="Q46" s="188"/>
    </row>
    <row r="47" spans="1:254" ht="25.5">
      <c r="A47" s="451"/>
      <c r="B47" s="327" t="s">
        <v>5108</v>
      </c>
      <c r="C47" s="504"/>
      <c r="D47" s="504"/>
      <c r="E47" s="501" t="s">
        <v>5107</v>
      </c>
      <c r="F47" s="151">
        <v>42767</v>
      </c>
      <c r="G47" s="504"/>
      <c r="H47" s="504"/>
      <c r="I47" s="504"/>
      <c r="J47" s="504" t="s">
        <v>5109</v>
      </c>
      <c r="K47" s="504" t="s">
        <v>1089</v>
      </c>
      <c r="L47" s="269">
        <v>18.600000000000001</v>
      </c>
      <c r="M47" s="504"/>
      <c r="N47" s="504"/>
      <c r="O47" s="351" t="s">
        <v>1914</v>
      </c>
      <c r="P47" s="504"/>
      <c r="Q47" s="504"/>
    </row>
    <row r="48" spans="1:254" ht="25.5">
      <c r="A48" s="504"/>
      <c r="B48" s="327" t="s">
        <v>5105</v>
      </c>
      <c r="C48" s="252"/>
      <c r="D48" s="492"/>
      <c r="E48" s="501" t="s">
        <v>5110</v>
      </c>
      <c r="F48" s="151">
        <v>42767</v>
      </c>
      <c r="G48" s="504" t="s">
        <v>5106</v>
      </c>
      <c r="H48" s="504"/>
      <c r="I48" s="504"/>
      <c r="J48" s="37" t="s">
        <v>5109</v>
      </c>
      <c r="K48" s="257" t="s">
        <v>1089</v>
      </c>
      <c r="L48" s="269">
        <v>20</v>
      </c>
      <c r="M48" s="350">
        <v>56</v>
      </c>
      <c r="N48" s="350"/>
      <c r="O48" s="351" t="s">
        <v>1914</v>
      </c>
      <c r="P48" s="492"/>
      <c r="Q48" s="484"/>
    </row>
    <row r="49" spans="1:17" ht="25.5">
      <c r="A49" s="502"/>
      <c r="B49" s="327" t="s">
        <v>4772</v>
      </c>
      <c r="C49" s="252"/>
      <c r="D49" s="257"/>
      <c r="E49" s="209" t="s">
        <v>4773</v>
      </c>
      <c r="F49" s="151">
        <v>42767</v>
      </c>
      <c r="G49" s="262" t="s">
        <v>4950</v>
      </c>
      <c r="H49" s="262">
        <v>60311</v>
      </c>
      <c r="I49" s="262"/>
      <c r="J49" s="262" t="s">
        <v>4774</v>
      </c>
      <c r="K49" s="257" t="s">
        <v>1089</v>
      </c>
      <c r="L49" s="269">
        <v>11.4</v>
      </c>
      <c r="M49" s="144"/>
      <c r="N49" s="241"/>
      <c r="O49" s="154" t="s">
        <v>1914</v>
      </c>
      <c r="P49" s="262"/>
      <c r="Q49" s="264"/>
    </row>
    <row r="50" spans="1:17" s="259" customFormat="1" ht="27" customHeight="1">
      <c r="A50" s="502"/>
      <c r="B50" s="326" t="s">
        <v>4768</v>
      </c>
      <c r="C50" s="252"/>
      <c r="D50" s="257"/>
      <c r="E50" s="209" t="s">
        <v>4776</v>
      </c>
      <c r="F50" s="151">
        <v>42887</v>
      </c>
      <c r="G50" s="262" t="s">
        <v>4951</v>
      </c>
      <c r="H50" s="262">
        <v>59976</v>
      </c>
      <c r="I50" s="262"/>
      <c r="J50" s="262" t="s">
        <v>4717</v>
      </c>
      <c r="K50" s="257" t="s">
        <v>1089</v>
      </c>
      <c r="L50" s="269">
        <v>100</v>
      </c>
      <c r="M50" s="144"/>
      <c r="N50" s="241"/>
      <c r="O50" s="134" t="s">
        <v>1702</v>
      </c>
      <c r="P50" s="504"/>
      <c r="Q50" s="264"/>
    </row>
    <row r="51" spans="1:17" s="259" customFormat="1" ht="27" customHeight="1">
      <c r="A51" s="143"/>
      <c r="B51" s="326" t="s">
        <v>4775</v>
      </c>
      <c r="C51" s="252"/>
      <c r="D51" s="257"/>
      <c r="E51" s="209" t="s">
        <v>4777</v>
      </c>
      <c r="F51" s="151">
        <v>42887</v>
      </c>
      <c r="G51" s="262" t="s">
        <v>3896</v>
      </c>
      <c r="H51" s="262">
        <v>59977</v>
      </c>
      <c r="I51" s="262"/>
      <c r="J51" s="262" t="s">
        <v>4717</v>
      </c>
      <c r="K51" s="257" t="s">
        <v>1089</v>
      </c>
      <c r="L51" s="269">
        <v>75</v>
      </c>
      <c r="M51" s="144"/>
      <c r="N51" s="241"/>
      <c r="O51" s="134" t="s">
        <v>1702</v>
      </c>
      <c r="P51" s="254"/>
      <c r="Q51" s="264"/>
    </row>
    <row r="52" spans="1:17" s="259" customFormat="1" ht="27" customHeight="1">
      <c r="A52" s="502"/>
      <c r="B52" s="327" t="s">
        <v>5068</v>
      </c>
      <c r="C52" s="252"/>
      <c r="D52" s="250"/>
      <c r="E52" s="209" t="s">
        <v>5067</v>
      </c>
      <c r="F52" s="151">
        <v>42978</v>
      </c>
      <c r="G52" s="262" t="s">
        <v>5070</v>
      </c>
      <c r="H52" s="262"/>
      <c r="I52" s="262"/>
      <c r="J52" s="492" t="s">
        <v>4717</v>
      </c>
      <c r="K52" s="257" t="s">
        <v>1089</v>
      </c>
      <c r="L52" s="269" t="s">
        <v>4959</v>
      </c>
      <c r="M52" s="144">
        <v>55.5</v>
      </c>
      <c r="N52" s="241"/>
      <c r="O52" s="154" t="s">
        <v>5069</v>
      </c>
      <c r="P52" s="262"/>
      <c r="Q52" s="264"/>
    </row>
    <row r="53" spans="1:17" s="259" customFormat="1" ht="27" customHeight="1">
      <c r="A53" s="502" t="s">
        <v>4929</v>
      </c>
      <c r="B53" s="326" t="s">
        <v>4928</v>
      </c>
      <c r="C53" s="492"/>
      <c r="D53" s="257"/>
      <c r="E53" s="209" t="s">
        <v>4930</v>
      </c>
      <c r="F53" s="151">
        <v>42736</v>
      </c>
      <c r="G53" s="262" t="s">
        <v>4931</v>
      </c>
      <c r="H53" s="262"/>
      <c r="I53" s="262"/>
      <c r="J53" s="262"/>
      <c r="K53" s="257" t="s">
        <v>1089</v>
      </c>
      <c r="L53" s="269"/>
      <c r="M53" s="144"/>
      <c r="N53" s="241"/>
      <c r="O53" s="134" t="s">
        <v>1702</v>
      </c>
      <c r="P53" s="504"/>
      <c r="Q53" s="264"/>
    </row>
    <row r="54" spans="1:17" s="259" customFormat="1" ht="27" customHeight="1">
      <c r="A54" s="504"/>
      <c r="B54" s="352" t="s">
        <v>3961</v>
      </c>
      <c r="C54" s="252"/>
      <c r="D54" s="492"/>
      <c r="E54" s="501" t="s">
        <v>4013</v>
      </c>
      <c r="F54" s="500">
        <v>42769</v>
      </c>
      <c r="G54" s="504" t="s">
        <v>5103</v>
      </c>
      <c r="H54" s="504">
        <v>59250</v>
      </c>
      <c r="I54" s="504"/>
      <c r="J54" s="37"/>
      <c r="K54" s="257" t="s">
        <v>1089</v>
      </c>
      <c r="L54" s="269">
        <v>20</v>
      </c>
      <c r="M54" s="350">
        <v>55.79</v>
      </c>
      <c r="N54" s="350">
        <v>2.2000000000000002</v>
      </c>
      <c r="O54" s="351" t="s">
        <v>1702</v>
      </c>
      <c r="P54" s="262"/>
      <c r="Q54" s="484"/>
    </row>
    <row r="55" spans="1:17" ht="25.5">
      <c r="A55" s="261"/>
      <c r="B55" s="349" t="s">
        <v>4546</v>
      </c>
      <c r="C55" s="107"/>
      <c r="D55" s="260" t="s">
        <v>4545</v>
      </c>
      <c r="E55" s="107" t="s">
        <v>5198</v>
      </c>
      <c r="F55" s="156">
        <v>43100</v>
      </c>
      <c r="G55" s="257"/>
      <c r="H55" s="107"/>
      <c r="I55" s="107"/>
      <c r="J55" s="107"/>
      <c r="K55" s="492" t="s">
        <v>1089</v>
      </c>
      <c r="L55" s="269">
        <v>60</v>
      </c>
      <c r="M55" s="107"/>
      <c r="N55" s="107"/>
      <c r="O55" s="107"/>
      <c r="P55" s="107"/>
      <c r="Q55" s="107"/>
    </row>
    <row r="56" spans="1:17" s="259" customFormat="1" ht="27" customHeight="1">
      <c r="A56" s="504"/>
      <c r="B56" s="189" t="s">
        <v>4955</v>
      </c>
      <c r="C56" s="252"/>
      <c r="D56" s="492"/>
      <c r="E56" s="501" t="s">
        <v>4953</v>
      </c>
      <c r="F56" s="452">
        <v>42885</v>
      </c>
      <c r="G56" s="504" t="s">
        <v>4957</v>
      </c>
      <c r="H56" s="504"/>
      <c r="I56" s="504"/>
      <c r="J56" s="37"/>
      <c r="K56" s="257" t="s">
        <v>1089</v>
      </c>
      <c r="L56" s="269" t="s">
        <v>4959</v>
      </c>
      <c r="M56" s="263"/>
      <c r="N56" s="263"/>
      <c r="O56" s="350" t="s">
        <v>3954</v>
      </c>
      <c r="P56" s="262"/>
      <c r="Q56" s="484"/>
    </row>
    <row r="57" spans="1:17" s="259" customFormat="1" ht="27" customHeight="1">
      <c r="A57" s="504"/>
      <c r="B57" s="189" t="s">
        <v>4956</v>
      </c>
      <c r="C57" s="492"/>
      <c r="D57" s="492"/>
      <c r="E57" s="501" t="s">
        <v>4954</v>
      </c>
      <c r="F57" s="452">
        <v>42736</v>
      </c>
      <c r="G57" s="504" t="s">
        <v>4958</v>
      </c>
      <c r="H57" s="504"/>
      <c r="I57" s="504"/>
      <c r="J57" s="37"/>
      <c r="K57" s="257" t="s">
        <v>1089</v>
      </c>
      <c r="L57" s="269">
        <v>1.5</v>
      </c>
      <c r="M57" s="263"/>
      <c r="N57" s="263"/>
      <c r="O57" s="350" t="s">
        <v>3954</v>
      </c>
      <c r="P57" s="262"/>
      <c r="Q57" s="484"/>
    </row>
    <row r="58" spans="1:17" s="259" customFormat="1" ht="27" customHeight="1">
      <c r="A58" s="504"/>
      <c r="B58" s="189" t="s">
        <v>4693</v>
      </c>
      <c r="C58" s="492"/>
      <c r="D58" s="492"/>
      <c r="E58" s="501" t="s">
        <v>4695</v>
      </c>
      <c r="F58" s="500">
        <v>43070</v>
      </c>
      <c r="G58" s="504" t="s">
        <v>4696</v>
      </c>
      <c r="H58" s="504"/>
      <c r="I58" s="492"/>
      <c r="J58" s="262"/>
      <c r="K58" s="257" t="s">
        <v>1089</v>
      </c>
      <c r="L58" s="269">
        <v>90</v>
      </c>
      <c r="M58" s="350"/>
      <c r="N58" s="351"/>
      <c r="O58" s="504" t="s">
        <v>1702</v>
      </c>
      <c r="P58" s="484"/>
      <c r="Q58" s="37"/>
    </row>
    <row r="59" spans="1:17" s="259" customFormat="1" ht="27" customHeight="1">
      <c r="A59" s="502" t="s">
        <v>5001</v>
      </c>
      <c r="B59" s="337" t="s">
        <v>5002</v>
      </c>
      <c r="C59" s="260"/>
      <c r="D59" s="257"/>
      <c r="E59" s="209" t="s">
        <v>3005</v>
      </c>
      <c r="F59" s="151">
        <v>42736</v>
      </c>
      <c r="G59" s="262" t="s">
        <v>5003</v>
      </c>
      <c r="H59" s="262"/>
      <c r="I59" s="262"/>
      <c r="J59" s="262"/>
      <c r="K59" s="257" t="s">
        <v>1089</v>
      </c>
      <c r="L59" s="269">
        <v>1</v>
      </c>
      <c r="M59" s="144">
        <v>1.9</v>
      </c>
      <c r="N59" s="241">
        <v>1.3</v>
      </c>
      <c r="O59" s="134"/>
      <c r="P59" s="504"/>
      <c r="Q59" s="264"/>
    </row>
    <row r="60" spans="1:17" s="259" customFormat="1" ht="27" customHeight="1">
      <c r="A60" s="502"/>
      <c r="B60" s="327" t="s">
        <v>5061</v>
      </c>
      <c r="C60" s="492"/>
      <c r="D60" s="250"/>
      <c r="E60" s="209" t="s">
        <v>5060</v>
      </c>
      <c r="F60" s="151">
        <v>42887</v>
      </c>
      <c r="G60" s="262"/>
      <c r="H60" s="262"/>
      <c r="I60" s="262"/>
      <c r="J60" s="492" t="s">
        <v>5062</v>
      </c>
      <c r="K60" s="257" t="s">
        <v>1089</v>
      </c>
      <c r="L60" s="269" t="s">
        <v>4959</v>
      </c>
      <c r="M60" s="144"/>
      <c r="N60" s="241"/>
      <c r="O60" s="154"/>
      <c r="P60" s="262"/>
      <c r="Q60" s="264"/>
    </row>
    <row r="61" spans="1:17" s="259" customFormat="1" ht="27" customHeight="1">
      <c r="A61" s="502"/>
      <c r="B61" s="327" t="s">
        <v>5064</v>
      </c>
      <c r="C61" s="492"/>
      <c r="D61" s="250"/>
      <c r="E61" s="209" t="s">
        <v>5063</v>
      </c>
      <c r="F61" s="151">
        <v>42887</v>
      </c>
      <c r="G61" s="262" t="s">
        <v>5066</v>
      </c>
      <c r="H61" s="262"/>
      <c r="I61" s="262"/>
      <c r="J61" s="492" t="s">
        <v>5062</v>
      </c>
      <c r="K61" s="257" t="s">
        <v>1089</v>
      </c>
      <c r="L61" s="269" t="s">
        <v>5065</v>
      </c>
      <c r="M61" s="144">
        <v>43</v>
      </c>
      <c r="N61" s="241"/>
      <c r="O61" s="154"/>
      <c r="P61" s="262"/>
      <c r="Q61" s="264"/>
    </row>
    <row r="62" spans="1:17" s="259" customFormat="1" ht="27" customHeight="1">
      <c r="A62" s="261"/>
      <c r="B62" s="428" t="s">
        <v>4616</v>
      </c>
      <c r="C62" s="107"/>
      <c r="D62" s="260" t="s">
        <v>4615</v>
      </c>
      <c r="E62" s="107" t="s">
        <v>5227</v>
      </c>
      <c r="F62" s="156">
        <v>43100</v>
      </c>
      <c r="G62" s="257"/>
      <c r="H62" s="107"/>
      <c r="I62" s="107"/>
      <c r="J62" s="107"/>
      <c r="K62" s="492" t="s">
        <v>1089</v>
      </c>
      <c r="L62" s="269">
        <v>45</v>
      </c>
      <c r="M62" s="107"/>
      <c r="N62" s="107"/>
      <c r="O62" s="107"/>
      <c r="P62" s="107"/>
      <c r="Q62" s="107"/>
    </row>
    <row r="63" spans="1:17" s="511" customFormat="1" ht="27" customHeight="1">
      <c r="A63" s="502" t="s">
        <v>4782</v>
      </c>
      <c r="B63" s="337" t="s">
        <v>4781</v>
      </c>
      <c r="C63" s="492"/>
      <c r="D63" s="257"/>
      <c r="E63" s="209"/>
      <c r="F63" s="151">
        <v>42736</v>
      </c>
      <c r="G63" s="262" t="s">
        <v>3681</v>
      </c>
      <c r="H63" s="262">
        <v>60086</v>
      </c>
      <c r="I63" s="262"/>
      <c r="J63" s="262" t="s">
        <v>1608</v>
      </c>
      <c r="K63" s="257" t="s">
        <v>1089</v>
      </c>
      <c r="L63" s="269">
        <v>3</v>
      </c>
      <c r="M63" s="144"/>
      <c r="N63" s="241"/>
      <c r="O63" s="134" t="s">
        <v>1583</v>
      </c>
      <c r="P63" s="504" t="s">
        <v>475</v>
      </c>
      <c r="Q63" s="264">
        <v>20</v>
      </c>
    </row>
    <row r="64" spans="1:17" s="511" customFormat="1" ht="27" customHeight="1">
      <c r="A64" s="502" t="s">
        <v>1181</v>
      </c>
      <c r="B64" s="327" t="s">
        <v>1614</v>
      </c>
      <c r="C64" s="492"/>
      <c r="D64" s="257"/>
      <c r="E64" s="209" t="s">
        <v>3997</v>
      </c>
      <c r="F64" s="151">
        <v>42736</v>
      </c>
      <c r="G64" s="262"/>
      <c r="H64" s="262"/>
      <c r="I64" s="262"/>
      <c r="J64" s="262" t="s">
        <v>1600</v>
      </c>
      <c r="K64" s="257" t="s">
        <v>1089</v>
      </c>
      <c r="L64" s="269">
        <v>10</v>
      </c>
      <c r="M64" s="144"/>
      <c r="N64" s="241"/>
      <c r="O64" s="154" t="s">
        <v>1604</v>
      </c>
      <c r="P64" s="262" t="s">
        <v>477</v>
      </c>
      <c r="Q64" s="264"/>
    </row>
    <row r="65" spans="1:254" s="259" customFormat="1" ht="27" customHeight="1">
      <c r="A65" s="502"/>
      <c r="B65" s="335" t="s">
        <v>3894</v>
      </c>
      <c r="C65" s="492"/>
      <c r="D65" s="257" t="s">
        <v>4669</v>
      </c>
      <c r="E65" s="209" t="s">
        <v>3999</v>
      </c>
      <c r="F65" s="151">
        <v>42736</v>
      </c>
      <c r="G65" s="262" t="s">
        <v>3895</v>
      </c>
      <c r="H65" s="262">
        <v>58627</v>
      </c>
      <c r="I65" s="262"/>
      <c r="J65" s="492"/>
      <c r="K65" s="257" t="s">
        <v>1089</v>
      </c>
      <c r="L65" s="269">
        <v>10</v>
      </c>
      <c r="M65" s="144">
        <v>30</v>
      </c>
      <c r="N65" s="241">
        <v>0</v>
      </c>
      <c r="O65" s="154" t="s">
        <v>1583</v>
      </c>
      <c r="P65" s="262" t="s">
        <v>3895</v>
      </c>
      <c r="Q65" s="264">
        <v>20</v>
      </c>
    </row>
    <row r="66" spans="1:254" s="259" customFormat="1" ht="27" customHeight="1">
      <c r="A66" s="502" t="s">
        <v>4962</v>
      </c>
      <c r="B66" s="327" t="s">
        <v>4961</v>
      </c>
      <c r="C66" s="492"/>
      <c r="D66" s="250"/>
      <c r="E66" s="209" t="s">
        <v>4960</v>
      </c>
      <c r="F66" s="151">
        <v>42767</v>
      </c>
      <c r="G66" s="262" t="s">
        <v>4964</v>
      </c>
      <c r="H66" s="262"/>
      <c r="I66" s="262"/>
      <c r="J66" s="492" t="s">
        <v>4963</v>
      </c>
      <c r="K66" s="257" t="s">
        <v>1089</v>
      </c>
      <c r="L66" s="269">
        <v>20</v>
      </c>
      <c r="M66" s="144"/>
      <c r="N66" s="241"/>
      <c r="O66" s="154" t="s">
        <v>3954</v>
      </c>
      <c r="P66" s="262"/>
      <c r="Q66" s="264"/>
    </row>
    <row r="67" spans="1:254" s="255" customFormat="1" ht="27" customHeight="1">
      <c r="A67" s="590"/>
      <c r="B67" s="263" t="s">
        <v>5524</v>
      </c>
      <c r="C67" s="391"/>
      <c r="D67" s="263"/>
      <c r="E67" s="591"/>
      <c r="F67" s="592">
        <v>42842</v>
      </c>
      <c r="G67" s="221"/>
      <c r="H67" s="221"/>
      <c r="I67" s="263"/>
      <c r="J67" s="592" t="s">
        <v>5525</v>
      </c>
      <c r="K67" s="257" t="s">
        <v>1089</v>
      </c>
      <c r="L67" s="595">
        <v>20</v>
      </c>
      <c r="M67" s="596"/>
      <c r="N67" s="597"/>
      <c r="O67" s="154" t="s">
        <v>3954</v>
      </c>
      <c r="P67" s="592" t="s">
        <v>5525</v>
      </c>
      <c r="Q67" s="593">
        <v>20</v>
      </c>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59"/>
      <c r="GE67" s="259"/>
      <c r="GF67" s="259"/>
      <c r="GG67" s="259"/>
      <c r="GH67" s="259"/>
      <c r="GI67" s="259"/>
      <c r="GJ67" s="259"/>
      <c r="GK67" s="259"/>
      <c r="GL67" s="259"/>
      <c r="GM67" s="259"/>
      <c r="GN67" s="259"/>
      <c r="GO67" s="259"/>
      <c r="GP67" s="259"/>
      <c r="GQ67" s="259"/>
      <c r="GR67" s="259"/>
      <c r="GS67" s="259"/>
      <c r="GT67" s="259"/>
      <c r="GU67" s="259"/>
      <c r="GV67" s="259"/>
      <c r="GW67" s="259"/>
      <c r="GX67" s="259"/>
      <c r="GY67" s="259"/>
      <c r="GZ67" s="259"/>
      <c r="HA67" s="259"/>
      <c r="HB67" s="259"/>
      <c r="HC67" s="259"/>
      <c r="HD67" s="259"/>
      <c r="HE67" s="259"/>
      <c r="HF67" s="259"/>
      <c r="HG67" s="259"/>
      <c r="HH67" s="259"/>
      <c r="HI67" s="259"/>
      <c r="HJ67" s="259"/>
      <c r="HK67" s="259"/>
      <c r="HL67" s="259"/>
      <c r="HM67" s="259"/>
      <c r="HN67" s="259"/>
      <c r="HO67" s="259"/>
      <c r="HP67" s="259"/>
      <c r="HQ67" s="259"/>
      <c r="HR67" s="259"/>
      <c r="HS67" s="259"/>
      <c r="HT67" s="259"/>
      <c r="HU67" s="259"/>
      <c r="HV67" s="259"/>
      <c r="HW67" s="259"/>
      <c r="HX67" s="259"/>
      <c r="HY67" s="259"/>
      <c r="HZ67" s="259"/>
      <c r="IA67" s="259"/>
      <c r="IB67" s="259"/>
      <c r="IC67" s="259"/>
      <c r="ID67" s="259"/>
      <c r="IE67" s="259"/>
      <c r="IF67" s="259"/>
      <c r="IG67" s="259"/>
      <c r="IH67" s="259"/>
      <c r="II67" s="259"/>
      <c r="IJ67" s="259"/>
      <c r="IK67" s="259"/>
      <c r="IL67" s="259"/>
      <c r="IM67" s="259"/>
      <c r="IN67" s="259"/>
      <c r="IO67" s="259"/>
      <c r="IP67" s="259"/>
      <c r="IQ67" s="259"/>
      <c r="IR67" s="259"/>
      <c r="IS67" s="259"/>
      <c r="IT67" s="259"/>
    </row>
    <row r="68" spans="1:254" s="259" customFormat="1" ht="27" customHeight="1">
      <c r="A68" s="254"/>
      <c r="B68" s="257"/>
      <c r="C68" s="252"/>
      <c r="D68" s="206"/>
      <c r="E68" s="136"/>
      <c r="F68" s="251"/>
      <c r="G68" s="254"/>
      <c r="H68" s="254"/>
      <c r="I68" s="254"/>
      <c r="J68" s="206" t="s">
        <v>666</v>
      </c>
      <c r="K68" s="207"/>
      <c r="L68" s="358">
        <f>SUM(L3:L67)</f>
        <v>1747.8400000000001</v>
      </c>
      <c r="M68" s="208" t="e">
        <f>SUM(#REF!)</f>
        <v>#REF!</v>
      </c>
      <c r="N68" s="208" t="e">
        <f>SUM(#REF!)</f>
        <v>#REF!</v>
      </c>
      <c r="O68" s="254"/>
      <c r="P68" s="254"/>
      <c r="Q68" s="199"/>
    </row>
    <row r="69" spans="1:254" s="259" customFormat="1" ht="27" customHeight="1">
      <c r="A69" s="157" t="s">
        <v>3753</v>
      </c>
      <c r="B69" s="157"/>
      <c r="D69" s="157"/>
      <c r="E69" s="361"/>
      <c r="F69" s="85"/>
      <c r="G69" s="82"/>
      <c r="H69" s="82"/>
      <c r="I69" s="82"/>
      <c r="J69" s="157"/>
      <c r="K69" s="157"/>
      <c r="L69" s="353"/>
      <c r="M69" s="157"/>
      <c r="N69" s="157"/>
      <c r="O69" s="157"/>
      <c r="P69" s="82"/>
      <c r="Q69" s="201"/>
    </row>
    <row r="70" spans="1:254" s="259" customFormat="1" ht="27" customHeight="1">
      <c r="A70" s="157" t="s">
        <v>1255</v>
      </c>
      <c r="E70" s="360"/>
      <c r="F70" s="85"/>
      <c r="G70" s="83"/>
      <c r="H70" s="83"/>
      <c r="I70" s="83"/>
      <c r="L70" s="355"/>
      <c r="P70" s="83"/>
      <c r="Q70" s="202"/>
    </row>
    <row r="75" spans="1:254" s="83" customFormat="1">
      <c r="A75" s="87"/>
      <c r="B75" s="259"/>
      <c r="C75" s="74"/>
      <c r="D75" s="259"/>
      <c r="E75" s="360"/>
      <c r="F75" s="85"/>
      <c r="G75" s="398"/>
      <c r="I75" s="259"/>
      <c r="J75" s="85"/>
      <c r="K75" s="84"/>
      <c r="L75" s="356"/>
      <c r="M75" s="86"/>
      <c r="N75" s="80"/>
      <c r="P75" s="203"/>
      <c r="Q75" s="84"/>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59"/>
      <c r="DG75" s="259"/>
      <c r="DH75" s="259"/>
      <c r="DI75" s="259"/>
      <c r="DJ75" s="259"/>
      <c r="DK75" s="259"/>
      <c r="DL75" s="259"/>
      <c r="DM75" s="259"/>
      <c r="DN75" s="259"/>
      <c r="DO75" s="259"/>
      <c r="DP75" s="259"/>
      <c r="DQ75" s="259"/>
      <c r="DR75" s="259"/>
      <c r="DS75" s="259"/>
      <c r="DT75" s="259"/>
      <c r="DU75" s="259"/>
      <c r="DV75" s="259"/>
      <c r="DW75" s="259"/>
      <c r="DX75" s="259"/>
      <c r="DY75" s="259"/>
      <c r="DZ75" s="259"/>
      <c r="EA75" s="259"/>
      <c r="EB75" s="259"/>
      <c r="EC75" s="259"/>
      <c r="ED75" s="259"/>
      <c r="EE75" s="259"/>
      <c r="EF75" s="259"/>
      <c r="EG75" s="259"/>
      <c r="EH75" s="259"/>
      <c r="EI75" s="259"/>
      <c r="EJ75" s="259"/>
      <c r="EK75" s="259"/>
      <c r="EL75" s="259"/>
      <c r="EM75" s="259"/>
      <c r="EN75" s="259"/>
      <c r="EO75" s="259"/>
      <c r="EP75" s="259"/>
      <c r="EQ75" s="259"/>
      <c r="ER75" s="259"/>
      <c r="ES75" s="259"/>
      <c r="ET75" s="259"/>
      <c r="EU75" s="259"/>
      <c r="EV75" s="259"/>
      <c r="EW75" s="259"/>
      <c r="EX75" s="259"/>
      <c r="EY75" s="259"/>
      <c r="EZ75" s="259"/>
      <c r="FA75" s="259"/>
      <c r="FB75" s="259"/>
      <c r="FC75" s="259"/>
      <c r="FD75" s="259"/>
      <c r="FE75" s="259"/>
      <c r="FF75" s="259"/>
      <c r="FG75" s="259"/>
      <c r="FH75" s="259"/>
      <c r="FI75" s="259"/>
      <c r="FJ75" s="259"/>
      <c r="FK75" s="259"/>
      <c r="FL75" s="259"/>
      <c r="FM75" s="259"/>
      <c r="FN75" s="259"/>
      <c r="FO75" s="259"/>
      <c r="FP75" s="259"/>
      <c r="FQ75" s="259"/>
      <c r="FR75" s="259"/>
      <c r="FS75" s="259"/>
      <c r="FT75" s="259"/>
      <c r="FU75" s="259"/>
      <c r="FV75" s="259"/>
      <c r="FW75" s="259"/>
      <c r="FX75" s="259"/>
      <c r="FY75" s="259"/>
      <c r="FZ75" s="259"/>
      <c r="GA75" s="259"/>
      <c r="GB75" s="259"/>
      <c r="GC75" s="259"/>
      <c r="GD75" s="259"/>
      <c r="GE75" s="259"/>
      <c r="GF75" s="259"/>
      <c r="GG75" s="259"/>
      <c r="GH75" s="259"/>
      <c r="GI75" s="259"/>
      <c r="GJ75" s="259"/>
      <c r="GK75" s="259"/>
      <c r="GL75" s="259"/>
      <c r="GM75" s="259"/>
      <c r="GN75" s="259"/>
      <c r="GO75" s="259"/>
      <c r="GP75" s="259"/>
      <c r="GQ75" s="259"/>
      <c r="GR75" s="259"/>
      <c r="GS75" s="259"/>
      <c r="GT75" s="259"/>
      <c r="GU75" s="259"/>
      <c r="GV75" s="259"/>
      <c r="GW75" s="259"/>
      <c r="GX75" s="259"/>
      <c r="GY75" s="259"/>
      <c r="GZ75" s="259"/>
      <c r="HA75" s="259"/>
      <c r="HB75" s="259"/>
      <c r="HC75" s="259"/>
      <c r="HD75" s="259"/>
      <c r="HE75" s="259"/>
      <c r="HF75" s="259"/>
      <c r="HG75" s="259"/>
      <c r="HH75" s="259"/>
      <c r="HI75" s="259"/>
      <c r="HJ75" s="259"/>
      <c r="HK75" s="259"/>
      <c r="HL75" s="259"/>
      <c r="HM75" s="259"/>
      <c r="HN75" s="259"/>
      <c r="HO75" s="259"/>
      <c r="HP75" s="259"/>
      <c r="HQ75" s="259"/>
      <c r="HR75" s="259"/>
      <c r="HS75" s="259"/>
      <c r="HT75" s="259"/>
      <c r="HU75" s="259"/>
      <c r="HV75" s="259"/>
      <c r="HW75" s="259"/>
      <c r="HX75" s="259"/>
      <c r="HY75" s="259"/>
      <c r="HZ75" s="259"/>
      <c r="IA75" s="259"/>
      <c r="IB75" s="259"/>
      <c r="IC75" s="259"/>
      <c r="ID75" s="259"/>
      <c r="IE75" s="259"/>
      <c r="IF75" s="259"/>
      <c r="IG75" s="259"/>
      <c r="IH75" s="259"/>
      <c r="II75" s="259"/>
      <c r="IJ75" s="259"/>
      <c r="IK75" s="259"/>
      <c r="IL75" s="259"/>
      <c r="IM75" s="259"/>
      <c r="IN75" s="259"/>
      <c r="IO75" s="259"/>
      <c r="IP75" s="259"/>
      <c r="IQ75" s="259"/>
      <c r="IR75" s="259"/>
      <c r="IS75" s="259"/>
      <c r="IT75" s="259"/>
    </row>
    <row r="76" spans="1:254" s="83" customFormat="1">
      <c r="A76" s="87"/>
      <c r="B76" s="259"/>
      <c r="C76" s="74"/>
      <c r="D76" s="259"/>
      <c r="E76" s="360"/>
      <c r="F76" s="85"/>
      <c r="G76" s="398"/>
      <c r="I76" s="259"/>
      <c r="J76" s="85"/>
      <c r="K76" s="84"/>
      <c r="L76" s="356"/>
      <c r="M76" s="86"/>
      <c r="N76" s="80"/>
      <c r="P76" s="203"/>
      <c r="Q76" s="84"/>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59"/>
      <c r="DG76" s="259"/>
      <c r="DH76" s="259"/>
      <c r="DI76" s="259"/>
      <c r="DJ76" s="259"/>
      <c r="DK76" s="259"/>
      <c r="DL76" s="259"/>
      <c r="DM76" s="259"/>
      <c r="DN76" s="259"/>
      <c r="DO76" s="259"/>
      <c r="DP76" s="259"/>
      <c r="DQ76" s="259"/>
      <c r="DR76" s="259"/>
      <c r="DS76" s="259"/>
      <c r="DT76" s="259"/>
      <c r="DU76" s="259"/>
      <c r="DV76" s="259"/>
      <c r="DW76" s="259"/>
      <c r="DX76" s="259"/>
      <c r="DY76" s="259"/>
      <c r="DZ76" s="259"/>
      <c r="EA76" s="259"/>
      <c r="EB76" s="259"/>
      <c r="EC76" s="259"/>
      <c r="ED76" s="259"/>
      <c r="EE76" s="259"/>
      <c r="EF76" s="259"/>
      <c r="EG76" s="259"/>
      <c r="EH76" s="259"/>
      <c r="EI76" s="259"/>
      <c r="EJ76" s="259"/>
      <c r="EK76" s="259"/>
      <c r="EL76" s="259"/>
      <c r="EM76" s="259"/>
      <c r="EN76" s="259"/>
      <c r="EO76" s="259"/>
      <c r="EP76" s="259"/>
      <c r="EQ76" s="259"/>
      <c r="ER76" s="259"/>
      <c r="ES76" s="259"/>
      <c r="ET76" s="259"/>
      <c r="EU76" s="259"/>
      <c r="EV76" s="259"/>
      <c r="EW76" s="259"/>
      <c r="EX76" s="259"/>
      <c r="EY76" s="259"/>
      <c r="EZ76" s="259"/>
      <c r="FA76" s="259"/>
      <c r="FB76" s="259"/>
      <c r="FC76" s="259"/>
      <c r="FD76" s="259"/>
      <c r="FE76" s="259"/>
      <c r="FF76" s="259"/>
      <c r="FG76" s="259"/>
      <c r="FH76" s="259"/>
      <c r="FI76" s="259"/>
      <c r="FJ76" s="259"/>
      <c r="FK76" s="259"/>
      <c r="FL76" s="259"/>
      <c r="FM76" s="259"/>
      <c r="FN76" s="259"/>
      <c r="FO76" s="259"/>
      <c r="FP76" s="259"/>
      <c r="FQ76" s="259"/>
      <c r="FR76" s="259"/>
      <c r="FS76" s="259"/>
      <c r="FT76" s="259"/>
      <c r="FU76" s="259"/>
      <c r="FV76" s="259"/>
      <c r="FW76" s="259"/>
      <c r="FX76" s="259"/>
      <c r="FY76" s="259"/>
      <c r="FZ76" s="259"/>
      <c r="GA76" s="259"/>
      <c r="GB76" s="259"/>
      <c r="GC76" s="259"/>
      <c r="GD76" s="259"/>
      <c r="GE76" s="259"/>
      <c r="GF76" s="259"/>
      <c r="GG76" s="259"/>
      <c r="GH76" s="259"/>
      <c r="GI76" s="259"/>
      <c r="GJ76" s="259"/>
      <c r="GK76" s="259"/>
      <c r="GL76" s="259"/>
      <c r="GM76" s="259"/>
      <c r="GN76" s="259"/>
      <c r="GO76" s="259"/>
      <c r="GP76" s="259"/>
      <c r="GQ76" s="259"/>
      <c r="GR76" s="259"/>
      <c r="GS76" s="259"/>
      <c r="GT76" s="259"/>
      <c r="GU76" s="259"/>
      <c r="GV76" s="259"/>
      <c r="GW76" s="259"/>
      <c r="GX76" s="259"/>
      <c r="GY76" s="259"/>
      <c r="GZ76" s="259"/>
      <c r="HA76" s="259"/>
      <c r="HB76" s="259"/>
      <c r="HC76" s="259"/>
      <c r="HD76" s="259"/>
      <c r="HE76" s="259"/>
      <c r="HF76" s="259"/>
      <c r="HG76" s="259"/>
      <c r="HH76" s="259"/>
      <c r="HI76" s="259"/>
      <c r="HJ76" s="259"/>
      <c r="HK76" s="259"/>
      <c r="HL76" s="259"/>
      <c r="HM76" s="259"/>
      <c r="HN76" s="259"/>
      <c r="HO76" s="259"/>
      <c r="HP76" s="259"/>
      <c r="HQ76" s="259"/>
      <c r="HR76" s="259"/>
      <c r="HS76" s="259"/>
      <c r="HT76" s="259"/>
      <c r="HU76" s="259"/>
      <c r="HV76" s="259"/>
      <c r="HW76" s="259"/>
      <c r="HX76" s="259"/>
      <c r="HY76" s="259"/>
      <c r="HZ76" s="259"/>
      <c r="IA76" s="259"/>
      <c r="IB76" s="259"/>
      <c r="IC76" s="259"/>
      <c r="ID76" s="259"/>
      <c r="IE76" s="259"/>
      <c r="IF76" s="259"/>
      <c r="IG76" s="259"/>
      <c r="IH76" s="259"/>
      <c r="II76" s="259"/>
      <c r="IJ76" s="259"/>
      <c r="IK76" s="259"/>
      <c r="IL76" s="259"/>
      <c r="IM76" s="259"/>
      <c r="IN76" s="259"/>
      <c r="IO76" s="259"/>
      <c r="IP76" s="259"/>
      <c r="IQ76" s="259"/>
      <c r="IR76" s="259"/>
      <c r="IS76" s="259"/>
      <c r="IT76" s="259"/>
    </row>
  </sheetData>
  <autoFilter ref="A2:Q70">
    <sortState ref="A3:Q70">
      <sortCondition ref="B2:B70"/>
    </sortState>
  </autoFilter>
  <mergeCells count="1">
    <mergeCell ref="A1:Q1"/>
  </mergeCells>
  <conditionalFormatting sqref="D33">
    <cfRule type="duplicateValues" dxfId="18" priority="5"/>
  </conditionalFormatting>
  <conditionalFormatting sqref="D23">
    <cfRule type="duplicateValues" dxfId="17" priority="4"/>
  </conditionalFormatting>
  <pageMargins left="0.5" right="0.5" top="0" bottom="0" header="0" footer="0"/>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28"/>
  <sheetViews>
    <sheetView zoomScaleNormal="100" workbookViewId="0">
      <selection activeCell="A24" sqref="A24"/>
    </sheetView>
  </sheetViews>
  <sheetFormatPr defaultRowHeight="12.75"/>
  <cols>
    <col min="1" max="1" width="37" style="125" customWidth="1"/>
    <col min="2" max="2" width="20" style="125" customWidth="1"/>
    <col min="3" max="3" width="9.140625" style="125"/>
    <col min="4" max="4" width="14.42578125" style="125" customWidth="1"/>
    <col min="5" max="5" width="10.140625" style="125" bestFit="1" customWidth="1"/>
    <col min="6" max="6" width="10.7109375" style="125" customWidth="1"/>
    <col min="7" max="7" width="11.42578125" style="125" customWidth="1"/>
    <col min="8" max="8" width="11" style="125" customWidth="1"/>
    <col min="9" max="10" width="10.140625" style="125" bestFit="1" customWidth="1"/>
    <col min="11" max="11" width="9.140625" style="125"/>
    <col min="12" max="12" width="9.42578125" style="125" customWidth="1"/>
    <col min="13" max="13" width="11.5703125" style="125" bestFit="1" customWidth="1"/>
    <col min="14" max="14" width="9.140625" style="125"/>
    <col min="15" max="15" width="11.5703125" style="125" bestFit="1" customWidth="1"/>
    <col min="16" max="16384" width="9.140625" style="125"/>
  </cols>
  <sheetData>
    <row r="1" spans="1:24" ht="35.25" customHeight="1">
      <c r="A1" s="600" t="s">
        <v>1264</v>
      </c>
      <c r="B1" s="614"/>
      <c r="C1" s="614"/>
      <c r="D1" s="614"/>
      <c r="E1" s="614"/>
      <c r="F1" s="614"/>
      <c r="G1" s="614"/>
      <c r="H1" s="614"/>
      <c r="I1" s="614"/>
      <c r="J1" s="614"/>
      <c r="L1" s="239"/>
      <c r="M1" s="239"/>
      <c r="N1" s="239"/>
      <c r="O1" s="239"/>
      <c r="P1" s="239"/>
      <c r="Q1" s="239"/>
      <c r="R1" s="239"/>
      <c r="S1" s="239"/>
      <c r="T1" s="239"/>
      <c r="U1" s="239"/>
      <c r="V1" s="239"/>
      <c r="W1" s="239"/>
    </row>
    <row r="2" spans="1:24" s="129" customFormat="1" ht="63.75">
      <c r="A2" s="128" t="s">
        <v>0</v>
      </c>
      <c r="B2" s="128" t="s">
        <v>1</v>
      </c>
      <c r="C2" s="75" t="s">
        <v>3755</v>
      </c>
      <c r="D2" s="128" t="s">
        <v>2</v>
      </c>
      <c r="E2" s="128" t="s">
        <v>491</v>
      </c>
      <c r="F2" s="128" t="s">
        <v>1215</v>
      </c>
      <c r="G2" s="128" t="s">
        <v>2111</v>
      </c>
      <c r="H2" s="128" t="s">
        <v>2152</v>
      </c>
      <c r="I2" s="128" t="s">
        <v>1229</v>
      </c>
      <c r="J2" s="128" t="s">
        <v>489</v>
      </c>
      <c r="K2" s="235" t="s">
        <v>1503</v>
      </c>
      <c r="L2" s="114">
        <v>2019</v>
      </c>
      <c r="M2" s="114">
        <v>2020</v>
      </c>
      <c r="N2" s="114">
        <v>2021</v>
      </c>
      <c r="O2" s="114">
        <v>2022</v>
      </c>
      <c r="P2" s="114">
        <v>2023</v>
      </c>
      <c r="Q2" s="114">
        <v>2024</v>
      </c>
      <c r="R2" s="114">
        <v>2025</v>
      </c>
      <c r="S2" s="114">
        <v>2026</v>
      </c>
      <c r="T2" s="114">
        <v>2027</v>
      </c>
      <c r="U2" s="114">
        <v>2028</v>
      </c>
      <c r="V2" s="114">
        <v>2029</v>
      </c>
      <c r="W2" s="114">
        <v>2030</v>
      </c>
      <c r="X2" s="178"/>
    </row>
    <row r="3" spans="1:24" s="126" customFormat="1" ht="25.5" customHeight="1">
      <c r="A3" s="225"/>
      <c r="B3" s="225" t="s">
        <v>1994</v>
      </c>
      <c r="C3" s="225" t="s">
        <v>9</v>
      </c>
      <c r="D3" s="225" t="s">
        <v>10</v>
      </c>
      <c r="E3" s="105"/>
      <c r="F3" s="225"/>
      <c r="G3" s="225"/>
      <c r="H3" s="225" t="s">
        <v>1995</v>
      </c>
      <c r="I3" s="105">
        <v>47118</v>
      </c>
      <c r="J3" s="105"/>
      <c r="K3" s="236">
        <v>3.9279999999999999</v>
      </c>
      <c r="L3" s="232">
        <f>IF(YEAR($I3)&gt;=L$2,K3,0)</f>
        <v>3.9279999999999999</v>
      </c>
      <c r="M3" s="232">
        <f t="shared" ref="M3:W3" si="0">IF(YEAR($I3)&gt;=M$2,L3,0)</f>
        <v>3.9279999999999999</v>
      </c>
      <c r="N3" s="232">
        <f t="shared" si="0"/>
        <v>3.9279999999999999</v>
      </c>
      <c r="O3" s="232">
        <f t="shared" si="0"/>
        <v>3.9279999999999999</v>
      </c>
      <c r="P3" s="232">
        <f t="shared" si="0"/>
        <v>3.9279999999999999</v>
      </c>
      <c r="Q3" s="232">
        <f t="shared" si="0"/>
        <v>3.9279999999999999</v>
      </c>
      <c r="R3" s="232">
        <f t="shared" si="0"/>
        <v>3.9279999999999999</v>
      </c>
      <c r="S3" s="232">
        <f t="shared" si="0"/>
        <v>3.9279999999999999</v>
      </c>
      <c r="T3" s="232">
        <f t="shared" si="0"/>
        <v>3.9279999999999999</v>
      </c>
      <c r="U3" s="232">
        <f t="shared" si="0"/>
        <v>3.9279999999999999</v>
      </c>
      <c r="V3" s="232">
        <f t="shared" si="0"/>
        <v>0</v>
      </c>
      <c r="W3" s="232">
        <f t="shared" si="0"/>
        <v>0</v>
      </c>
      <c r="X3" s="229"/>
    </row>
    <row r="4" spans="1:24" s="126" customFormat="1" ht="25.5" customHeight="1">
      <c r="A4" s="225" t="s">
        <v>8</v>
      </c>
      <c r="B4" s="225" t="s">
        <v>1997</v>
      </c>
      <c r="C4" s="225" t="s">
        <v>9</v>
      </c>
      <c r="D4" s="225" t="s">
        <v>4</v>
      </c>
      <c r="E4" s="105">
        <v>38991</v>
      </c>
      <c r="F4" s="225" t="s">
        <v>2020</v>
      </c>
      <c r="G4" s="225"/>
      <c r="H4" s="225" t="s">
        <v>1999</v>
      </c>
      <c r="I4" s="105">
        <v>46295</v>
      </c>
      <c r="J4" s="105"/>
      <c r="K4" s="236">
        <v>572.15733333333344</v>
      </c>
      <c r="L4" s="232">
        <f t="shared" ref="L4:W4" si="1">IF(YEAR($I4)&gt;=L$2,K4,0)</f>
        <v>572.15733333333344</v>
      </c>
      <c r="M4" s="232">
        <f t="shared" si="1"/>
        <v>572.15733333333344</v>
      </c>
      <c r="N4" s="232">
        <f t="shared" si="1"/>
        <v>572.15733333333344</v>
      </c>
      <c r="O4" s="232">
        <f t="shared" si="1"/>
        <v>572.15733333333344</v>
      </c>
      <c r="P4" s="232">
        <f t="shared" si="1"/>
        <v>572.15733333333344</v>
      </c>
      <c r="Q4" s="232">
        <f t="shared" si="1"/>
        <v>572.15733333333344</v>
      </c>
      <c r="R4" s="232">
        <f t="shared" si="1"/>
        <v>572.15733333333344</v>
      </c>
      <c r="S4" s="232">
        <f t="shared" si="1"/>
        <v>572.15733333333344</v>
      </c>
      <c r="T4" s="232">
        <f t="shared" si="1"/>
        <v>0</v>
      </c>
      <c r="U4" s="232">
        <f t="shared" si="1"/>
        <v>0</v>
      </c>
      <c r="V4" s="232">
        <f t="shared" si="1"/>
        <v>0</v>
      </c>
      <c r="W4" s="232">
        <f t="shared" si="1"/>
        <v>0</v>
      </c>
      <c r="X4" s="229"/>
    </row>
    <row r="5" spans="1:24" s="126" customFormat="1" ht="25.5" customHeight="1">
      <c r="A5" s="225" t="s">
        <v>915</v>
      </c>
      <c r="B5" s="225" t="s">
        <v>1922</v>
      </c>
      <c r="C5" s="225" t="s">
        <v>467</v>
      </c>
      <c r="D5" s="225" t="s">
        <v>540</v>
      </c>
      <c r="E5" s="105">
        <v>40422</v>
      </c>
      <c r="F5" s="225" t="s">
        <v>2144</v>
      </c>
      <c r="G5" s="225" t="s">
        <v>2142</v>
      </c>
      <c r="H5" s="225" t="s">
        <v>474</v>
      </c>
      <c r="I5" s="105">
        <v>47118</v>
      </c>
      <c r="J5" s="234">
        <v>10</v>
      </c>
      <c r="K5" s="236">
        <v>19.377510000000001</v>
      </c>
      <c r="L5" s="232">
        <f t="shared" ref="L5:W5" si="2">IF(YEAR($I5)&gt;=L$2,K5,0)</f>
        <v>19.377510000000001</v>
      </c>
      <c r="M5" s="232">
        <f t="shared" si="2"/>
        <v>19.377510000000001</v>
      </c>
      <c r="N5" s="232">
        <f t="shared" si="2"/>
        <v>19.377510000000001</v>
      </c>
      <c r="O5" s="232">
        <f t="shared" si="2"/>
        <v>19.377510000000001</v>
      </c>
      <c r="P5" s="232">
        <f t="shared" si="2"/>
        <v>19.377510000000001</v>
      </c>
      <c r="Q5" s="232">
        <f t="shared" si="2"/>
        <v>19.377510000000001</v>
      </c>
      <c r="R5" s="232">
        <f t="shared" si="2"/>
        <v>19.377510000000001</v>
      </c>
      <c r="S5" s="232">
        <f t="shared" si="2"/>
        <v>19.377510000000001</v>
      </c>
      <c r="T5" s="232">
        <f t="shared" si="2"/>
        <v>19.377510000000001</v>
      </c>
      <c r="U5" s="232">
        <f t="shared" si="2"/>
        <v>19.377510000000001</v>
      </c>
      <c r="V5" s="232">
        <f t="shared" si="2"/>
        <v>0</v>
      </c>
      <c r="W5" s="232">
        <f t="shared" si="2"/>
        <v>0</v>
      </c>
      <c r="X5" s="229"/>
    </row>
    <row r="6" spans="1:24" s="126" customFormat="1" ht="25.5" customHeight="1">
      <c r="A6" s="225"/>
      <c r="B6" s="225" t="s">
        <v>2910</v>
      </c>
      <c r="C6" s="225" t="s">
        <v>1616</v>
      </c>
      <c r="D6" s="225" t="s">
        <v>4</v>
      </c>
      <c r="E6" s="105">
        <v>41275</v>
      </c>
      <c r="F6" s="225"/>
      <c r="G6" s="225"/>
      <c r="H6" s="225" t="s">
        <v>2909</v>
      </c>
      <c r="I6" s="105">
        <v>44926</v>
      </c>
      <c r="J6" s="234">
        <v>26</v>
      </c>
      <c r="K6" s="236">
        <v>64.516500000000008</v>
      </c>
      <c r="L6" s="232">
        <f t="shared" ref="L6:W6" si="3">IF(YEAR($I6)&gt;=L$2,K6,0)</f>
        <v>64.516500000000008</v>
      </c>
      <c r="M6" s="232">
        <f t="shared" si="3"/>
        <v>64.516500000000008</v>
      </c>
      <c r="N6" s="232">
        <f t="shared" si="3"/>
        <v>64.516500000000008</v>
      </c>
      <c r="O6" s="232">
        <f t="shared" si="3"/>
        <v>64.516500000000008</v>
      </c>
      <c r="P6" s="232">
        <f t="shared" si="3"/>
        <v>0</v>
      </c>
      <c r="Q6" s="232">
        <f t="shared" si="3"/>
        <v>0</v>
      </c>
      <c r="R6" s="232">
        <f t="shared" si="3"/>
        <v>0</v>
      </c>
      <c r="S6" s="232">
        <f t="shared" si="3"/>
        <v>0</v>
      </c>
      <c r="T6" s="232">
        <f t="shared" si="3"/>
        <v>0</v>
      </c>
      <c r="U6" s="232">
        <f t="shared" si="3"/>
        <v>0</v>
      </c>
      <c r="V6" s="232">
        <f t="shared" si="3"/>
        <v>0</v>
      </c>
      <c r="W6" s="232">
        <f t="shared" si="3"/>
        <v>0</v>
      </c>
      <c r="X6" s="229"/>
    </row>
    <row r="7" spans="1:24">
      <c r="A7" s="176"/>
      <c r="B7" s="176" t="s">
        <v>3010</v>
      </c>
      <c r="C7" s="176" t="s">
        <v>9</v>
      </c>
      <c r="D7" s="176" t="s">
        <v>3011</v>
      </c>
      <c r="E7" s="177"/>
      <c r="F7" s="176"/>
      <c r="G7" s="176"/>
      <c r="H7" s="176" t="s">
        <v>1995</v>
      </c>
      <c r="I7" s="177">
        <v>47118</v>
      </c>
      <c r="J7" s="176"/>
      <c r="K7" s="237">
        <v>10.227</v>
      </c>
      <c r="L7" s="232">
        <f t="shared" ref="L7:W7" si="4">IF(YEAR($I7)&gt;=L$2,K7,0)</f>
        <v>10.227</v>
      </c>
      <c r="M7" s="232">
        <f t="shared" si="4"/>
        <v>10.227</v>
      </c>
      <c r="N7" s="232">
        <f t="shared" si="4"/>
        <v>10.227</v>
      </c>
      <c r="O7" s="232">
        <f t="shared" si="4"/>
        <v>10.227</v>
      </c>
      <c r="P7" s="232">
        <f t="shared" si="4"/>
        <v>10.227</v>
      </c>
      <c r="Q7" s="232">
        <f t="shared" si="4"/>
        <v>10.227</v>
      </c>
      <c r="R7" s="232">
        <f t="shared" si="4"/>
        <v>10.227</v>
      </c>
      <c r="S7" s="232">
        <f t="shared" si="4"/>
        <v>10.227</v>
      </c>
      <c r="T7" s="232">
        <f t="shared" si="4"/>
        <v>10.227</v>
      </c>
      <c r="U7" s="232">
        <f t="shared" si="4"/>
        <v>10.227</v>
      </c>
      <c r="V7" s="232">
        <f t="shared" si="4"/>
        <v>0</v>
      </c>
      <c r="W7" s="232">
        <f t="shared" si="4"/>
        <v>0</v>
      </c>
      <c r="X7" s="175"/>
    </row>
    <row r="8" spans="1:24">
      <c r="A8" s="176" t="s">
        <v>5</v>
      </c>
      <c r="B8" s="176" t="s">
        <v>6</v>
      </c>
      <c r="C8" s="176" t="s">
        <v>3</v>
      </c>
      <c r="D8" s="176" t="s">
        <v>4</v>
      </c>
      <c r="E8" s="177">
        <v>39995</v>
      </c>
      <c r="F8" s="176" t="s">
        <v>1235</v>
      </c>
      <c r="G8" s="176"/>
      <c r="H8" s="176" t="s">
        <v>478</v>
      </c>
      <c r="I8" s="177">
        <v>44409</v>
      </c>
      <c r="J8" s="176">
        <v>34</v>
      </c>
      <c r="K8" s="237">
        <v>276.77780000000001</v>
      </c>
      <c r="L8" s="232">
        <f t="shared" ref="L8:W8" si="5">IF(YEAR($I8)&gt;=L$2,K8,0)</f>
        <v>276.77780000000001</v>
      </c>
      <c r="M8" s="232">
        <f t="shared" si="5"/>
        <v>276.77780000000001</v>
      </c>
      <c r="N8" s="232">
        <f t="shared" si="5"/>
        <v>276.77780000000001</v>
      </c>
      <c r="O8" s="232">
        <f t="shared" si="5"/>
        <v>0</v>
      </c>
      <c r="P8" s="232">
        <f t="shared" si="5"/>
        <v>0</v>
      </c>
      <c r="Q8" s="232">
        <f t="shared" si="5"/>
        <v>0</v>
      </c>
      <c r="R8" s="232">
        <f t="shared" si="5"/>
        <v>0</v>
      </c>
      <c r="S8" s="232">
        <f t="shared" si="5"/>
        <v>0</v>
      </c>
      <c r="T8" s="232">
        <f t="shared" si="5"/>
        <v>0</v>
      </c>
      <c r="U8" s="232">
        <f t="shared" si="5"/>
        <v>0</v>
      </c>
      <c r="V8" s="232">
        <f t="shared" si="5"/>
        <v>0</v>
      </c>
      <c r="W8" s="232">
        <f t="shared" si="5"/>
        <v>0</v>
      </c>
      <c r="X8" s="175"/>
    </row>
    <row r="9" spans="1:24" ht="12.75" customHeight="1">
      <c r="A9" s="230"/>
      <c r="B9" s="230" t="s">
        <v>3018</v>
      </c>
      <c r="C9" s="230" t="s">
        <v>2086</v>
      </c>
      <c r="D9" s="230" t="s">
        <v>4</v>
      </c>
      <c r="E9" s="231">
        <v>40618</v>
      </c>
      <c r="F9" s="230" t="s">
        <v>3020</v>
      </c>
      <c r="G9" s="230"/>
      <c r="H9" s="230" t="s">
        <v>3019</v>
      </c>
      <c r="I9" s="231">
        <v>45657</v>
      </c>
      <c r="J9" s="230">
        <v>151.19999999999999</v>
      </c>
      <c r="K9" s="237">
        <v>232.87100000000001</v>
      </c>
      <c r="L9" s="232">
        <f t="shared" ref="L9:W9" si="6">IF(YEAR($I9)&gt;=L$2,K9,0)</f>
        <v>232.87100000000001</v>
      </c>
      <c r="M9" s="232">
        <f t="shared" si="6"/>
        <v>232.87100000000001</v>
      </c>
      <c r="N9" s="232">
        <f t="shared" si="6"/>
        <v>232.87100000000001</v>
      </c>
      <c r="O9" s="232">
        <f t="shared" si="6"/>
        <v>232.87100000000001</v>
      </c>
      <c r="P9" s="232">
        <f t="shared" si="6"/>
        <v>232.87100000000001</v>
      </c>
      <c r="Q9" s="232">
        <f t="shared" si="6"/>
        <v>232.87100000000001</v>
      </c>
      <c r="R9" s="232">
        <f t="shared" si="6"/>
        <v>0</v>
      </c>
      <c r="S9" s="232">
        <f t="shared" si="6"/>
        <v>0</v>
      </c>
      <c r="T9" s="232">
        <f t="shared" si="6"/>
        <v>0</v>
      </c>
      <c r="U9" s="232">
        <f t="shared" si="6"/>
        <v>0</v>
      </c>
      <c r="V9" s="232">
        <f t="shared" si="6"/>
        <v>0</v>
      </c>
      <c r="W9" s="232">
        <f t="shared" si="6"/>
        <v>0</v>
      </c>
      <c r="X9" s="175"/>
    </row>
    <row r="10" spans="1:24">
      <c r="A10" s="176" t="s">
        <v>502</v>
      </c>
      <c r="B10" s="176" t="s">
        <v>501</v>
      </c>
      <c r="C10" s="176" t="s">
        <v>9</v>
      </c>
      <c r="D10" s="176" t="s">
        <v>13</v>
      </c>
      <c r="E10" s="177">
        <v>39448</v>
      </c>
      <c r="F10" s="176" t="s">
        <v>1216</v>
      </c>
      <c r="G10" s="176" t="s">
        <v>2237</v>
      </c>
      <c r="H10" s="176" t="s">
        <v>1920</v>
      </c>
      <c r="I10" s="177" t="s">
        <v>1230</v>
      </c>
      <c r="J10" s="176">
        <v>176</v>
      </c>
      <c r="K10" s="237">
        <v>478.67303333333331</v>
      </c>
      <c r="L10" s="232">
        <f>K10</f>
        <v>478.67303333333331</v>
      </c>
      <c r="M10" s="232">
        <f>K10/2</f>
        <v>239.33651666666665</v>
      </c>
      <c r="N10" s="232">
        <f t="shared" ref="N10" si="7">L10/2</f>
        <v>239.33651666666665</v>
      </c>
      <c r="O10" s="232">
        <f>M10</f>
        <v>239.33651666666665</v>
      </c>
      <c r="P10" s="232">
        <f>N10</f>
        <v>239.33651666666665</v>
      </c>
      <c r="Q10" s="232">
        <v>0</v>
      </c>
      <c r="R10" s="232">
        <v>0</v>
      </c>
      <c r="S10" s="232">
        <v>0</v>
      </c>
      <c r="T10" s="232">
        <v>0</v>
      </c>
      <c r="U10" s="232">
        <v>0</v>
      </c>
      <c r="V10" s="232">
        <v>0</v>
      </c>
      <c r="W10" s="232">
        <v>0</v>
      </c>
      <c r="X10" s="175"/>
    </row>
    <row r="11" spans="1:24">
      <c r="A11" s="176"/>
      <c r="B11" s="176" t="s">
        <v>1967</v>
      </c>
      <c r="C11" s="176" t="s">
        <v>9</v>
      </c>
      <c r="D11" s="176" t="s">
        <v>13</v>
      </c>
      <c r="E11" s="177">
        <v>38974</v>
      </c>
      <c r="F11" s="176"/>
      <c r="G11" s="176"/>
      <c r="H11" s="176" t="s">
        <v>3019</v>
      </c>
      <c r="I11" s="177">
        <v>45657</v>
      </c>
      <c r="J11" s="176">
        <v>100.5</v>
      </c>
      <c r="K11" s="237">
        <v>43.103000000000002</v>
      </c>
      <c r="L11" s="232">
        <f t="shared" ref="L11:W11" si="8">IF(YEAR($I11)&gt;=L$2,K11,0)</f>
        <v>43.103000000000002</v>
      </c>
      <c r="M11" s="232">
        <f t="shared" si="8"/>
        <v>43.103000000000002</v>
      </c>
      <c r="N11" s="232">
        <f t="shared" si="8"/>
        <v>43.103000000000002</v>
      </c>
      <c r="O11" s="232">
        <f t="shared" si="8"/>
        <v>43.103000000000002</v>
      </c>
      <c r="P11" s="232">
        <f t="shared" si="8"/>
        <v>43.103000000000002</v>
      </c>
      <c r="Q11" s="232">
        <f t="shared" si="8"/>
        <v>43.103000000000002</v>
      </c>
      <c r="R11" s="232">
        <f t="shared" si="8"/>
        <v>0</v>
      </c>
      <c r="S11" s="232">
        <f t="shared" si="8"/>
        <v>0</v>
      </c>
      <c r="T11" s="232">
        <f t="shared" si="8"/>
        <v>0</v>
      </c>
      <c r="U11" s="232">
        <f t="shared" si="8"/>
        <v>0</v>
      </c>
      <c r="V11" s="232">
        <f t="shared" si="8"/>
        <v>0</v>
      </c>
      <c r="W11" s="232">
        <f t="shared" si="8"/>
        <v>0</v>
      </c>
      <c r="X11" s="175"/>
    </row>
    <row r="12" spans="1:24">
      <c r="A12" s="176"/>
      <c r="B12" s="176" t="s">
        <v>3021</v>
      </c>
      <c r="C12" s="176" t="s">
        <v>9</v>
      </c>
      <c r="D12" s="176" t="s">
        <v>13</v>
      </c>
      <c r="E12" s="177">
        <v>40703</v>
      </c>
      <c r="F12" s="176"/>
      <c r="G12" s="176"/>
      <c r="H12" s="176" t="s">
        <v>3019</v>
      </c>
      <c r="I12" s="177">
        <v>45657</v>
      </c>
      <c r="J12" s="176">
        <v>201.3</v>
      </c>
      <c r="K12" s="237">
        <v>304.947</v>
      </c>
      <c r="L12" s="232">
        <f t="shared" ref="L12:W12" si="9">IF(YEAR($I12)&gt;=L$2,K12,0)</f>
        <v>304.947</v>
      </c>
      <c r="M12" s="232">
        <f t="shared" si="9"/>
        <v>304.947</v>
      </c>
      <c r="N12" s="232">
        <f t="shared" si="9"/>
        <v>304.947</v>
      </c>
      <c r="O12" s="232">
        <f t="shared" si="9"/>
        <v>304.947</v>
      </c>
      <c r="P12" s="232">
        <f t="shared" si="9"/>
        <v>304.947</v>
      </c>
      <c r="Q12" s="232">
        <f t="shared" si="9"/>
        <v>304.947</v>
      </c>
      <c r="R12" s="232">
        <f t="shared" si="9"/>
        <v>0</v>
      </c>
      <c r="S12" s="232">
        <f t="shared" si="9"/>
        <v>0</v>
      </c>
      <c r="T12" s="232">
        <f t="shared" si="9"/>
        <v>0</v>
      </c>
      <c r="U12" s="232">
        <f t="shared" si="9"/>
        <v>0</v>
      </c>
      <c r="V12" s="232">
        <f t="shared" si="9"/>
        <v>0</v>
      </c>
      <c r="W12" s="232">
        <f t="shared" si="9"/>
        <v>0</v>
      </c>
      <c r="X12" s="175"/>
    </row>
    <row r="13" spans="1:24">
      <c r="A13" s="176" t="s">
        <v>882</v>
      </c>
      <c r="B13" s="176" t="s">
        <v>1261</v>
      </c>
      <c r="C13" s="176" t="s">
        <v>9</v>
      </c>
      <c r="D13" s="176" t="s">
        <v>541</v>
      </c>
      <c r="E13" s="177">
        <v>40133</v>
      </c>
      <c r="F13" s="176"/>
      <c r="G13" s="176"/>
      <c r="H13" s="176" t="s">
        <v>1946</v>
      </c>
      <c r="I13" s="177">
        <v>47437</v>
      </c>
      <c r="J13" s="176">
        <v>203.5</v>
      </c>
      <c r="K13" s="237">
        <v>405.51120000000003</v>
      </c>
      <c r="L13" s="232">
        <f t="shared" ref="L13:W13" si="10">IF(YEAR($I13)&gt;=L$2,K13,0)</f>
        <v>405.51120000000003</v>
      </c>
      <c r="M13" s="232">
        <f t="shared" si="10"/>
        <v>405.51120000000003</v>
      </c>
      <c r="N13" s="232">
        <f t="shared" si="10"/>
        <v>405.51120000000003</v>
      </c>
      <c r="O13" s="232">
        <f t="shared" si="10"/>
        <v>405.51120000000003</v>
      </c>
      <c r="P13" s="232">
        <f t="shared" si="10"/>
        <v>405.51120000000003</v>
      </c>
      <c r="Q13" s="232">
        <f t="shared" si="10"/>
        <v>405.51120000000003</v>
      </c>
      <c r="R13" s="232">
        <f t="shared" si="10"/>
        <v>405.51120000000003</v>
      </c>
      <c r="S13" s="232">
        <f t="shared" si="10"/>
        <v>405.51120000000003</v>
      </c>
      <c r="T13" s="232">
        <f t="shared" si="10"/>
        <v>405.51120000000003</v>
      </c>
      <c r="U13" s="232">
        <f t="shared" si="10"/>
        <v>405.51120000000003</v>
      </c>
      <c r="V13" s="232">
        <f t="shared" si="10"/>
        <v>405.51120000000003</v>
      </c>
      <c r="W13" s="232">
        <f t="shared" si="10"/>
        <v>0</v>
      </c>
      <c r="X13" s="175"/>
    </row>
    <row r="14" spans="1:24" s="129" customFormat="1">
      <c r="A14" s="114" t="s">
        <v>912</v>
      </c>
      <c r="B14" s="114" t="s">
        <v>2365</v>
      </c>
      <c r="C14" s="114" t="s">
        <v>9</v>
      </c>
      <c r="D14" s="114" t="s">
        <v>15</v>
      </c>
      <c r="E14" s="228"/>
      <c r="F14" s="114" t="s">
        <v>2367</v>
      </c>
      <c r="G14" s="114" t="s">
        <v>2369</v>
      </c>
      <c r="H14" s="114" t="s">
        <v>477</v>
      </c>
      <c r="I14" s="228">
        <v>45288</v>
      </c>
      <c r="J14" s="114">
        <v>106.5</v>
      </c>
      <c r="K14" s="238">
        <v>284.6703</v>
      </c>
      <c r="L14" s="232">
        <f t="shared" ref="L14:W14" si="11">IF(YEAR($I14)&gt;=L$2,K14,0)</f>
        <v>284.6703</v>
      </c>
      <c r="M14" s="232">
        <f t="shared" si="11"/>
        <v>284.6703</v>
      </c>
      <c r="N14" s="232">
        <f t="shared" si="11"/>
        <v>284.6703</v>
      </c>
      <c r="O14" s="232">
        <f t="shared" si="11"/>
        <v>284.6703</v>
      </c>
      <c r="P14" s="232">
        <f t="shared" si="11"/>
        <v>284.6703</v>
      </c>
      <c r="Q14" s="232">
        <f t="shared" si="11"/>
        <v>0</v>
      </c>
      <c r="R14" s="232">
        <f t="shared" si="11"/>
        <v>0</v>
      </c>
      <c r="S14" s="232">
        <f t="shared" si="11"/>
        <v>0</v>
      </c>
      <c r="T14" s="232">
        <f t="shared" si="11"/>
        <v>0</v>
      </c>
      <c r="U14" s="232">
        <f t="shared" si="11"/>
        <v>0</v>
      </c>
      <c r="V14" s="232">
        <f t="shared" si="11"/>
        <v>0</v>
      </c>
      <c r="W14" s="232">
        <f t="shared" si="11"/>
        <v>0</v>
      </c>
      <c r="X14" s="178"/>
    </row>
    <row r="15" spans="1:24">
      <c r="A15" s="176" t="s">
        <v>912</v>
      </c>
      <c r="B15" s="176" t="s">
        <v>2366</v>
      </c>
      <c r="C15" s="176" t="s">
        <v>9</v>
      </c>
      <c r="D15" s="176" t="s">
        <v>15</v>
      </c>
      <c r="E15" s="177">
        <v>40107</v>
      </c>
      <c r="F15" s="176" t="s">
        <v>2368</v>
      </c>
      <c r="G15" s="176" t="s">
        <v>2370</v>
      </c>
      <c r="H15" s="177" t="s">
        <v>477</v>
      </c>
      <c r="I15" s="177">
        <v>45580</v>
      </c>
      <c r="J15" s="176">
        <v>103.5</v>
      </c>
      <c r="K15" s="237">
        <v>281.9015</v>
      </c>
      <c r="L15" s="232">
        <f t="shared" ref="L15:W15" si="12">IF(YEAR($I15)&gt;=L$2,K15,0)</f>
        <v>281.9015</v>
      </c>
      <c r="M15" s="232">
        <f t="shared" si="12"/>
        <v>281.9015</v>
      </c>
      <c r="N15" s="232">
        <f t="shared" si="12"/>
        <v>281.9015</v>
      </c>
      <c r="O15" s="232">
        <f t="shared" si="12"/>
        <v>281.9015</v>
      </c>
      <c r="P15" s="232">
        <f t="shared" si="12"/>
        <v>281.9015</v>
      </c>
      <c r="Q15" s="232">
        <f t="shared" si="12"/>
        <v>281.9015</v>
      </c>
      <c r="R15" s="232">
        <f t="shared" si="12"/>
        <v>0</v>
      </c>
      <c r="S15" s="232">
        <f t="shared" si="12"/>
        <v>0</v>
      </c>
      <c r="T15" s="232">
        <f t="shared" si="12"/>
        <v>0</v>
      </c>
      <c r="U15" s="232">
        <f t="shared" si="12"/>
        <v>0</v>
      </c>
      <c r="V15" s="232">
        <f t="shared" si="12"/>
        <v>0</v>
      </c>
      <c r="W15" s="232">
        <f t="shared" si="12"/>
        <v>0</v>
      </c>
      <c r="X15" s="175"/>
    </row>
    <row r="16" spans="1:24">
      <c r="A16" s="176"/>
      <c r="B16" s="176" t="s">
        <v>1981</v>
      </c>
      <c r="C16" s="176" t="s">
        <v>9</v>
      </c>
      <c r="D16" s="176" t="s">
        <v>4</v>
      </c>
      <c r="E16" s="177">
        <v>41791</v>
      </c>
      <c r="F16" s="176" t="s">
        <v>1983</v>
      </c>
      <c r="G16" s="176"/>
      <c r="H16" s="176" t="s">
        <v>1982</v>
      </c>
      <c r="I16" s="177">
        <v>42735</v>
      </c>
      <c r="J16" s="176"/>
      <c r="K16" s="237">
        <v>130.05000000000001</v>
      </c>
      <c r="L16" s="232">
        <f t="shared" ref="L16:W16" si="13">IF(YEAR($I16)&gt;=L$2,K16,0)</f>
        <v>0</v>
      </c>
      <c r="M16" s="232">
        <f t="shared" si="13"/>
        <v>0</v>
      </c>
      <c r="N16" s="232">
        <f t="shared" si="13"/>
        <v>0</v>
      </c>
      <c r="O16" s="232">
        <f t="shared" si="13"/>
        <v>0</v>
      </c>
      <c r="P16" s="232">
        <f t="shared" si="13"/>
        <v>0</v>
      </c>
      <c r="Q16" s="232">
        <f t="shared" si="13"/>
        <v>0</v>
      </c>
      <c r="R16" s="232">
        <f t="shared" si="13"/>
        <v>0</v>
      </c>
      <c r="S16" s="232">
        <f t="shared" si="13"/>
        <v>0</v>
      </c>
      <c r="T16" s="232">
        <f t="shared" si="13"/>
        <v>0</v>
      </c>
      <c r="U16" s="232">
        <f t="shared" si="13"/>
        <v>0</v>
      </c>
      <c r="V16" s="232">
        <f t="shared" si="13"/>
        <v>0</v>
      </c>
      <c r="W16" s="232">
        <f t="shared" si="13"/>
        <v>0</v>
      </c>
      <c r="X16" s="175"/>
    </row>
    <row r="17" spans="1:24">
      <c r="A17" s="176" t="s">
        <v>8</v>
      </c>
      <c r="B17" s="176" t="s">
        <v>469</v>
      </c>
      <c r="C17" s="176" t="s">
        <v>9</v>
      </c>
      <c r="D17" s="176" t="s">
        <v>486</v>
      </c>
      <c r="E17" s="177">
        <v>39903</v>
      </c>
      <c r="F17" s="176" t="s">
        <v>1240</v>
      </c>
      <c r="G17" s="176"/>
      <c r="H17" s="176" t="s">
        <v>1239</v>
      </c>
      <c r="I17" s="177">
        <v>46416</v>
      </c>
      <c r="J17" s="176">
        <v>98.7</v>
      </c>
      <c r="K17" s="237">
        <v>242.29651856000001</v>
      </c>
      <c r="L17" s="232">
        <f t="shared" ref="L17:W17" si="14">IF(YEAR($I17)&gt;=L$2,K17,0)</f>
        <v>242.29651856000001</v>
      </c>
      <c r="M17" s="232">
        <f t="shared" si="14"/>
        <v>242.29651856000001</v>
      </c>
      <c r="N17" s="232">
        <f t="shared" si="14"/>
        <v>242.29651856000001</v>
      </c>
      <c r="O17" s="232">
        <f t="shared" si="14"/>
        <v>242.29651856000001</v>
      </c>
      <c r="P17" s="232">
        <f t="shared" si="14"/>
        <v>242.29651856000001</v>
      </c>
      <c r="Q17" s="232">
        <f t="shared" si="14"/>
        <v>242.29651856000001</v>
      </c>
      <c r="R17" s="232">
        <f t="shared" si="14"/>
        <v>242.29651856000001</v>
      </c>
      <c r="S17" s="232">
        <f t="shared" si="14"/>
        <v>242.29651856000001</v>
      </c>
      <c r="T17" s="232">
        <f t="shared" si="14"/>
        <v>242.29651856000001</v>
      </c>
      <c r="U17" s="232">
        <f t="shared" si="14"/>
        <v>0</v>
      </c>
      <c r="V17" s="232">
        <f t="shared" si="14"/>
        <v>0</v>
      </c>
      <c r="W17" s="232">
        <f t="shared" si="14"/>
        <v>0</v>
      </c>
      <c r="X17" s="175"/>
    </row>
    <row r="18" spans="1:24">
      <c r="A18" s="176"/>
      <c r="B18" s="176" t="s">
        <v>2915</v>
      </c>
      <c r="C18" s="176" t="s">
        <v>2916</v>
      </c>
      <c r="D18" s="176" t="s">
        <v>10</v>
      </c>
      <c r="E18" s="177">
        <v>2013</v>
      </c>
      <c r="F18" s="176" t="s">
        <v>2917</v>
      </c>
      <c r="G18" s="176"/>
      <c r="H18" s="176" t="s">
        <v>2918</v>
      </c>
      <c r="I18" s="177">
        <v>44926</v>
      </c>
      <c r="J18" s="176">
        <v>10.5</v>
      </c>
      <c r="K18" s="237">
        <v>1.1599599999999999</v>
      </c>
      <c r="L18" s="232">
        <f t="shared" ref="L18:W18" si="15">IF(YEAR($I18)&gt;=L$2,K18,0)</f>
        <v>1.1599599999999999</v>
      </c>
      <c r="M18" s="232">
        <f t="shared" si="15"/>
        <v>1.1599599999999999</v>
      </c>
      <c r="N18" s="232">
        <f t="shared" si="15"/>
        <v>1.1599599999999999</v>
      </c>
      <c r="O18" s="232">
        <f t="shared" si="15"/>
        <v>1.1599599999999999</v>
      </c>
      <c r="P18" s="232">
        <f t="shared" si="15"/>
        <v>0</v>
      </c>
      <c r="Q18" s="232">
        <f t="shared" si="15"/>
        <v>0</v>
      </c>
      <c r="R18" s="232">
        <f t="shared" si="15"/>
        <v>0</v>
      </c>
      <c r="S18" s="232">
        <f t="shared" si="15"/>
        <v>0</v>
      </c>
      <c r="T18" s="232">
        <f t="shared" si="15"/>
        <v>0</v>
      </c>
      <c r="U18" s="232">
        <f t="shared" si="15"/>
        <v>0</v>
      </c>
      <c r="V18" s="232">
        <f t="shared" si="15"/>
        <v>0</v>
      </c>
      <c r="W18" s="232">
        <f t="shared" si="15"/>
        <v>0</v>
      </c>
      <c r="X18" s="175"/>
    </row>
    <row r="19" spans="1:24">
      <c r="A19" s="176" t="s">
        <v>11</v>
      </c>
      <c r="B19" s="176" t="s">
        <v>12</v>
      </c>
      <c r="C19" s="176" t="s">
        <v>9</v>
      </c>
      <c r="D19" s="176" t="s">
        <v>13</v>
      </c>
      <c r="E19" s="177">
        <v>39808</v>
      </c>
      <c r="F19" s="176" t="s">
        <v>1217</v>
      </c>
      <c r="G19" s="176" t="s">
        <v>2112</v>
      </c>
      <c r="H19" s="176" t="s">
        <v>474</v>
      </c>
      <c r="I19" s="177">
        <v>45295</v>
      </c>
      <c r="J19" s="176">
        <v>102.9</v>
      </c>
      <c r="K19" s="237">
        <v>220.4065603</v>
      </c>
      <c r="L19" s="232">
        <f t="shared" ref="L19:W19" si="16">IF(YEAR($I19)&gt;=L$2,K19,0)</f>
        <v>220.4065603</v>
      </c>
      <c r="M19" s="232">
        <f t="shared" si="16"/>
        <v>220.4065603</v>
      </c>
      <c r="N19" s="232">
        <f t="shared" si="16"/>
        <v>220.4065603</v>
      </c>
      <c r="O19" s="232">
        <f t="shared" si="16"/>
        <v>220.4065603</v>
      </c>
      <c r="P19" s="232">
        <f t="shared" si="16"/>
        <v>220.4065603</v>
      </c>
      <c r="Q19" s="232">
        <f t="shared" si="16"/>
        <v>220.4065603</v>
      </c>
      <c r="R19" s="232">
        <f t="shared" si="16"/>
        <v>0</v>
      </c>
      <c r="S19" s="232">
        <f t="shared" si="16"/>
        <v>0</v>
      </c>
      <c r="T19" s="232">
        <f t="shared" si="16"/>
        <v>0</v>
      </c>
      <c r="U19" s="232">
        <f t="shared" si="16"/>
        <v>0</v>
      </c>
      <c r="V19" s="232">
        <f t="shared" si="16"/>
        <v>0</v>
      </c>
      <c r="W19" s="232">
        <f t="shared" si="16"/>
        <v>0</v>
      </c>
      <c r="X19" s="175"/>
    </row>
    <row r="20" spans="1:24">
      <c r="A20" s="176"/>
      <c r="B20" s="176" t="s">
        <v>2071</v>
      </c>
      <c r="C20" s="176" t="s">
        <v>494</v>
      </c>
      <c r="D20" s="176" t="s">
        <v>541</v>
      </c>
      <c r="E20" s="177">
        <v>38899</v>
      </c>
      <c r="F20" s="176"/>
      <c r="G20" s="176"/>
      <c r="H20" s="176" t="s">
        <v>2072</v>
      </c>
      <c r="I20" s="177">
        <v>45291</v>
      </c>
      <c r="J20" s="176">
        <v>3.2</v>
      </c>
      <c r="K20" s="237">
        <v>8.5790000000000006</v>
      </c>
      <c r="L20" s="232">
        <f t="shared" ref="L20:W20" si="17">IF(YEAR($I20)&gt;=L$2,K20,0)</f>
        <v>8.5790000000000006</v>
      </c>
      <c r="M20" s="232">
        <f t="shared" si="17"/>
        <v>8.5790000000000006</v>
      </c>
      <c r="N20" s="232">
        <f t="shared" si="17"/>
        <v>8.5790000000000006</v>
      </c>
      <c r="O20" s="232">
        <f t="shared" si="17"/>
        <v>8.5790000000000006</v>
      </c>
      <c r="P20" s="232">
        <f t="shared" si="17"/>
        <v>8.5790000000000006</v>
      </c>
      <c r="Q20" s="232">
        <f t="shared" si="17"/>
        <v>0</v>
      </c>
      <c r="R20" s="232">
        <f t="shared" si="17"/>
        <v>0</v>
      </c>
      <c r="S20" s="232">
        <f t="shared" si="17"/>
        <v>0</v>
      </c>
      <c r="T20" s="232">
        <f t="shared" si="17"/>
        <v>0</v>
      </c>
      <c r="U20" s="232">
        <f t="shared" si="17"/>
        <v>0</v>
      </c>
      <c r="V20" s="232">
        <f t="shared" si="17"/>
        <v>0</v>
      </c>
      <c r="W20" s="232">
        <f t="shared" si="17"/>
        <v>0</v>
      </c>
      <c r="X20" s="175"/>
    </row>
    <row r="21" spans="1:24">
      <c r="A21" s="176"/>
      <c r="B21" s="176" t="s">
        <v>2049</v>
      </c>
      <c r="C21" s="176" t="s">
        <v>3</v>
      </c>
      <c r="D21" s="176" t="s">
        <v>4</v>
      </c>
      <c r="E21" s="177"/>
      <c r="F21" s="176" t="s">
        <v>3014</v>
      </c>
      <c r="G21" s="176"/>
      <c r="H21" s="176" t="s">
        <v>478</v>
      </c>
      <c r="I21" s="177">
        <v>42947</v>
      </c>
      <c r="J21" s="176"/>
      <c r="K21" s="237">
        <v>117.404</v>
      </c>
      <c r="L21" s="232">
        <f t="shared" ref="L21:W21" si="18">IF(YEAR($I21)&gt;=L$2,K21,0)</f>
        <v>0</v>
      </c>
      <c r="M21" s="232">
        <f t="shared" si="18"/>
        <v>0</v>
      </c>
      <c r="N21" s="232">
        <f t="shared" si="18"/>
        <v>0</v>
      </c>
      <c r="O21" s="232">
        <f t="shared" si="18"/>
        <v>0</v>
      </c>
      <c r="P21" s="232">
        <f t="shared" si="18"/>
        <v>0</v>
      </c>
      <c r="Q21" s="232">
        <f t="shared" si="18"/>
        <v>0</v>
      </c>
      <c r="R21" s="232">
        <f t="shared" si="18"/>
        <v>0</v>
      </c>
      <c r="S21" s="232">
        <f t="shared" si="18"/>
        <v>0</v>
      </c>
      <c r="T21" s="232">
        <f t="shared" si="18"/>
        <v>0</v>
      </c>
      <c r="U21" s="232">
        <f t="shared" si="18"/>
        <v>0</v>
      </c>
      <c r="V21" s="232">
        <f t="shared" si="18"/>
        <v>0</v>
      </c>
      <c r="W21" s="232">
        <f t="shared" si="18"/>
        <v>0</v>
      </c>
      <c r="X21" s="175"/>
    </row>
    <row r="22" spans="1:24">
      <c r="A22" s="176" t="s">
        <v>8</v>
      </c>
      <c r="B22" s="176" t="s">
        <v>470</v>
      </c>
      <c r="C22" s="176" t="s">
        <v>9</v>
      </c>
      <c r="D22" s="176" t="s">
        <v>13</v>
      </c>
      <c r="E22" s="177">
        <v>40235</v>
      </c>
      <c r="F22" s="176" t="s">
        <v>1243</v>
      </c>
      <c r="G22" s="176"/>
      <c r="H22" s="176" t="s">
        <v>1996</v>
      </c>
      <c r="I22" s="177">
        <v>47664</v>
      </c>
      <c r="J22" s="176">
        <v>98.7</v>
      </c>
      <c r="K22" s="237">
        <v>254.78781776</v>
      </c>
      <c r="L22" s="232">
        <f t="shared" ref="L22:W22" si="19">IF(YEAR($I22)&gt;=L$2,K22,0)</f>
        <v>254.78781776</v>
      </c>
      <c r="M22" s="232">
        <f t="shared" si="19"/>
        <v>254.78781776</v>
      </c>
      <c r="N22" s="232">
        <f t="shared" si="19"/>
        <v>254.78781776</v>
      </c>
      <c r="O22" s="232">
        <f t="shared" si="19"/>
        <v>254.78781776</v>
      </c>
      <c r="P22" s="232">
        <f t="shared" si="19"/>
        <v>254.78781776</v>
      </c>
      <c r="Q22" s="232">
        <f t="shared" si="19"/>
        <v>254.78781776</v>
      </c>
      <c r="R22" s="232">
        <f t="shared" si="19"/>
        <v>254.78781776</v>
      </c>
      <c r="S22" s="232">
        <f t="shared" si="19"/>
        <v>254.78781776</v>
      </c>
      <c r="T22" s="232">
        <f t="shared" si="19"/>
        <v>254.78781776</v>
      </c>
      <c r="U22" s="232">
        <f t="shared" si="19"/>
        <v>254.78781776</v>
      </c>
      <c r="V22" s="232">
        <f t="shared" si="19"/>
        <v>254.78781776</v>
      </c>
      <c r="W22" s="232">
        <f t="shared" si="19"/>
        <v>254.78781776</v>
      </c>
      <c r="X22" s="175"/>
    </row>
    <row r="23" spans="1:24">
      <c r="A23" s="176" t="s">
        <v>3769</v>
      </c>
      <c r="B23" s="176" t="s">
        <v>2066</v>
      </c>
      <c r="C23" s="176" t="s">
        <v>494</v>
      </c>
      <c r="D23" s="176" t="s">
        <v>541</v>
      </c>
      <c r="E23" s="177">
        <v>39904</v>
      </c>
      <c r="F23" s="176" t="s">
        <v>3009</v>
      </c>
      <c r="G23" s="176"/>
      <c r="H23" s="176" t="s">
        <v>2065</v>
      </c>
      <c r="I23" s="177">
        <v>45291</v>
      </c>
      <c r="J23" s="176">
        <v>4.8</v>
      </c>
      <c r="K23" s="237">
        <v>24.097999999999999</v>
      </c>
      <c r="L23" s="232">
        <f t="shared" ref="L23:W23" si="20">IF(YEAR($I23)&gt;=L$2,K23,0)</f>
        <v>24.097999999999999</v>
      </c>
      <c r="M23" s="232">
        <f t="shared" si="20"/>
        <v>24.097999999999999</v>
      </c>
      <c r="N23" s="232">
        <f t="shared" si="20"/>
        <v>24.097999999999999</v>
      </c>
      <c r="O23" s="232">
        <f t="shared" si="20"/>
        <v>24.097999999999999</v>
      </c>
      <c r="P23" s="232">
        <f t="shared" si="20"/>
        <v>24.097999999999999</v>
      </c>
      <c r="Q23" s="232">
        <f t="shared" si="20"/>
        <v>0</v>
      </c>
      <c r="R23" s="232">
        <f t="shared" si="20"/>
        <v>0</v>
      </c>
      <c r="S23" s="232">
        <f t="shared" si="20"/>
        <v>0</v>
      </c>
      <c r="T23" s="232">
        <f t="shared" si="20"/>
        <v>0</v>
      </c>
      <c r="U23" s="232">
        <f t="shared" si="20"/>
        <v>0</v>
      </c>
      <c r="V23" s="232">
        <f t="shared" si="20"/>
        <v>0</v>
      </c>
      <c r="W23" s="232">
        <f t="shared" si="20"/>
        <v>0</v>
      </c>
      <c r="X23" s="175"/>
    </row>
    <row r="24" spans="1:24">
      <c r="A24" s="176" t="s">
        <v>503</v>
      </c>
      <c r="B24" s="176" t="s">
        <v>504</v>
      </c>
      <c r="C24" s="176" t="s">
        <v>9</v>
      </c>
      <c r="D24" s="176" t="s">
        <v>4</v>
      </c>
      <c r="E24" s="177">
        <v>40428</v>
      </c>
      <c r="F24" s="176" t="s">
        <v>1223</v>
      </c>
      <c r="G24" s="176" t="s">
        <v>2319</v>
      </c>
      <c r="H24" s="176" t="s">
        <v>474</v>
      </c>
      <c r="I24" s="177">
        <v>45933</v>
      </c>
      <c r="J24" s="176">
        <v>90</v>
      </c>
      <c r="K24" s="237">
        <v>265.38899445749996</v>
      </c>
      <c r="L24" s="232">
        <f t="shared" ref="L24:W24" si="21">IF(YEAR($I24)&gt;=L$2,K24,0)</f>
        <v>265.38899445749996</v>
      </c>
      <c r="M24" s="232">
        <f t="shared" si="21"/>
        <v>265.38899445749996</v>
      </c>
      <c r="N24" s="232">
        <f t="shared" si="21"/>
        <v>265.38899445749996</v>
      </c>
      <c r="O24" s="232">
        <f t="shared" si="21"/>
        <v>265.38899445749996</v>
      </c>
      <c r="P24" s="232">
        <f t="shared" si="21"/>
        <v>265.38899445749996</v>
      </c>
      <c r="Q24" s="232">
        <f t="shared" si="21"/>
        <v>265.38899445749996</v>
      </c>
      <c r="R24" s="232">
        <f t="shared" si="21"/>
        <v>265.38899445749996</v>
      </c>
      <c r="S24" s="232">
        <f t="shared" si="21"/>
        <v>0</v>
      </c>
      <c r="T24" s="232">
        <f t="shared" si="21"/>
        <v>0</v>
      </c>
      <c r="U24" s="232">
        <f t="shared" si="21"/>
        <v>0</v>
      </c>
      <c r="V24" s="232">
        <f t="shared" si="21"/>
        <v>0</v>
      </c>
      <c r="W24" s="232">
        <f t="shared" si="21"/>
        <v>0</v>
      </c>
      <c r="X24" s="175"/>
    </row>
    <row r="25" spans="1:24">
      <c r="A25" s="176" t="s">
        <v>880</v>
      </c>
      <c r="B25" s="176" t="s">
        <v>881</v>
      </c>
      <c r="C25" s="176" t="s">
        <v>9</v>
      </c>
      <c r="D25" s="176" t="s">
        <v>13</v>
      </c>
      <c r="E25" s="177">
        <v>39813</v>
      </c>
      <c r="F25" s="176" t="s">
        <v>1244</v>
      </c>
      <c r="G25" s="176"/>
      <c r="H25" s="176" t="s">
        <v>480</v>
      </c>
      <c r="I25" s="177">
        <v>45260</v>
      </c>
      <c r="J25" s="176">
        <v>72</v>
      </c>
      <c r="K25" s="237">
        <v>173.36266666666666</v>
      </c>
      <c r="L25" s="232">
        <f t="shared" ref="L25:W25" si="22">IF(YEAR($I25)&gt;=L$2,K25,0)</f>
        <v>173.36266666666666</v>
      </c>
      <c r="M25" s="232">
        <f t="shared" si="22"/>
        <v>173.36266666666666</v>
      </c>
      <c r="N25" s="232">
        <f t="shared" si="22"/>
        <v>173.36266666666666</v>
      </c>
      <c r="O25" s="232">
        <f t="shared" si="22"/>
        <v>173.36266666666666</v>
      </c>
      <c r="P25" s="232">
        <f t="shared" si="22"/>
        <v>173.36266666666666</v>
      </c>
      <c r="Q25" s="232">
        <f t="shared" si="22"/>
        <v>0</v>
      </c>
      <c r="R25" s="232">
        <f t="shared" si="22"/>
        <v>0</v>
      </c>
      <c r="S25" s="232">
        <f t="shared" si="22"/>
        <v>0</v>
      </c>
      <c r="T25" s="232">
        <f t="shared" si="22"/>
        <v>0</v>
      </c>
      <c r="U25" s="232">
        <f t="shared" si="22"/>
        <v>0</v>
      </c>
      <c r="V25" s="232">
        <f t="shared" si="22"/>
        <v>0</v>
      </c>
      <c r="W25" s="232">
        <f t="shared" si="22"/>
        <v>0</v>
      </c>
      <c r="X25" s="175"/>
    </row>
    <row r="26" spans="1:24">
      <c r="A26" s="176"/>
      <c r="B26" s="176" t="s">
        <v>3017</v>
      </c>
      <c r="C26" s="176" t="s">
        <v>2086</v>
      </c>
      <c r="D26" s="176" t="s">
        <v>4</v>
      </c>
      <c r="E26" s="177">
        <v>40112</v>
      </c>
      <c r="F26" s="176"/>
      <c r="G26" s="176"/>
      <c r="H26" s="176" t="s">
        <v>2907</v>
      </c>
      <c r="I26" s="177">
        <v>47417</v>
      </c>
      <c r="J26" s="176">
        <v>262</v>
      </c>
      <c r="K26" s="237">
        <v>659.85</v>
      </c>
      <c r="L26" s="232">
        <f t="shared" ref="L26:W26" si="23">IF(YEAR($I26)&gt;=L$2,K26,0)</f>
        <v>659.85</v>
      </c>
      <c r="M26" s="232">
        <f t="shared" si="23"/>
        <v>659.85</v>
      </c>
      <c r="N26" s="232">
        <f t="shared" si="23"/>
        <v>659.85</v>
      </c>
      <c r="O26" s="232">
        <f t="shared" si="23"/>
        <v>659.85</v>
      </c>
      <c r="P26" s="232">
        <f t="shared" si="23"/>
        <v>659.85</v>
      </c>
      <c r="Q26" s="232">
        <f t="shared" si="23"/>
        <v>659.85</v>
      </c>
      <c r="R26" s="232">
        <f t="shared" si="23"/>
        <v>659.85</v>
      </c>
      <c r="S26" s="232">
        <f t="shared" si="23"/>
        <v>659.85</v>
      </c>
      <c r="T26" s="232">
        <f t="shared" si="23"/>
        <v>659.85</v>
      </c>
      <c r="U26" s="232">
        <f t="shared" si="23"/>
        <v>659.85</v>
      </c>
      <c r="V26" s="232">
        <f t="shared" si="23"/>
        <v>659.85</v>
      </c>
      <c r="W26" s="232">
        <f t="shared" si="23"/>
        <v>0</v>
      </c>
      <c r="X26" s="175"/>
    </row>
    <row r="27" spans="1:24">
      <c r="A27" s="127"/>
      <c r="B27" s="127"/>
      <c r="C27" s="127"/>
      <c r="D27" s="127"/>
      <c r="E27" s="127"/>
      <c r="F27" s="127"/>
      <c r="G27" s="127"/>
      <c r="H27" s="127"/>
      <c r="I27" s="127" t="s">
        <v>3756</v>
      </c>
      <c r="J27" s="127"/>
      <c r="K27" s="296">
        <f>SUM(K3:K26)</f>
        <v>5076.0446944108344</v>
      </c>
      <c r="L27" s="233">
        <f>$K$27-SUM(L3:L26)</f>
        <v>247.45400000000063</v>
      </c>
      <c r="M27" s="233">
        <f t="shared" ref="M27:W27" si="24">$K$27-SUM(M3:M26)</f>
        <v>486.79051666666692</v>
      </c>
      <c r="N27" s="233">
        <f t="shared" si="24"/>
        <v>486.79051666666692</v>
      </c>
      <c r="O27" s="233">
        <f t="shared" si="24"/>
        <v>763.56831666666676</v>
      </c>
      <c r="P27" s="233">
        <f t="shared" si="24"/>
        <v>829.24477666666735</v>
      </c>
      <c r="Q27" s="233">
        <f t="shared" si="24"/>
        <v>1559.2912600000013</v>
      </c>
      <c r="R27" s="233">
        <f t="shared" si="24"/>
        <v>2642.520320300001</v>
      </c>
      <c r="S27" s="233">
        <f t="shared" si="24"/>
        <v>2907.9093147575009</v>
      </c>
      <c r="T27" s="233">
        <f t="shared" si="24"/>
        <v>3480.0666480908344</v>
      </c>
      <c r="U27" s="233">
        <f t="shared" si="24"/>
        <v>3722.3631666508345</v>
      </c>
      <c r="V27" s="233">
        <f t="shared" si="24"/>
        <v>3755.8956766508345</v>
      </c>
      <c r="W27" s="233">
        <f t="shared" si="24"/>
        <v>4821.2568766508348</v>
      </c>
      <c r="X27" s="175"/>
    </row>
    <row r="28" spans="1:24">
      <c r="L28" s="127"/>
      <c r="M28" s="127"/>
      <c r="N28" s="127"/>
      <c r="O28" s="127"/>
      <c r="P28" s="127"/>
      <c r="Q28" s="127"/>
      <c r="R28" s="127"/>
      <c r="S28" s="127"/>
      <c r="T28" s="127"/>
      <c r="U28" s="127"/>
      <c r="V28" s="127"/>
      <c r="W28" s="127"/>
    </row>
  </sheetData>
  <mergeCells count="1">
    <mergeCell ref="A1:J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A292"/>
  <sheetViews>
    <sheetView zoomScale="70" zoomScaleNormal="70" workbookViewId="0">
      <selection activeCell="V11" sqref="V11"/>
    </sheetView>
  </sheetViews>
  <sheetFormatPr defaultRowHeight="15"/>
  <sheetData>
    <row r="1" spans="1:22" s="290" customFormat="1" ht="27" customHeight="1">
      <c r="A1" s="460"/>
      <c r="B1" s="460" t="s">
        <v>5461</v>
      </c>
      <c r="C1" s="460" t="s">
        <v>5462</v>
      </c>
      <c r="D1" s="460" t="s">
        <v>540</v>
      </c>
      <c r="E1" s="461">
        <v>42370</v>
      </c>
      <c r="F1" s="462"/>
      <c r="G1" s="462"/>
      <c r="H1" s="460" t="s">
        <v>4816</v>
      </c>
      <c r="I1" s="461"/>
      <c r="J1" s="460">
        <v>110</v>
      </c>
      <c r="K1" s="460"/>
      <c r="L1" s="292"/>
    </row>
    <row r="2" spans="1:22" s="290" customFormat="1" ht="27" customHeight="1">
      <c r="A2" s="460"/>
      <c r="B2" s="460" t="s">
        <v>5453</v>
      </c>
      <c r="C2" s="460" t="s">
        <v>3234</v>
      </c>
      <c r="D2" s="460" t="s">
        <v>540</v>
      </c>
      <c r="E2" s="461">
        <v>42370</v>
      </c>
      <c r="F2" s="462" t="s">
        <v>5260</v>
      </c>
      <c r="G2" s="462"/>
      <c r="H2" s="460" t="s">
        <v>4816</v>
      </c>
      <c r="I2" s="461"/>
      <c r="J2" s="460">
        <v>21.5</v>
      </c>
      <c r="K2" s="460">
        <v>5.4</v>
      </c>
      <c r="L2" s="292"/>
    </row>
    <row r="3" spans="1:22" s="290" customFormat="1" ht="27" customHeight="1">
      <c r="A3" s="460"/>
      <c r="B3" s="460" t="s">
        <v>5454</v>
      </c>
      <c r="C3" s="460" t="s">
        <v>3234</v>
      </c>
      <c r="D3" s="460" t="s">
        <v>540</v>
      </c>
      <c r="E3" s="461">
        <v>42370</v>
      </c>
      <c r="F3" s="462" t="s">
        <v>5449</v>
      </c>
      <c r="G3" s="462"/>
      <c r="H3" s="460" t="s">
        <v>4816</v>
      </c>
      <c r="I3" s="461"/>
      <c r="J3" s="460">
        <v>22.6</v>
      </c>
      <c r="K3" s="460">
        <v>5.4</v>
      </c>
      <c r="L3" s="292"/>
    </row>
    <row r="4" spans="1:22" s="290" customFormat="1" ht="27" customHeight="1">
      <c r="A4" s="460"/>
      <c r="B4" s="460" t="s">
        <v>5455</v>
      </c>
      <c r="C4" s="460" t="s">
        <v>3234</v>
      </c>
      <c r="D4" s="460" t="s">
        <v>540</v>
      </c>
      <c r="E4" s="461">
        <v>42370</v>
      </c>
      <c r="F4" s="462" t="s">
        <v>5450</v>
      </c>
      <c r="G4" s="462"/>
      <c r="H4" s="460" t="s">
        <v>4816</v>
      </c>
      <c r="I4" s="461"/>
      <c r="J4" s="460">
        <v>22.6</v>
      </c>
      <c r="K4" s="460">
        <v>5.4</v>
      </c>
      <c r="L4" s="292"/>
    </row>
    <row r="5" spans="1:22" s="290" customFormat="1" ht="27" customHeight="1">
      <c r="A5" s="460"/>
      <c r="B5" s="460" t="s">
        <v>5456</v>
      </c>
      <c r="C5" s="460" t="s">
        <v>3234</v>
      </c>
      <c r="D5" s="460" t="s">
        <v>540</v>
      </c>
      <c r="E5" s="461">
        <v>42370</v>
      </c>
      <c r="F5" s="462" t="s">
        <v>5451</v>
      </c>
      <c r="G5" s="462"/>
      <c r="H5" s="460" t="s">
        <v>4816</v>
      </c>
      <c r="I5" s="461"/>
      <c r="J5" s="460">
        <v>17.7</v>
      </c>
      <c r="K5" s="460">
        <v>5.4</v>
      </c>
      <c r="L5" s="292"/>
    </row>
    <row r="6" spans="1:22" s="290" customFormat="1" ht="27" customHeight="1">
      <c r="A6" s="460"/>
      <c r="B6" s="460" t="s">
        <v>5457</v>
      </c>
      <c r="C6" s="460" t="s">
        <v>3234</v>
      </c>
      <c r="D6" s="460" t="s">
        <v>540</v>
      </c>
      <c r="E6" s="461">
        <v>42370</v>
      </c>
      <c r="F6" s="462" t="s">
        <v>5452</v>
      </c>
      <c r="G6" s="462"/>
      <c r="H6" s="460" t="s">
        <v>4816</v>
      </c>
      <c r="I6" s="461"/>
      <c r="J6" s="460">
        <v>30</v>
      </c>
      <c r="K6" s="460">
        <v>5.4</v>
      </c>
      <c r="L6" s="292"/>
    </row>
    <row r="8" spans="1:22" s="158" customFormat="1" ht="27" customHeight="1">
      <c r="A8" s="221" t="s">
        <v>1603</v>
      </c>
      <c r="B8" s="143" t="s">
        <v>1917</v>
      </c>
      <c r="C8" s="155"/>
      <c r="D8" s="135"/>
      <c r="E8" s="209" t="s">
        <v>3006</v>
      </c>
      <c r="F8" s="142"/>
      <c r="G8" s="142"/>
      <c r="H8" s="262"/>
      <c r="I8" s="135" t="s">
        <v>1601</v>
      </c>
      <c r="J8" s="156">
        <v>42124</v>
      </c>
      <c r="K8" s="261">
        <v>5</v>
      </c>
      <c r="L8" s="144">
        <v>9.8000000000000007</v>
      </c>
      <c r="M8" s="241">
        <f>(DATEVALUE("12/31/2015")-J8)*24*0.27*K8/1000</f>
        <v>7.9380000000000006</v>
      </c>
      <c r="N8" s="154" t="s">
        <v>1602</v>
      </c>
      <c r="O8" s="142" t="s">
        <v>477</v>
      </c>
      <c r="P8" s="197" t="s">
        <v>3829</v>
      </c>
      <c r="Q8" s="141"/>
      <c r="R8" s="124"/>
      <c r="S8" s="124"/>
      <c r="U8" s="42"/>
      <c r="V8" s="42"/>
    </row>
    <row r="9" spans="1:22" s="132" customFormat="1" ht="27" customHeight="1">
      <c r="A9" s="149" t="s">
        <v>2600</v>
      </c>
      <c r="B9" s="143" t="s">
        <v>2599</v>
      </c>
      <c r="C9" s="161"/>
      <c r="D9" s="45"/>
      <c r="E9" s="209"/>
      <c r="F9" s="142" t="s">
        <v>3678</v>
      </c>
      <c r="G9" s="142"/>
      <c r="H9" s="262"/>
      <c r="I9" s="45" t="s">
        <v>1089</v>
      </c>
      <c r="J9" s="151">
        <v>42217</v>
      </c>
      <c r="K9" s="261">
        <v>1.5</v>
      </c>
      <c r="L9" s="144">
        <v>4.21</v>
      </c>
      <c r="M9" s="241">
        <f>(DATEVALUE("12/31/2015")-J9)*24*0.27*K9/1000</f>
        <v>1.4774400000000001</v>
      </c>
      <c r="N9" s="134" t="s">
        <v>2601</v>
      </c>
      <c r="O9" s="135" t="s">
        <v>475</v>
      </c>
      <c r="P9" s="197">
        <v>20</v>
      </c>
      <c r="Q9" s="222" t="s">
        <v>3840</v>
      </c>
      <c r="R9" s="158"/>
      <c r="S9" s="158"/>
      <c r="T9" s="158"/>
      <c r="U9" s="158"/>
      <c r="V9" s="158"/>
    </row>
    <row r="10" spans="1:22" s="81" customFormat="1" ht="27" customHeight="1">
      <c r="A10" s="149" t="s">
        <v>2980</v>
      </c>
      <c r="B10" s="327" t="s">
        <v>2981</v>
      </c>
      <c r="C10" s="263"/>
      <c r="D10" s="257"/>
      <c r="E10" s="209" t="s">
        <v>2979</v>
      </c>
      <c r="F10" s="142"/>
      <c r="G10" s="142"/>
      <c r="H10" s="262"/>
      <c r="I10" s="257" t="s">
        <v>1089</v>
      </c>
      <c r="J10" s="218">
        <v>42314</v>
      </c>
      <c r="K10" s="261">
        <v>5</v>
      </c>
      <c r="L10" s="144">
        <v>1.4</v>
      </c>
      <c r="M10" s="241">
        <f>(DATEVALUE("12/31/2015")-J10)*24*0.27*K10/1000</f>
        <v>1.7820000000000003</v>
      </c>
      <c r="N10" s="154" t="s">
        <v>1605</v>
      </c>
      <c r="O10" s="142" t="s">
        <v>477</v>
      </c>
      <c r="P10" s="264">
        <v>20</v>
      </c>
      <c r="Q10" s="216" t="s">
        <v>1600</v>
      </c>
      <c r="R10" s="259" t="s">
        <v>3840</v>
      </c>
      <c r="S10" s="259"/>
      <c r="T10" s="259"/>
      <c r="U10" s="259"/>
      <c r="V10" s="259"/>
    </row>
    <row r="11" spans="1:22" s="255" customFormat="1" ht="27" customHeight="1">
      <c r="A11" s="252" t="s">
        <v>2597</v>
      </c>
      <c r="B11" s="338" t="s">
        <v>2598</v>
      </c>
      <c r="C11" s="263"/>
      <c r="D11" s="250"/>
      <c r="E11" s="163">
        <v>62627</v>
      </c>
      <c r="F11" s="251"/>
      <c r="G11" s="262" t="s">
        <v>2621</v>
      </c>
      <c r="H11" s="262"/>
      <c r="I11" s="262"/>
      <c r="J11" s="263"/>
      <c r="K11" s="257" t="s">
        <v>1089</v>
      </c>
      <c r="L11" s="258">
        <v>1.25</v>
      </c>
      <c r="M11" s="144">
        <v>1.7</v>
      </c>
      <c r="N11" s="241">
        <f>(DATEVALUE("12/31/2015")-F11)*24*0.27*L11/1000</f>
        <v>343.18890000000005</v>
      </c>
      <c r="O11" s="253" t="s">
        <v>1926</v>
      </c>
      <c r="P11" s="262" t="s">
        <v>474</v>
      </c>
      <c r="Q11" s="188">
        <v>20</v>
      </c>
      <c r="R11" s="255" t="s">
        <v>3991</v>
      </c>
      <c r="S11" s="259"/>
      <c r="T11" s="259"/>
      <c r="U11" s="259"/>
      <c r="V11" s="259"/>
    </row>
    <row r="12" spans="1:22" s="259" customFormat="1" ht="27" customHeight="1">
      <c r="A12" s="252" t="s">
        <v>1936</v>
      </c>
      <c r="B12" s="339" t="s">
        <v>3001</v>
      </c>
      <c r="C12" s="48"/>
      <c r="D12" s="48"/>
      <c r="E12" s="48" t="s">
        <v>3002</v>
      </c>
      <c r="F12" s="49">
        <v>42338</v>
      </c>
      <c r="G12" s="252"/>
      <c r="H12" s="252"/>
      <c r="I12" s="252"/>
      <c r="J12" s="136"/>
      <c r="K12" s="257" t="s">
        <v>1089</v>
      </c>
      <c r="L12" s="46">
        <v>0.15</v>
      </c>
      <c r="M12" s="32">
        <f>L12*8.76*0.275</f>
        <v>0.36135</v>
      </c>
      <c r="N12" s="241">
        <f>(DATEVALUE("12/31/2015")-F12)*24*0.27*L12/1000</f>
        <v>3.0132000000000003E-2</v>
      </c>
      <c r="O12" s="46" t="s">
        <v>1914</v>
      </c>
      <c r="P12" s="252" t="s">
        <v>480</v>
      </c>
      <c r="Q12" s="130"/>
      <c r="R12" s="255" t="s">
        <v>3991</v>
      </c>
      <c r="S12" s="124"/>
      <c r="T12" s="124"/>
      <c r="U12" s="255"/>
      <c r="V12" s="255"/>
    </row>
    <row r="13" spans="1:22" s="259" customFormat="1" ht="27" customHeight="1">
      <c r="A13" s="149" t="s">
        <v>1597</v>
      </c>
      <c r="B13" s="328" t="s">
        <v>1596</v>
      </c>
      <c r="C13" s="263"/>
      <c r="D13" s="257"/>
      <c r="E13" s="209"/>
      <c r="F13" s="151">
        <v>42293</v>
      </c>
      <c r="G13" s="262"/>
      <c r="H13" s="262"/>
      <c r="I13" s="262"/>
      <c r="J13" s="262" t="s">
        <v>1588</v>
      </c>
      <c r="K13" s="257" t="s">
        <v>1089</v>
      </c>
      <c r="L13" s="261">
        <v>0.5</v>
      </c>
      <c r="M13" s="144">
        <v>1</v>
      </c>
      <c r="N13" s="241">
        <f>(DATEVALUE("12/31/2015")-F13)*24*0.27*L13/1000</f>
        <v>0.24624000000000001</v>
      </c>
      <c r="O13" s="134"/>
      <c r="P13" s="254" t="s">
        <v>475</v>
      </c>
      <c r="Q13" s="264">
        <v>20</v>
      </c>
      <c r="R13" s="255" t="s">
        <v>3991</v>
      </c>
    </row>
    <row r="14" spans="1:22" s="74" customFormat="1" ht="14.25">
      <c r="A14" s="315" t="s">
        <v>1597</v>
      </c>
      <c r="B14" s="340" t="s">
        <v>1598</v>
      </c>
      <c r="C14" s="124"/>
      <c r="D14" s="131"/>
      <c r="E14" s="318"/>
      <c r="F14" s="320">
        <v>42293</v>
      </c>
      <c r="G14" s="319"/>
      <c r="H14" s="319"/>
      <c r="I14" s="319"/>
      <c r="J14" s="262" t="s">
        <v>1588</v>
      </c>
      <c r="K14" s="257" t="s">
        <v>1089</v>
      </c>
      <c r="L14" s="316">
        <v>1.5</v>
      </c>
      <c r="M14" s="321">
        <v>3</v>
      </c>
      <c r="N14" s="322">
        <f>(DATEVALUE("12/31/2015")-F14)*24*0.27*L14/1000</f>
        <v>0.73872000000000004</v>
      </c>
      <c r="O14" s="323"/>
      <c r="P14" s="341" t="s">
        <v>475</v>
      </c>
      <c r="Q14" s="324">
        <v>20</v>
      </c>
      <c r="R14" s="255" t="s">
        <v>3991</v>
      </c>
    </row>
    <row r="15" spans="1:22" s="152" customFormat="1" ht="27" customHeight="1">
      <c r="A15" s="252" t="s">
        <v>3836</v>
      </c>
      <c r="B15" s="338" t="s">
        <v>3835</v>
      </c>
      <c r="C15" s="263"/>
      <c r="D15" s="250"/>
      <c r="E15" s="163"/>
      <c r="F15" s="251">
        <v>42663</v>
      </c>
      <c r="G15" s="262"/>
      <c r="H15" s="262"/>
      <c r="I15" s="262"/>
      <c r="J15" s="262" t="s">
        <v>3831</v>
      </c>
      <c r="K15" s="257" t="s">
        <v>1089</v>
      </c>
      <c r="L15" s="258">
        <v>1.88</v>
      </c>
      <c r="M15" s="144">
        <v>4.3890000000000002</v>
      </c>
      <c r="N15" s="241"/>
      <c r="O15" s="253" t="s">
        <v>3837</v>
      </c>
      <c r="P15" s="254" t="s">
        <v>474</v>
      </c>
      <c r="Q15" s="188">
        <v>20</v>
      </c>
      <c r="S15" s="124"/>
      <c r="T15" s="124"/>
    </row>
    <row r="16" spans="1:22" s="259" customFormat="1" ht="27" customHeight="1">
      <c r="A16" s="149"/>
      <c r="B16" s="336" t="s">
        <v>1587</v>
      </c>
      <c r="C16" s="263"/>
      <c r="D16" s="257"/>
      <c r="E16" s="209"/>
      <c r="F16" s="151">
        <v>42353</v>
      </c>
      <c r="G16" s="262"/>
      <c r="H16" s="262"/>
      <c r="I16" s="262"/>
      <c r="J16" s="262" t="s">
        <v>1576</v>
      </c>
      <c r="K16" s="257" t="s">
        <v>1089</v>
      </c>
      <c r="L16" s="261">
        <v>10</v>
      </c>
      <c r="M16" s="144">
        <f>+L16*0.276*8.76</f>
        <v>24.177600000000002</v>
      </c>
      <c r="N16" s="241">
        <f>(DATEVALUE("12/31/2015")-F16)*24*0.27*L16/1000</f>
        <v>1.0368000000000002</v>
      </c>
      <c r="O16" s="134"/>
      <c r="P16" s="254" t="s">
        <v>475</v>
      </c>
      <c r="Q16" s="264"/>
      <c r="S16" s="124"/>
      <c r="T16" s="124"/>
      <c r="U16" s="255"/>
      <c r="V16" s="255"/>
    </row>
    <row r="17" spans="1:27" s="259" customFormat="1" ht="27" customHeight="1">
      <c r="A17" s="252"/>
      <c r="B17" s="325" t="s">
        <v>3841</v>
      </c>
      <c r="C17" s="252"/>
      <c r="D17" s="250"/>
      <c r="E17" s="163" t="s">
        <v>4007</v>
      </c>
      <c r="F17" s="251">
        <v>42862</v>
      </c>
      <c r="G17" s="262" t="s">
        <v>5091</v>
      </c>
      <c r="H17" s="262"/>
      <c r="I17" s="262"/>
      <c r="J17" s="262" t="s">
        <v>3831</v>
      </c>
      <c r="K17" s="257" t="s">
        <v>1089</v>
      </c>
      <c r="L17" s="258">
        <v>3</v>
      </c>
      <c r="M17" s="144">
        <v>8.4</v>
      </c>
      <c r="N17" s="241"/>
      <c r="O17" s="253" t="s">
        <v>1914</v>
      </c>
      <c r="P17" s="254" t="s">
        <v>475</v>
      </c>
      <c r="Q17" s="188">
        <v>20</v>
      </c>
      <c r="R17" s="259" t="s">
        <v>3829</v>
      </c>
    </row>
    <row r="18" spans="1:27" s="363" customFormat="1" ht="216.75">
      <c r="A18" s="257" t="s">
        <v>480</v>
      </c>
      <c r="B18" s="257" t="s">
        <v>1477</v>
      </c>
      <c r="C18" s="257"/>
      <c r="D18" s="44" t="s">
        <v>884</v>
      </c>
      <c r="E18" s="44" t="s">
        <v>1991</v>
      </c>
      <c r="F18" s="251">
        <v>21520</v>
      </c>
      <c r="G18" s="257" t="s">
        <v>480</v>
      </c>
      <c r="H18" s="257"/>
      <c r="I18" s="257"/>
      <c r="J18" s="252" t="s">
        <v>3751</v>
      </c>
      <c r="K18" s="248" t="s">
        <v>494</v>
      </c>
      <c r="L18" s="268" t="s">
        <v>484</v>
      </c>
      <c r="M18" s="268"/>
      <c r="N18" s="130">
        <v>107.98</v>
      </c>
      <c r="O18" s="29">
        <v>0.90312109909806559</v>
      </c>
      <c r="P18" s="29">
        <v>118.55831027021739</v>
      </c>
      <c r="Q18" s="31">
        <v>116.64277027392751</v>
      </c>
      <c r="R18" s="29">
        <v>88.419689555891196</v>
      </c>
      <c r="S18" s="28">
        <f>AVERAGE(M18:R18)</f>
        <v>86.500778239826829</v>
      </c>
      <c r="T18" s="266" t="b">
        <v>1</v>
      </c>
      <c r="U18" s="266" t="b">
        <v>0</v>
      </c>
    </row>
    <row r="22" spans="1:27" s="118" customFormat="1" ht="51">
      <c r="A22" s="22" t="s">
        <v>16</v>
      </c>
      <c r="B22" s="23" t="s">
        <v>1</v>
      </c>
      <c r="C22" s="26" t="s">
        <v>1636</v>
      </c>
      <c r="D22" s="61" t="s">
        <v>1096</v>
      </c>
      <c r="E22" s="61" t="s">
        <v>1943</v>
      </c>
      <c r="F22" s="26" t="s">
        <v>665</v>
      </c>
      <c r="G22" s="242" t="s">
        <v>2104</v>
      </c>
      <c r="H22" s="242" t="s">
        <v>3538</v>
      </c>
      <c r="I22" s="242" t="s">
        <v>3700</v>
      </c>
      <c r="J22" s="23" t="s">
        <v>2687</v>
      </c>
      <c r="K22" s="75" t="s">
        <v>3755</v>
      </c>
      <c r="L22" s="57" t="s">
        <v>664</v>
      </c>
      <c r="M22" s="57" t="s">
        <v>3778</v>
      </c>
      <c r="N22" s="57" t="s">
        <v>1265</v>
      </c>
      <c r="O22" s="24" t="s">
        <v>948</v>
      </c>
      <c r="P22" s="24" t="s">
        <v>779</v>
      </c>
      <c r="Q22" s="25" t="s">
        <v>505</v>
      </c>
      <c r="R22" s="25" t="s">
        <v>506</v>
      </c>
      <c r="S22" s="25" t="s">
        <v>5145</v>
      </c>
      <c r="T22" s="57" t="s">
        <v>3920</v>
      </c>
      <c r="U22" s="57" t="s">
        <v>3921</v>
      </c>
      <c r="V22" s="413" t="s">
        <v>3778</v>
      </c>
      <c r="W22" s="413" t="s">
        <v>1265</v>
      </c>
      <c r="X22" s="413" t="s">
        <v>948</v>
      </c>
      <c r="Y22" s="413" t="s">
        <v>779</v>
      </c>
      <c r="Z22" s="413" t="s">
        <v>505</v>
      </c>
      <c r="AA22" s="413" t="s">
        <v>506</v>
      </c>
    </row>
    <row r="23" spans="1:27" s="170" customFormat="1" ht="27" customHeight="1">
      <c r="A23" s="407"/>
      <c r="B23" s="410" t="s">
        <v>4296</v>
      </c>
      <c r="C23" s="408"/>
      <c r="D23" s="410" t="s">
        <v>4295</v>
      </c>
      <c r="E23" s="408"/>
      <c r="F23" s="404">
        <v>41639</v>
      </c>
      <c r="G23" s="408"/>
      <c r="H23" s="408"/>
      <c r="I23" s="408"/>
      <c r="J23" s="408"/>
      <c r="K23" s="403" t="s">
        <v>1089</v>
      </c>
      <c r="L23" s="407">
        <v>12</v>
      </c>
      <c r="M23" s="408"/>
      <c r="N23" s="408"/>
      <c r="O23" s="408"/>
      <c r="P23" s="408"/>
      <c r="Q23" s="408"/>
      <c r="R23" s="408"/>
      <c r="S23" s="402"/>
      <c r="T23" s="408"/>
      <c r="U23" s="408"/>
      <c r="V23" s="401" t="s">
        <v>115</v>
      </c>
      <c r="W23" s="401" t="s">
        <v>115</v>
      </c>
      <c r="X23" s="401">
        <v>1.1999999999999999E-4</v>
      </c>
      <c r="Y23" s="401" t="s">
        <v>115</v>
      </c>
      <c r="Z23" s="401" t="s">
        <v>115</v>
      </c>
      <c r="AA23" s="401" t="s">
        <v>115</v>
      </c>
    </row>
    <row r="24" spans="1:27" s="170" customFormat="1" ht="27" customHeight="1">
      <c r="A24" s="407"/>
      <c r="B24" s="410" t="s">
        <v>4066</v>
      </c>
      <c r="C24" s="408"/>
      <c r="D24" s="410" t="s">
        <v>4065</v>
      </c>
      <c r="E24" s="408"/>
      <c r="F24" s="404">
        <v>42004</v>
      </c>
      <c r="G24" s="408"/>
      <c r="H24" s="408"/>
      <c r="I24" s="408"/>
      <c r="J24" s="408"/>
      <c r="K24" s="403" t="s">
        <v>1089</v>
      </c>
      <c r="L24" s="407">
        <v>1.5</v>
      </c>
      <c r="M24" s="408"/>
      <c r="N24" s="408"/>
      <c r="O24" s="408"/>
      <c r="P24" s="408"/>
      <c r="Q24" s="408"/>
      <c r="R24" s="408"/>
      <c r="S24" s="402"/>
      <c r="T24" s="408"/>
      <c r="U24" s="408"/>
      <c r="V24" s="401" t="e">
        <v>#N/A</v>
      </c>
      <c r="W24" s="401" t="e">
        <v>#N/A</v>
      </c>
      <c r="X24" s="401" t="e">
        <v>#N/A</v>
      </c>
      <c r="Y24" s="401" t="e">
        <v>#N/A</v>
      </c>
      <c r="Z24" s="401" t="e">
        <v>#N/A</v>
      </c>
      <c r="AA24" s="401" t="e">
        <v>#N/A</v>
      </c>
    </row>
    <row r="25" spans="1:27" s="170" customFormat="1" ht="27" customHeight="1">
      <c r="A25" s="407"/>
      <c r="B25" s="410" t="s">
        <v>4071</v>
      </c>
      <c r="C25" s="408"/>
      <c r="D25" s="410" t="s">
        <v>4070</v>
      </c>
      <c r="E25" s="408" t="s">
        <v>5199</v>
      </c>
      <c r="F25" s="404">
        <v>42004</v>
      </c>
      <c r="G25" s="408"/>
      <c r="H25" s="408"/>
      <c r="I25" s="408"/>
      <c r="J25" s="408"/>
      <c r="K25" s="403" t="s">
        <v>1089</v>
      </c>
      <c r="L25" s="407">
        <v>1.5</v>
      </c>
      <c r="M25" s="408"/>
      <c r="N25" s="408"/>
      <c r="O25" s="408"/>
      <c r="P25" s="408"/>
      <c r="Q25" s="408"/>
      <c r="R25" s="408"/>
      <c r="S25" s="402"/>
      <c r="T25" s="408" t="b">
        <v>0</v>
      </c>
      <c r="U25" s="408"/>
      <c r="V25" s="401" t="e">
        <v>#N/A</v>
      </c>
      <c r="W25" s="401" t="e">
        <v>#N/A</v>
      </c>
      <c r="X25" s="401" t="e">
        <v>#N/A</v>
      </c>
      <c r="Y25" s="401" t="e">
        <v>#N/A</v>
      </c>
      <c r="Z25" s="401" t="e">
        <v>#N/A</v>
      </c>
      <c r="AA25" s="401" t="e">
        <v>#N/A</v>
      </c>
    </row>
    <row r="26" spans="1:27" s="170" customFormat="1" ht="27" customHeight="1">
      <c r="A26" s="407"/>
      <c r="B26" s="410" t="s">
        <v>4083</v>
      </c>
      <c r="C26" s="408"/>
      <c r="D26" s="410" t="s">
        <v>4082</v>
      </c>
      <c r="E26" s="408"/>
      <c r="F26" s="404">
        <v>42004</v>
      </c>
      <c r="G26" s="408"/>
      <c r="H26" s="408"/>
      <c r="I26" s="408"/>
      <c r="J26" s="408"/>
      <c r="K26" s="403" t="s">
        <v>1089</v>
      </c>
      <c r="L26" s="407">
        <v>1.5</v>
      </c>
      <c r="M26" s="408"/>
      <c r="N26" s="408"/>
      <c r="O26" s="408"/>
      <c r="P26" s="408"/>
      <c r="Q26" s="408"/>
      <c r="R26" s="408"/>
      <c r="S26" s="402"/>
      <c r="T26" s="408"/>
      <c r="U26" s="408"/>
      <c r="V26" s="401" t="e">
        <v>#N/A</v>
      </c>
      <c r="W26" s="401" t="e">
        <v>#N/A</v>
      </c>
      <c r="X26" s="401" t="e">
        <v>#N/A</v>
      </c>
      <c r="Y26" s="401" t="e">
        <v>#N/A</v>
      </c>
      <c r="Z26" s="401" t="e">
        <v>#N/A</v>
      </c>
      <c r="AA26" s="401" t="e">
        <v>#N/A</v>
      </c>
    </row>
    <row r="27" spans="1:27" s="170" customFormat="1" ht="27" customHeight="1">
      <c r="A27" s="407"/>
      <c r="B27" s="410" t="s">
        <v>4101</v>
      </c>
      <c r="C27" s="408"/>
      <c r="D27" s="410" t="s">
        <v>4100</v>
      </c>
      <c r="E27" s="408"/>
      <c r="F27" s="404">
        <v>42004</v>
      </c>
      <c r="G27" s="408"/>
      <c r="H27" s="408"/>
      <c r="I27" s="408"/>
      <c r="J27" s="408"/>
      <c r="K27" s="403" t="s">
        <v>1089</v>
      </c>
      <c r="L27" s="407">
        <v>1.5</v>
      </c>
      <c r="M27" s="408"/>
      <c r="N27" s="408"/>
      <c r="O27" s="408"/>
      <c r="P27" s="408"/>
      <c r="Q27" s="408"/>
      <c r="R27" s="408"/>
      <c r="S27" s="402"/>
      <c r="T27" s="408"/>
      <c r="U27" s="408"/>
      <c r="V27" s="401" t="e">
        <v>#N/A</v>
      </c>
      <c r="W27" s="401" t="e">
        <v>#N/A</v>
      </c>
      <c r="X27" s="401" t="e">
        <v>#N/A</v>
      </c>
      <c r="Y27" s="401" t="e">
        <v>#N/A</v>
      </c>
      <c r="Z27" s="401" t="e">
        <v>#N/A</v>
      </c>
      <c r="AA27" s="401" t="e">
        <v>#N/A</v>
      </c>
    </row>
    <row r="28" spans="1:27" s="170" customFormat="1" ht="27" customHeight="1">
      <c r="A28" s="407"/>
      <c r="B28" s="410" t="s">
        <v>4105</v>
      </c>
      <c r="C28" s="408"/>
      <c r="D28" s="410" t="s">
        <v>4104</v>
      </c>
      <c r="E28" s="408"/>
      <c r="F28" s="404">
        <v>39751</v>
      </c>
      <c r="G28" s="408"/>
      <c r="H28" s="408"/>
      <c r="I28" s="408"/>
      <c r="J28" s="408"/>
      <c r="K28" s="403" t="s">
        <v>1089</v>
      </c>
      <c r="L28" s="407">
        <v>1</v>
      </c>
      <c r="M28" s="408"/>
      <c r="N28" s="408"/>
      <c r="O28" s="408"/>
      <c r="P28" s="408"/>
      <c r="Q28" s="408"/>
      <c r="R28" s="408"/>
      <c r="S28" s="402"/>
      <c r="T28" s="408"/>
      <c r="U28" s="408"/>
      <c r="V28" s="401" t="e">
        <v>#N/A</v>
      </c>
      <c r="W28" s="401" t="e">
        <v>#N/A</v>
      </c>
      <c r="X28" s="401" t="e">
        <v>#N/A</v>
      </c>
      <c r="Y28" s="401" t="e">
        <v>#N/A</v>
      </c>
      <c r="Z28" s="401" t="e">
        <v>#N/A</v>
      </c>
      <c r="AA28" s="401" t="e">
        <v>#N/A</v>
      </c>
    </row>
    <row r="29" spans="1:27" s="170" customFormat="1" ht="27" customHeight="1">
      <c r="A29" s="407"/>
      <c r="B29" s="410" t="s">
        <v>4108</v>
      </c>
      <c r="C29" s="408"/>
      <c r="D29" s="410" t="s">
        <v>4107</v>
      </c>
      <c r="E29" s="408"/>
      <c r="F29" s="404">
        <v>40696</v>
      </c>
      <c r="G29" s="408"/>
      <c r="H29" s="408"/>
      <c r="I29" s="408"/>
      <c r="J29" s="408"/>
      <c r="K29" s="403" t="s">
        <v>1089</v>
      </c>
      <c r="L29" s="407">
        <v>1</v>
      </c>
      <c r="M29" s="408"/>
      <c r="N29" s="408"/>
      <c r="O29" s="408"/>
      <c r="P29" s="408"/>
      <c r="Q29" s="408"/>
      <c r="R29" s="408"/>
      <c r="S29" s="402"/>
      <c r="T29" s="408"/>
      <c r="U29" s="408"/>
      <c r="V29" s="401" t="e">
        <v>#N/A</v>
      </c>
      <c r="W29" s="401" t="e">
        <v>#N/A</v>
      </c>
      <c r="X29" s="401" t="e">
        <v>#N/A</v>
      </c>
      <c r="Y29" s="401" t="e">
        <v>#N/A</v>
      </c>
      <c r="Z29" s="401" t="e">
        <v>#N/A</v>
      </c>
      <c r="AA29" s="401" t="e">
        <v>#N/A</v>
      </c>
    </row>
    <row r="30" spans="1:27" s="170" customFormat="1" ht="27" customHeight="1">
      <c r="A30" s="412"/>
      <c r="B30" s="412" t="s">
        <v>1611</v>
      </c>
      <c r="C30" s="403"/>
      <c r="D30" s="408"/>
      <c r="E30" s="411"/>
      <c r="F30" s="409">
        <v>42095</v>
      </c>
      <c r="G30" s="406"/>
      <c r="H30" s="406"/>
      <c r="I30" s="425"/>
      <c r="J30" s="406" t="s">
        <v>1613</v>
      </c>
      <c r="K30" s="408" t="s">
        <v>1089</v>
      </c>
      <c r="L30" s="407">
        <v>1.5</v>
      </c>
      <c r="M30" s="423"/>
      <c r="N30" s="421"/>
      <c r="O30" s="419"/>
      <c r="P30" s="417"/>
      <c r="Q30" s="406"/>
      <c r="R30" s="414"/>
      <c r="S30" s="402"/>
      <c r="T30" s="426" t="b">
        <v>1</v>
      </c>
      <c r="U30" s="426" t="b">
        <v>0</v>
      </c>
      <c r="V30" s="401" t="e">
        <v>#N/A</v>
      </c>
      <c r="W30" s="401" t="e">
        <v>#N/A</v>
      </c>
      <c r="X30" s="401" t="e">
        <v>#N/A</v>
      </c>
      <c r="Y30" s="401" t="e">
        <v>#N/A</v>
      </c>
      <c r="Z30" s="401" t="e">
        <v>#N/A</v>
      </c>
      <c r="AA30" s="401" t="e">
        <v>#N/A</v>
      </c>
    </row>
    <row r="31" spans="1:27" s="170" customFormat="1" ht="27" customHeight="1">
      <c r="A31" s="412"/>
      <c r="B31" s="412" t="s">
        <v>1612</v>
      </c>
      <c r="C31" s="403"/>
      <c r="D31" s="408"/>
      <c r="E31" s="411"/>
      <c r="F31" s="409">
        <v>42095</v>
      </c>
      <c r="G31" s="406"/>
      <c r="H31" s="406"/>
      <c r="I31" s="403"/>
      <c r="J31" s="406" t="s">
        <v>1613</v>
      </c>
      <c r="K31" s="408" t="s">
        <v>1089</v>
      </c>
      <c r="L31" s="407">
        <v>1.5</v>
      </c>
      <c r="M31" s="403"/>
      <c r="N31" s="421"/>
      <c r="O31" s="419"/>
      <c r="P31" s="417"/>
      <c r="Q31" s="406"/>
      <c r="R31" s="414"/>
      <c r="S31" s="402"/>
      <c r="T31" s="426" t="b">
        <v>1</v>
      </c>
      <c r="U31" s="426" t="b">
        <v>0</v>
      </c>
      <c r="V31" s="401" t="e">
        <v>#N/A</v>
      </c>
      <c r="W31" s="401" t="e">
        <v>#N/A</v>
      </c>
      <c r="X31" s="401" t="e">
        <v>#N/A</v>
      </c>
      <c r="Y31" s="401" t="e">
        <v>#N/A</v>
      </c>
      <c r="Z31" s="401" t="e">
        <v>#N/A</v>
      </c>
      <c r="AA31" s="401" t="e">
        <v>#N/A</v>
      </c>
    </row>
    <row r="32" spans="1:27" s="171" customFormat="1" ht="27" customHeight="1">
      <c r="A32" s="407"/>
      <c r="B32" s="410" t="s">
        <v>4114</v>
      </c>
      <c r="C32" s="408"/>
      <c r="D32" s="410" t="s">
        <v>4113</v>
      </c>
      <c r="E32" s="408"/>
      <c r="F32" s="404">
        <v>41275</v>
      </c>
      <c r="G32" s="408"/>
      <c r="H32" s="408"/>
      <c r="I32" s="408"/>
      <c r="J32" s="408"/>
      <c r="K32" s="403" t="s">
        <v>1089</v>
      </c>
      <c r="L32" s="407">
        <v>3</v>
      </c>
      <c r="M32" s="408"/>
      <c r="N32" s="408"/>
      <c r="O32" s="408"/>
      <c r="P32" s="408"/>
      <c r="Q32" s="408"/>
      <c r="R32" s="408"/>
      <c r="S32" s="402"/>
      <c r="T32" s="408"/>
      <c r="U32" s="408"/>
      <c r="V32" s="401" t="e">
        <v>#N/A</v>
      </c>
      <c r="W32" s="401" t="e">
        <v>#N/A</v>
      </c>
      <c r="X32" s="401" t="e">
        <v>#N/A</v>
      </c>
      <c r="Y32" s="401" t="e">
        <v>#N/A</v>
      </c>
      <c r="Z32" s="401" t="e">
        <v>#N/A</v>
      </c>
      <c r="AA32" s="401" t="e">
        <v>#N/A</v>
      </c>
    </row>
    <row r="33" spans="1:27" s="170" customFormat="1" ht="27" customHeight="1">
      <c r="A33" s="407"/>
      <c r="B33" s="410" t="s">
        <v>4116</v>
      </c>
      <c r="C33" s="408"/>
      <c r="D33" s="410" t="s">
        <v>4115</v>
      </c>
      <c r="E33" s="408"/>
      <c r="F33" s="404">
        <v>41275</v>
      </c>
      <c r="G33" s="408"/>
      <c r="H33" s="408"/>
      <c r="I33" s="408"/>
      <c r="J33" s="408"/>
      <c r="K33" s="403" t="s">
        <v>1089</v>
      </c>
      <c r="L33" s="407">
        <v>3</v>
      </c>
      <c r="M33" s="408"/>
      <c r="N33" s="408"/>
      <c r="O33" s="408"/>
      <c r="P33" s="408"/>
      <c r="Q33" s="408"/>
      <c r="R33" s="408"/>
      <c r="S33" s="402"/>
      <c r="T33" s="408"/>
      <c r="U33" s="408"/>
      <c r="V33" s="401" t="e">
        <v>#N/A</v>
      </c>
      <c r="W33" s="401" t="e">
        <v>#N/A</v>
      </c>
      <c r="X33" s="401" t="e">
        <v>#N/A</v>
      </c>
      <c r="Y33" s="401" t="e">
        <v>#N/A</v>
      </c>
      <c r="Z33" s="401" t="e">
        <v>#N/A</v>
      </c>
      <c r="AA33" s="401" t="e">
        <v>#N/A</v>
      </c>
    </row>
    <row r="34" spans="1:27" s="170" customFormat="1" ht="27" customHeight="1">
      <c r="A34" s="407"/>
      <c r="B34" s="410" t="s">
        <v>4119</v>
      </c>
      <c r="C34" s="408"/>
      <c r="D34" s="410" t="s">
        <v>4118</v>
      </c>
      <c r="E34" s="408"/>
      <c r="F34" s="404">
        <v>41275</v>
      </c>
      <c r="G34" s="408"/>
      <c r="H34" s="408"/>
      <c r="I34" s="408"/>
      <c r="J34" s="408"/>
      <c r="K34" s="403" t="s">
        <v>1089</v>
      </c>
      <c r="L34" s="407">
        <v>2</v>
      </c>
      <c r="M34" s="408"/>
      <c r="N34" s="408"/>
      <c r="O34" s="408"/>
      <c r="P34" s="408"/>
      <c r="Q34" s="408"/>
      <c r="R34" s="408"/>
      <c r="S34" s="402"/>
      <c r="T34" s="408"/>
      <c r="U34" s="408"/>
      <c r="V34" s="401" t="e">
        <v>#N/A</v>
      </c>
      <c r="W34" s="401" t="e">
        <v>#N/A</v>
      </c>
      <c r="X34" s="401" t="e">
        <v>#N/A</v>
      </c>
      <c r="Y34" s="401" t="e">
        <v>#N/A</v>
      </c>
      <c r="Z34" s="401" t="e">
        <v>#N/A</v>
      </c>
      <c r="AA34" s="401" t="e">
        <v>#N/A</v>
      </c>
    </row>
    <row r="35" spans="1:27" s="170" customFormat="1" ht="27" customHeight="1">
      <c r="A35" s="407"/>
      <c r="B35" s="410" t="s">
        <v>4121</v>
      </c>
      <c r="C35" s="408"/>
      <c r="D35" s="410" t="s">
        <v>4120</v>
      </c>
      <c r="E35" s="408"/>
      <c r="F35" s="404">
        <v>41275</v>
      </c>
      <c r="G35" s="408"/>
      <c r="H35" s="408"/>
      <c r="I35" s="408"/>
      <c r="J35" s="408"/>
      <c r="K35" s="403" t="s">
        <v>1089</v>
      </c>
      <c r="L35" s="407">
        <v>2</v>
      </c>
      <c r="M35" s="408"/>
      <c r="N35" s="408"/>
      <c r="O35" s="408"/>
      <c r="P35" s="408"/>
      <c r="Q35" s="408"/>
      <c r="R35" s="408"/>
      <c r="S35" s="402"/>
      <c r="T35" s="408"/>
      <c r="U35" s="408"/>
      <c r="V35" s="401" t="e">
        <v>#N/A</v>
      </c>
      <c r="W35" s="401" t="e">
        <v>#N/A</v>
      </c>
      <c r="X35" s="401" t="e">
        <v>#N/A</v>
      </c>
      <c r="Y35" s="401" t="e">
        <v>#N/A</v>
      </c>
      <c r="Z35" s="401" t="e">
        <v>#N/A</v>
      </c>
      <c r="AA35" s="401" t="e">
        <v>#N/A</v>
      </c>
    </row>
    <row r="36" spans="1:27" s="170" customFormat="1" ht="27" customHeight="1">
      <c r="A36" s="407"/>
      <c r="B36" s="410" t="s">
        <v>4123</v>
      </c>
      <c r="C36" s="408"/>
      <c r="D36" s="410" t="s">
        <v>4122</v>
      </c>
      <c r="E36" s="408"/>
      <c r="F36" s="404">
        <v>41275</v>
      </c>
      <c r="G36" s="408"/>
      <c r="H36" s="408"/>
      <c r="I36" s="408"/>
      <c r="J36" s="408"/>
      <c r="K36" s="403" t="s">
        <v>1089</v>
      </c>
      <c r="L36" s="407">
        <v>1</v>
      </c>
      <c r="M36" s="408"/>
      <c r="N36" s="408"/>
      <c r="O36" s="408"/>
      <c r="P36" s="408"/>
      <c r="Q36" s="408"/>
      <c r="R36" s="408"/>
      <c r="S36" s="402"/>
      <c r="T36" s="408"/>
      <c r="U36" s="408"/>
      <c r="V36" s="401" t="e">
        <v>#N/A</v>
      </c>
      <c r="W36" s="401" t="e">
        <v>#N/A</v>
      </c>
      <c r="X36" s="401" t="e">
        <v>#N/A</v>
      </c>
      <c r="Y36" s="401" t="e">
        <v>#N/A</v>
      </c>
      <c r="Z36" s="401" t="e">
        <v>#N/A</v>
      </c>
      <c r="AA36" s="401" t="e">
        <v>#N/A</v>
      </c>
    </row>
    <row r="37" spans="1:27" s="170" customFormat="1" ht="27" customHeight="1">
      <c r="A37" s="407"/>
      <c r="B37" s="410" t="s">
        <v>4125</v>
      </c>
      <c r="C37" s="408"/>
      <c r="D37" s="410" t="s">
        <v>4124</v>
      </c>
      <c r="E37" s="408"/>
      <c r="F37" s="404">
        <v>41262</v>
      </c>
      <c r="G37" s="408"/>
      <c r="H37" s="408"/>
      <c r="I37" s="408"/>
      <c r="J37" s="408"/>
      <c r="K37" s="403" t="s">
        <v>1089</v>
      </c>
      <c r="L37" s="407">
        <v>2</v>
      </c>
      <c r="M37" s="408"/>
      <c r="N37" s="408"/>
      <c r="O37" s="408"/>
      <c r="P37" s="408"/>
      <c r="Q37" s="408"/>
      <c r="R37" s="408"/>
      <c r="S37" s="402"/>
      <c r="T37" s="408"/>
      <c r="U37" s="408"/>
      <c r="V37" s="401" t="e">
        <v>#N/A</v>
      </c>
      <c r="W37" s="401" t="e">
        <v>#N/A</v>
      </c>
      <c r="X37" s="401" t="e">
        <v>#N/A</v>
      </c>
      <c r="Y37" s="401" t="e">
        <v>#N/A</v>
      </c>
      <c r="Z37" s="401" t="e">
        <v>#N/A</v>
      </c>
      <c r="AA37" s="401" t="e">
        <v>#N/A</v>
      </c>
    </row>
    <row r="38" spans="1:27" s="170" customFormat="1" ht="27" customHeight="1">
      <c r="A38" s="408"/>
      <c r="B38" s="408" t="s">
        <v>3853</v>
      </c>
      <c r="C38" s="408"/>
      <c r="D38" s="424"/>
      <c r="E38" s="424" t="s">
        <v>5201</v>
      </c>
      <c r="F38" s="422" t="s">
        <v>477</v>
      </c>
      <c r="G38" s="425"/>
      <c r="H38" s="425"/>
      <c r="I38" s="425"/>
      <c r="J38" s="420">
        <v>41870</v>
      </c>
      <c r="K38" s="408" t="s">
        <v>1089</v>
      </c>
      <c r="L38" s="408">
        <v>1.4</v>
      </c>
      <c r="M38" s="423"/>
      <c r="N38" s="423"/>
      <c r="O38" s="418"/>
      <c r="P38" s="418"/>
      <c r="Q38" s="416"/>
      <c r="R38" s="416"/>
      <c r="S38" s="402"/>
      <c r="T38" s="426" t="b">
        <v>1</v>
      </c>
      <c r="U38" s="426" t="b">
        <v>0</v>
      </c>
      <c r="V38" s="401" t="e">
        <v>#N/A</v>
      </c>
      <c r="W38" s="401" t="e">
        <v>#N/A</v>
      </c>
      <c r="X38" s="401" t="e">
        <v>#N/A</v>
      </c>
      <c r="Y38" s="401" t="e">
        <v>#N/A</v>
      </c>
      <c r="Z38" s="401" t="e">
        <v>#N/A</v>
      </c>
      <c r="AA38" s="401" t="e">
        <v>#N/A</v>
      </c>
    </row>
    <row r="39" spans="1:27" s="170" customFormat="1" ht="27" customHeight="1">
      <c r="A39" s="407"/>
      <c r="B39" s="410" t="s">
        <v>4133</v>
      </c>
      <c r="C39" s="408"/>
      <c r="D39" s="410" t="s">
        <v>4132</v>
      </c>
      <c r="E39" s="408"/>
      <c r="F39" s="404">
        <v>42004</v>
      </c>
      <c r="G39" s="408"/>
      <c r="H39" s="408"/>
      <c r="I39" s="408"/>
      <c r="J39" s="408"/>
      <c r="K39" s="403" t="s">
        <v>1089</v>
      </c>
      <c r="L39" s="407">
        <v>1.5</v>
      </c>
      <c r="M39" s="408"/>
      <c r="N39" s="408"/>
      <c r="O39" s="408"/>
      <c r="P39" s="408"/>
      <c r="Q39" s="408"/>
      <c r="R39" s="408"/>
      <c r="S39" s="402"/>
      <c r="T39" s="408"/>
      <c r="U39" s="408"/>
      <c r="V39" s="401" t="e">
        <v>#N/A</v>
      </c>
      <c r="W39" s="401" t="e">
        <v>#N/A</v>
      </c>
      <c r="X39" s="401" t="e">
        <v>#N/A</v>
      </c>
      <c r="Y39" s="401" t="e">
        <v>#N/A</v>
      </c>
      <c r="Z39" s="401" t="e">
        <v>#N/A</v>
      </c>
      <c r="AA39" s="401" t="e">
        <v>#N/A</v>
      </c>
    </row>
    <row r="40" spans="1:27" s="170" customFormat="1" ht="27" customHeight="1">
      <c r="A40" s="407"/>
      <c r="B40" s="410" t="s">
        <v>4137</v>
      </c>
      <c r="C40" s="408"/>
      <c r="D40" s="410" t="s">
        <v>4136</v>
      </c>
      <c r="E40" s="408"/>
      <c r="F40" s="404">
        <v>42004</v>
      </c>
      <c r="G40" s="408"/>
      <c r="H40" s="408"/>
      <c r="I40" s="408"/>
      <c r="J40" s="408"/>
      <c r="K40" s="403" t="s">
        <v>1089</v>
      </c>
      <c r="L40" s="407">
        <v>1</v>
      </c>
      <c r="M40" s="408"/>
      <c r="N40" s="408"/>
      <c r="O40" s="408"/>
      <c r="P40" s="408"/>
      <c r="Q40" s="408"/>
      <c r="R40" s="408"/>
      <c r="S40" s="402"/>
      <c r="T40" s="408"/>
      <c r="U40" s="408"/>
      <c r="V40" s="401" t="e">
        <v>#N/A</v>
      </c>
      <c r="W40" s="401" t="e">
        <v>#N/A</v>
      </c>
      <c r="X40" s="401" t="e">
        <v>#N/A</v>
      </c>
      <c r="Y40" s="401" t="e">
        <v>#N/A</v>
      </c>
      <c r="Z40" s="401" t="e">
        <v>#N/A</v>
      </c>
      <c r="AA40" s="401" t="e">
        <v>#N/A</v>
      </c>
    </row>
    <row r="41" spans="1:27" s="170" customFormat="1" ht="27" customHeight="1">
      <c r="A41" s="407"/>
      <c r="B41" s="410" t="s">
        <v>4139</v>
      </c>
      <c r="C41" s="408"/>
      <c r="D41" s="410" t="s">
        <v>4138</v>
      </c>
      <c r="E41" s="408" t="s">
        <v>5202</v>
      </c>
      <c r="F41" s="404">
        <v>41275</v>
      </c>
      <c r="G41" s="408"/>
      <c r="H41" s="408"/>
      <c r="I41" s="408"/>
      <c r="J41" s="408"/>
      <c r="K41" s="403" t="s">
        <v>1089</v>
      </c>
      <c r="L41" s="407">
        <v>1.84</v>
      </c>
      <c r="M41" s="408"/>
      <c r="N41" s="408"/>
      <c r="O41" s="408"/>
      <c r="P41" s="408"/>
      <c r="Q41" s="408"/>
      <c r="R41" s="408"/>
      <c r="S41" s="402"/>
      <c r="T41" s="408"/>
      <c r="U41" s="408"/>
      <c r="V41" s="401" t="e">
        <v>#N/A</v>
      </c>
      <c r="W41" s="401" t="e">
        <v>#N/A</v>
      </c>
      <c r="X41" s="401" t="e">
        <v>#N/A</v>
      </c>
      <c r="Y41" s="401" t="e">
        <v>#N/A</v>
      </c>
      <c r="Z41" s="401" t="e">
        <v>#N/A</v>
      </c>
      <c r="AA41" s="401" t="e">
        <v>#N/A</v>
      </c>
    </row>
    <row r="42" spans="1:27" s="117" customFormat="1" ht="27" customHeight="1">
      <c r="A42" s="407"/>
      <c r="B42" s="410" t="s">
        <v>4143</v>
      </c>
      <c r="C42" s="408"/>
      <c r="D42" s="410" t="s">
        <v>4142</v>
      </c>
      <c r="E42" s="408" t="s">
        <v>5202</v>
      </c>
      <c r="F42" s="404">
        <v>42004</v>
      </c>
      <c r="G42" s="408"/>
      <c r="H42" s="408"/>
      <c r="I42" s="408"/>
      <c r="J42" s="408"/>
      <c r="K42" s="403" t="s">
        <v>1089</v>
      </c>
      <c r="L42" s="407">
        <v>1.5</v>
      </c>
      <c r="M42" s="408"/>
      <c r="N42" s="408"/>
      <c r="O42" s="408"/>
      <c r="P42" s="408"/>
      <c r="Q42" s="408"/>
      <c r="R42" s="408"/>
      <c r="S42" s="402"/>
      <c r="T42" s="408"/>
      <c r="U42" s="408"/>
      <c r="V42" s="401" t="e">
        <v>#N/A</v>
      </c>
      <c r="W42" s="401" t="e">
        <v>#N/A</v>
      </c>
      <c r="X42" s="401" t="e">
        <v>#N/A</v>
      </c>
      <c r="Y42" s="401" t="e">
        <v>#N/A</v>
      </c>
      <c r="Z42" s="401" t="e">
        <v>#N/A</v>
      </c>
      <c r="AA42" s="401" t="e">
        <v>#N/A</v>
      </c>
    </row>
    <row r="43" spans="1:27" s="117" customFormat="1" ht="27" customHeight="1">
      <c r="A43" s="407"/>
      <c r="B43" s="410" t="s">
        <v>4211</v>
      </c>
      <c r="C43" s="408"/>
      <c r="D43" s="410" t="s">
        <v>4210</v>
      </c>
      <c r="E43" s="408" t="s">
        <v>5201</v>
      </c>
      <c r="F43" s="404">
        <v>41654</v>
      </c>
      <c r="G43" s="408"/>
      <c r="H43" s="408"/>
      <c r="I43" s="408"/>
      <c r="J43" s="408"/>
      <c r="K43" s="403" t="s">
        <v>1089</v>
      </c>
      <c r="L43" s="407">
        <v>1.5</v>
      </c>
      <c r="M43" s="408"/>
      <c r="N43" s="408"/>
      <c r="O43" s="408"/>
      <c r="P43" s="408"/>
      <c r="Q43" s="408"/>
      <c r="R43" s="408"/>
      <c r="S43" s="402"/>
      <c r="T43" s="408"/>
      <c r="U43" s="408"/>
      <c r="V43" s="401" t="e">
        <v>#N/A</v>
      </c>
      <c r="W43" s="401" t="e">
        <v>#N/A</v>
      </c>
      <c r="X43" s="401" t="e">
        <v>#N/A</v>
      </c>
      <c r="Y43" s="401" t="e">
        <v>#N/A</v>
      </c>
      <c r="Z43" s="401" t="e">
        <v>#N/A</v>
      </c>
      <c r="AA43" s="401" t="e">
        <v>#N/A</v>
      </c>
    </row>
    <row r="44" spans="1:27" s="117" customFormat="1" ht="27" customHeight="1">
      <c r="A44" s="407"/>
      <c r="B44" s="410" t="s">
        <v>4213</v>
      </c>
      <c r="C44" s="408"/>
      <c r="D44" s="410" t="s">
        <v>4212</v>
      </c>
      <c r="E44" s="408" t="s">
        <v>5204</v>
      </c>
      <c r="F44" s="404">
        <v>41654</v>
      </c>
      <c r="G44" s="408"/>
      <c r="H44" s="408"/>
      <c r="I44" s="408"/>
      <c r="J44" s="408"/>
      <c r="K44" s="403" t="s">
        <v>1089</v>
      </c>
      <c r="L44" s="407">
        <v>1.5</v>
      </c>
      <c r="M44" s="408"/>
      <c r="N44" s="408"/>
      <c r="O44" s="408"/>
      <c r="P44" s="408"/>
      <c r="Q44" s="408"/>
      <c r="R44" s="408"/>
      <c r="S44" s="402"/>
      <c r="T44" s="408"/>
      <c r="U44" s="408"/>
      <c r="V44" s="401" t="e">
        <v>#N/A</v>
      </c>
      <c r="W44" s="401" t="e">
        <v>#N/A</v>
      </c>
      <c r="X44" s="401" t="e">
        <v>#N/A</v>
      </c>
      <c r="Y44" s="401" t="e">
        <v>#N/A</v>
      </c>
      <c r="Z44" s="401" t="e">
        <v>#N/A</v>
      </c>
      <c r="AA44" s="401" t="e">
        <v>#N/A</v>
      </c>
    </row>
    <row r="45" spans="1:27" s="117" customFormat="1" ht="27" customHeight="1">
      <c r="A45" s="407"/>
      <c r="B45" s="410" t="s">
        <v>4215</v>
      </c>
      <c r="C45" s="408"/>
      <c r="D45" s="410" t="s">
        <v>4214</v>
      </c>
      <c r="E45" s="408" t="s">
        <v>5204</v>
      </c>
      <c r="F45" s="404">
        <v>41654</v>
      </c>
      <c r="G45" s="408"/>
      <c r="H45" s="408"/>
      <c r="I45" s="408"/>
      <c r="J45" s="408"/>
      <c r="K45" s="403" t="s">
        <v>1089</v>
      </c>
      <c r="L45" s="407">
        <v>1.5</v>
      </c>
      <c r="M45" s="408"/>
      <c r="N45" s="408"/>
      <c r="O45" s="408"/>
      <c r="P45" s="408"/>
      <c r="Q45" s="408"/>
      <c r="R45" s="408"/>
      <c r="S45" s="402"/>
      <c r="T45" s="408"/>
      <c r="U45" s="408"/>
      <c r="V45" s="401" t="e">
        <v>#N/A</v>
      </c>
      <c r="W45" s="401" t="e">
        <v>#N/A</v>
      </c>
      <c r="X45" s="401" t="e">
        <v>#N/A</v>
      </c>
      <c r="Y45" s="401" t="e">
        <v>#N/A</v>
      </c>
      <c r="Z45" s="401" t="e">
        <v>#N/A</v>
      </c>
      <c r="AA45" s="401" t="e">
        <v>#N/A</v>
      </c>
    </row>
    <row r="46" spans="1:27" s="117" customFormat="1" ht="27" customHeight="1">
      <c r="A46" s="407"/>
      <c r="B46" s="410" t="s">
        <v>4217</v>
      </c>
      <c r="C46" s="408"/>
      <c r="D46" s="410" t="s">
        <v>4216</v>
      </c>
      <c r="E46" s="408" t="s">
        <v>5201</v>
      </c>
      <c r="F46" s="404">
        <v>41470</v>
      </c>
      <c r="G46" s="408"/>
      <c r="H46" s="408"/>
      <c r="I46" s="408"/>
      <c r="J46" s="408"/>
      <c r="K46" s="403" t="s">
        <v>1089</v>
      </c>
      <c r="L46" s="407">
        <v>1.5</v>
      </c>
      <c r="M46" s="408"/>
      <c r="N46" s="408"/>
      <c r="O46" s="408"/>
      <c r="P46" s="408"/>
      <c r="Q46" s="408"/>
      <c r="R46" s="408"/>
      <c r="S46" s="402"/>
      <c r="T46" s="408"/>
      <c r="U46" s="408"/>
      <c r="V46" s="401" t="e">
        <v>#N/A</v>
      </c>
      <c r="W46" s="401" t="e">
        <v>#N/A</v>
      </c>
      <c r="X46" s="401" t="e">
        <v>#N/A</v>
      </c>
      <c r="Y46" s="401" t="e">
        <v>#N/A</v>
      </c>
      <c r="Z46" s="401" t="e">
        <v>#N/A</v>
      </c>
      <c r="AA46" s="401" t="e">
        <v>#N/A</v>
      </c>
    </row>
    <row r="47" spans="1:27" s="117" customFormat="1" ht="27" customHeight="1">
      <c r="A47" s="407"/>
      <c r="B47" s="410" t="s">
        <v>4219</v>
      </c>
      <c r="C47" s="408"/>
      <c r="D47" s="410" t="s">
        <v>4218</v>
      </c>
      <c r="E47" s="408" t="s">
        <v>5201</v>
      </c>
      <c r="F47" s="404">
        <v>41470</v>
      </c>
      <c r="G47" s="408"/>
      <c r="H47" s="408"/>
      <c r="I47" s="408"/>
      <c r="J47" s="408"/>
      <c r="K47" s="403" t="s">
        <v>1089</v>
      </c>
      <c r="L47" s="407">
        <v>1.5</v>
      </c>
      <c r="M47" s="408"/>
      <c r="N47" s="408"/>
      <c r="O47" s="408"/>
      <c r="P47" s="408"/>
      <c r="Q47" s="408"/>
      <c r="R47" s="408"/>
      <c r="S47" s="402"/>
      <c r="T47" s="408"/>
      <c r="U47" s="408"/>
      <c r="V47" s="401" t="e">
        <v>#N/A</v>
      </c>
      <c r="W47" s="401" t="e">
        <v>#N/A</v>
      </c>
      <c r="X47" s="401" t="e">
        <v>#N/A</v>
      </c>
      <c r="Y47" s="401" t="e">
        <v>#N/A</v>
      </c>
      <c r="Z47" s="401" t="e">
        <v>#N/A</v>
      </c>
      <c r="AA47" s="401" t="e">
        <v>#N/A</v>
      </c>
    </row>
    <row r="48" spans="1:27" s="117" customFormat="1" ht="27" customHeight="1">
      <c r="A48" s="407"/>
      <c r="B48" s="410" t="s">
        <v>4221</v>
      </c>
      <c r="C48" s="408"/>
      <c r="D48" s="410" t="s">
        <v>4220</v>
      </c>
      <c r="E48" s="408" t="s">
        <v>5201</v>
      </c>
      <c r="F48" s="404">
        <v>41470</v>
      </c>
      <c r="G48" s="408"/>
      <c r="H48" s="408"/>
      <c r="I48" s="408"/>
      <c r="J48" s="408"/>
      <c r="K48" s="403" t="s">
        <v>1089</v>
      </c>
      <c r="L48" s="407">
        <v>1.5</v>
      </c>
      <c r="M48" s="408"/>
      <c r="N48" s="408"/>
      <c r="O48" s="408"/>
      <c r="P48" s="408"/>
      <c r="Q48" s="408"/>
      <c r="R48" s="408"/>
      <c r="S48" s="402"/>
      <c r="T48" s="408"/>
      <c r="U48" s="408"/>
      <c r="V48" s="401" t="e">
        <v>#N/A</v>
      </c>
      <c r="W48" s="401" t="e">
        <v>#N/A</v>
      </c>
      <c r="X48" s="401" t="e">
        <v>#N/A</v>
      </c>
      <c r="Y48" s="401" t="e">
        <v>#N/A</v>
      </c>
      <c r="Z48" s="401" t="e">
        <v>#N/A</v>
      </c>
      <c r="AA48" s="401" t="e">
        <v>#N/A</v>
      </c>
    </row>
    <row r="49" spans="1:27" s="117" customFormat="1" ht="27" customHeight="1">
      <c r="A49" s="407"/>
      <c r="B49" s="410" t="s">
        <v>4223</v>
      </c>
      <c r="C49" s="408"/>
      <c r="D49" s="410" t="s">
        <v>4222</v>
      </c>
      <c r="E49" s="408" t="s">
        <v>5201</v>
      </c>
      <c r="F49" s="404">
        <v>41470</v>
      </c>
      <c r="G49" s="408"/>
      <c r="H49" s="408"/>
      <c r="I49" s="408"/>
      <c r="J49" s="408"/>
      <c r="K49" s="403" t="s">
        <v>1089</v>
      </c>
      <c r="L49" s="407">
        <v>1.5</v>
      </c>
      <c r="M49" s="408"/>
      <c r="N49" s="408"/>
      <c r="O49" s="408"/>
      <c r="P49" s="408"/>
      <c r="Q49" s="408"/>
      <c r="R49" s="408"/>
      <c r="S49" s="402"/>
      <c r="T49" s="408"/>
      <c r="U49" s="408"/>
      <c r="V49" s="401" t="e">
        <v>#N/A</v>
      </c>
      <c r="W49" s="401" t="e">
        <v>#N/A</v>
      </c>
      <c r="X49" s="401" t="e">
        <v>#N/A</v>
      </c>
      <c r="Y49" s="401" t="e">
        <v>#N/A</v>
      </c>
      <c r="Z49" s="401" t="e">
        <v>#N/A</v>
      </c>
      <c r="AA49" s="401" t="e">
        <v>#N/A</v>
      </c>
    </row>
    <row r="50" spans="1:27" s="117" customFormat="1" ht="27" customHeight="1">
      <c r="A50" s="407"/>
      <c r="B50" s="410" t="s">
        <v>4225</v>
      </c>
      <c r="C50" s="408"/>
      <c r="D50" s="410" t="s">
        <v>4224</v>
      </c>
      <c r="E50" s="408" t="s">
        <v>5201</v>
      </c>
      <c r="F50" s="404">
        <v>41470</v>
      </c>
      <c r="G50" s="408"/>
      <c r="H50" s="408"/>
      <c r="I50" s="408"/>
      <c r="J50" s="408"/>
      <c r="K50" s="403" t="s">
        <v>1089</v>
      </c>
      <c r="L50" s="407">
        <v>1.5</v>
      </c>
      <c r="M50" s="408"/>
      <c r="N50" s="408"/>
      <c r="O50" s="408"/>
      <c r="P50" s="408"/>
      <c r="Q50" s="408"/>
      <c r="R50" s="408"/>
      <c r="S50" s="402"/>
      <c r="T50" s="408"/>
      <c r="U50" s="408"/>
      <c r="V50" s="401" t="e">
        <v>#N/A</v>
      </c>
      <c r="W50" s="401" t="e">
        <v>#N/A</v>
      </c>
      <c r="X50" s="401" t="e">
        <v>#N/A</v>
      </c>
      <c r="Y50" s="401" t="e">
        <v>#N/A</v>
      </c>
      <c r="Z50" s="401" t="e">
        <v>#N/A</v>
      </c>
      <c r="AA50" s="401" t="e">
        <v>#N/A</v>
      </c>
    </row>
    <row r="51" spans="1:27" s="117" customFormat="1" ht="27" customHeight="1">
      <c r="A51" s="407"/>
      <c r="B51" s="410" t="s">
        <v>4227</v>
      </c>
      <c r="C51" s="408"/>
      <c r="D51" s="410" t="s">
        <v>4226</v>
      </c>
      <c r="E51" s="408" t="s">
        <v>5201</v>
      </c>
      <c r="F51" s="404">
        <v>41470</v>
      </c>
      <c r="G51" s="408"/>
      <c r="H51" s="408"/>
      <c r="I51" s="408"/>
      <c r="J51" s="408"/>
      <c r="K51" s="403" t="s">
        <v>1089</v>
      </c>
      <c r="L51" s="407">
        <v>1.5</v>
      </c>
      <c r="M51" s="408"/>
      <c r="N51" s="408"/>
      <c r="O51" s="408"/>
      <c r="P51" s="408"/>
      <c r="Q51" s="408"/>
      <c r="R51" s="408"/>
      <c r="S51" s="402"/>
      <c r="T51" s="408"/>
      <c r="U51" s="408"/>
      <c r="V51" s="401" t="e">
        <v>#N/A</v>
      </c>
      <c r="W51" s="401" t="e">
        <v>#N/A</v>
      </c>
      <c r="X51" s="401" t="e">
        <v>#N/A</v>
      </c>
      <c r="Y51" s="401" t="e">
        <v>#N/A</v>
      </c>
      <c r="Z51" s="401" t="e">
        <v>#N/A</v>
      </c>
      <c r="AA51" s="401" t="e">
        <v>#N/A</v>
      </c>
    </row>
    <row r="52" spans="1:27" s="117" customFormat="1" ht="27" customHeight="1">
      <c r="A52" s="407"/>
      <c r="B52" s="410" t="s">
        <v>4237</v>
      </c>
      <c r="C52" s="408"/>
      <c r="D52" s="410" t="s">
        <v>4236</v>
      </c>
      <c r="E52" s="408" t="s">
        <v>5204</v>
      </c>
      <c r="F52" s="404">
        <v>42004</v>
      </c>
      <c r="G52" s="408"/>
      <c r="H52" s="408"/>
      <c r="I52" s="408"/>
      <c r="J52" s="408"/>
      <c r="K52" s="403" t="s">
        <v>1089</v>
      </c>
      <c r="L52" s="407">
        <v>1.5</v>
      </c>
      <c r="M52" s="408"/>
      <c r="N52" s="408"/>
      <c r="O52" s="408"/>
      <c r="P52" s="408"/>
      <c r="Q52" s="408"/>
      <c r="R52" s="408"/>
      <c r="S52" s="402"/>
      <c r="T52" s="408"/>
      <c r="U52" s="408"/>
      <c r="V52" s="401" t="e">
        <v>#N/A</v>
      </c>
      <c r="W52" s="401" t="e">
        <v>#N/A</v>
      </c>
      <c r="X52" s="401" t="e">
        <v>#N/A</v>
      </c>
      <c r="Y52" s="401" t="e">
        <v>#N/A</v>
      </c>
      <c r="Z52" s="401" t="e">
        <v>#N/A</v>
      </c>
      <c r="AA52" s="401" t="e">
        <v>#N/A</v>
      </c>
    </row>
    <row r="53" spans="1:27" s="117" customFormat="1" ht="27" customHeight="1">
      <c r="A53" s="407"/>
      <c r="B53" s="410" t="s">
        <v>4239</v>
      </c>
      <c r="C53" s="408"/>
      <c r="D53" s="410" t="s">
        <v>4238</v>
      </c>
      <c r="E53" s="408" t="s">
        <v>5204</v>
      </c>
      <c r="F53" s="404">
        <v>42004</v>
      </c>
      <c r="G53" s="408"/>
      <c r="H53" s="408"/>
      <c r="I53" s="408"/>
      <c r="J53" s="408"/>
      <c r="K53" s="403" t="s">
        <v>1089</v>
      </c>
      <c r="L53" s="407">
        <v>1.5</v>
      </c>
      <c r="M53" s="408"/>
      <c r="N53" s="408"/>
      <c r="O53" s="408"/>
      <c r="P53" s="408"/>
      <c r="Q53" s="408"/>
      <c r="R53" s="408"/>
      <c r="S53" s="402"/>
      <c r="T53" s="408"/>
      <c r="U53" s="408"/>
      <c r="V53" s="401" t="e">
        <v>#N/A</v>
      </c>
      <c r="W53" s="401" t="e">
        <v>#N/A</v>
      </c>
      <c r="X53" s="401" t="e">
        <v>#N/A</v>
      </c>
      <c r="Y53" s="401" t="e">
        <v>#N/A</v>
      </c>
      <c r="Z53" s="401" t="e">
        <v>#N/A</v>
      </c>
      <c r="AA53" s="401" t="e">
        <v>#N/A</v>
      </c>
    </row>
    <row r="54" spans="1:27" s="117" customFormat="1" ht="27" customHeight="1">
      <c r="A54" s="407"/>
      <c r="B54" s="410" t="s">
        <v>4241</v>
      </c>
      <c r="C54" s="408"/>
      <c r="D54" s="410" t="s">
        <v>4240</v>
      </c>
      <c r="E54" s="408" t="s">
        <v>5204</v>
      </c>
      <c r="F54" s="404">
        <v>42004</v>
      </c>
      <c r="G54" s="408"/>
      <c r="H54" s="408"/>
      <c r="I54" s="408"/>
      <c r="J54" s="408"/>
      <c r="K54" s="403" t="s">
        <v>1089</v>
      </c>
      <c r="L54" s="407">
        <v>1</v>
      </c>
      <c r="M54" s="408"/>
      <c r="N54" s="408"/>
      <c r="O54" s="408"/>
      <c r="P54" s="408"/>
      <c r="Q54" s="408"/>
      <c r="R54" s="408"/>
      <c r="S54" s="402"/>
      <c r="T54" s="408"/>
      <c r="U54" s="408"/>
      <c r="V54" s="401" t="e">
        <v>#N/A</v>
      </c>
      <c r="W54" s="401" t="e">
        <v>#N/A</v>
      </c>
      <c r="X54" s="401" t="e">
        <v>#N/A</v>
      </c>
      <c r="Y54" s="401" t="e">
        <v>#N/A</v>
      </c>
      <c r="Z54" s="401" t="e">
        <v>#N/A</v>
      </c>
      <c r="AA54" s="401" t="e">
        <v>#N/A</v>
      </c>
    </row>
    <row r="55" spans="1:27" s="117" customFormat="1" ht="27" customHeight="1">
      <c r="A55" s="407"/>
      <c r="B55" s="410" t="s">
        <v>4247</v>
      </c>
      <c r="C55" s="408"/>
      <c r="D55" s="410" t="s">
        <v>4246</v>
      </c>
      <c r="E55" s="408" t="s">
        <v>5204</v>
      </c>
      <c r="F55" s="404">
        <v>42004</v>
      </c>
      <c r="G55" s="408"/>
      <c r="H55" s="408"/>
      <c r="I55" s="408"/>
      <c r="J55" s="408"/>
      <c r="K55" s="403" t="s">
        <v>1089</v>
      </c>
      <c r="L55" s="407">
        <v>1.5</v>
      </c>
      <c r="M55" s="408"/>
      <c r="N55" s="408"/>
      <c r="O55" s="408"/>
      <c r="P55" s="408"/>
      <c r="Q55" s="408"/>
      <c r="R55" s="408"/>
      <c r="S55" s="402"/>
      <c r="T55" s="408"/>
      <c r="U55" s="408"/>
      <c r="V55" s="401" t="e">
        <v>#N/A</v>
      </c>
      <c r="W55" s="401" t="e">
        <v>#N/A</v>
      </c>
      <c r="X55" s="401" t="e">
        <v>#N/A</v>
      </c>
      <c r="Y55" s="401" t="e">
        <v>#N/A</v>
      </c>
      <c r="Z55" s="401" t="e">
        <v>#N/A</v>
      </c>
      <c r="AA55" s="401" t="e">
        <v>#N/A</v>
      </c>
    </row>
    <row r="56" spans="1:27" s="170" customFormat="1" ht="27" customHeight="1">
      <c r="A56" s="407"/>
      <c r="B56" s="410" t="s">
        <v>4249</v>
      </c>
      <c r="C56" s="408"/>
      <c r="D56" s="410" t="s">
        <v>4248</v>
      </c>
      <c r="E56" s="408" t="s">
        <v>5204</v>
      </c>
      <c r="F56" s="404">
        <v>42004</v>
      </c>
      <c r="G56" s="408"/>
      <c r="H56" s="408"/>
      <c r="I56" s="408"/>
      <c r="J56" s="408"/>
      <c r="K56" s="403" t="s">
        <v>1089</v>
      </c>
      <c r="L56" s="407">
        <v>1.5</v>
      </c>
      <c r="M56" s="408"/>
      <c r="N56" s="408"/>
      <c r="O56" s="408"/>
      <c r="P56" s="408"/>
      <c r="Q56" s="408"/>
      <c r="R56" s="408"/>
      <c r="S56" s="402"/>
      <c r="T56" s="408"/>
      <c r="U56" s="408"/>
      <c r="V56" s="401" t="e">
        <v>#N/A</v>
      </c>
      <c r="W56" s="401" t="e">
        <v>#N/A</v>
      </c>
      <c r="X56" s="401" t="e">
        <v>#N/A</v>
      </c>
      <c r="Y56" s="401" t="e">
        <v>#N/A</v>
      </c>
      <c r="Z56" s="401" t="e">
        <v>#N/A</v>
      </c>
      <c r="AA56" s="401" t="e">
        <v>#N/A</v>
      </c>
    </row>
    <row r="57" spans="1:27" s="170" customFormat="1" ht="27" customHeight="1">
      <c r="A57" s="407"/>
      <c r="B57" s="410" t="s">
        <v>4253</v>
      </c>
      <c r="C57" s="408"/>
      <c r="D57" s="410" t="s">
        <v>4252</v>
      </c>
      <c r="E57" s="408" t="s">
        <v>5204</v>
      </c>
      <c r="F57" s="404">
        <v>40970</v>
      </c>
      <c r="G57" s="408"/>
      <c r="H57" s="408"/>
      <c r="I57" s="408"/>
      <c r="J57" s="408"/>
      <c r="K57" s="403" t="s">
        <v>1089</v>
      </c>
      <c r="L57" s="407">
        <v>1.05</v>
      </c>
      <c r="M57" s="408"/>
      <c r="N57" s="408"/>
      <c r="O57" s="408"/>
      <c r="P57" s="408"/>
      <c r="Q57" s="408"/>
      <c r="R57" s="408"/>
      <c r="S57" s="402"/>
      <c r="T57" s="408"/>
      <c r="U57" s="408"/>
      <c r="V57" s="401" t="e">
        <v>#N/A</v>
      </c>
      <c r="W57" s="401" t="e">
        <v>#N/A</v>
      </c>
      <c r="X57" s="401" t="e">
        <v>#N/A</v>
      </c>
      <c r="Y57" s="401" t="e">
        <v>#N/A</v>
      </c>
      <c r="Z57" s="401" t="e">
        <v>#N/A</v>
      </c>
      <c r="AA57" s="401" t="e">
        <v>#N/A</v>
      </c>
    </row>
    <row r="58" spans="1:27" s="170" customFormat="1" ht="27" customHeight="1">
      <c r="A58" s="407"/>
      <c r="B58" s="410" t="s">
        <v>4259</v>
      </c>
      <c r="C58" s="408"/>
      <c r="D58" s="410" t="s">
        <v>4258</v>
      </c>
      <c r="E58" s="408" t="s">
        <v>5204</v>
      </c>
      <c r="F58" s="404">
        <v>42004</v>
      </c>
      <c r="G58" s="408"/>
      <c r="H58" s="408"/>
      <c r="I58" s="408"/>
      <c r="J58" s="408"/>
      <c r="K58" s="403" t="s">
        <v>1089</v>
      </c>
      <c r="L58" s="407">
        <v>1.5</v>
      </c>
      <c r="M58" s="408"/>
      <c r="N58" s="408"/>
      <c r="O58" s="408"/>
      <c r="P58" s="408"/>
      <c r="Q58" s="408"/>
      <c r="R58" s="408"/>
      <c r="S58" s="402"/>
      <c r="T58" s="408"/>
      <c r="U58" s="408"/>
      <c r="V58" s="401" t="e">
        <v>#N/A</v>
      </c>
      <c r="W58" s="401" t="e">
        <v>#N/A</v>
      </c>
      <c r="X58" s="401" t="e">
        <v>#N/A</v>
      </c>
      <c r="Y58" s="401" t="e">
        <v>#N/A</v>
      </c>
      <c r="Z58" s="401" t="e">
        <v>#N/A</v>
      </c>
      <c r="AA58" s="401" t="e">
        <v>#N/A</v>
      </c>
    </row>
    <row r="59" spans="1:27" s="170" customFormat="1" ht="27" customHeight="1">
      <c r="A59" s="407"/>
      <c r="B59" s="410" t="s">
        <v>4261</v>
      </c>
      <c r="C59" s="408"/>
      <c r="D59" s="410" t="s">
        <v>4260</v>
      </c>
      <c r="E59" s="408" t="s">
        <v>5204</v>
      </c>
      <c r="F59" s="404">
        <v>42004</v>
      </c>
      <c r="G59" s="408"/>
      <c r="H59" s="408"/>
      <c r="I59" s="408"/>
      <c r="J59" s="408"/>
      <c r="K59" s="403" t="s">
        <v>1089</v>
      </c>
      <c r="L59" s="407">
        <v>1.5</v>
      </c>
      <c r="M59" s="408"/>
      <c r="N59" s="408"/>
      <c r="O59" s="408"/>
      <c r="P59" s="408"/>
      <c r="Q59" s="408"/>
      <c r="R59" s="408"/>
      <c r="S59" s="402"/>
      <c r="T59" s="408"/>
      <c r="U59" s="408"/>
      <c r="V59" s="401" t="e">
        <v>#N/A</v>
      </c>
      <c r="W59" s="401" t="e">
        <v>#N/A</v>
      </c>
      <c r="X59" s="401" t="e">
        <v>#N/A</v>
      </c>
      <c r="Y59" s="401" t="e">
        <v>#N/A</v>
      </c>
      <c r="Z59" s="401" t="e">
        <v>#N/A</v>
      </c>
      <c r="AA59" s="401" t="e">
        <v>#N/A</v>
      </c>
    </row>
    <row r="60" spans="1:27" s="170" customFormat="1" ht="27" customHeight="1">
      <c r="A60" s="407"/>
      <c r="B60" s="410" t="s">
        <v>4263</v>
      </c>
      <c r="C60" s="408"/>
      <c r="D60" s="410" t="s">
        <v>4262</v>
      </c>
      <c r="E60" s="408" t="s">
        <v>5204</v>
      </c>
      <c r="F60" s="404">
        <v>42004</v>
      </c>
      <c r="G60" s="408"/>
      <c r="H60" s="408"/>
      <c r="I60" s="408"/>
      <c r="J60" s="408"/>
      <c r="K60" s="403" t="s">
        <v>1089</v>
      </c>
      <c r="L60" s="407">
        <v>1</v>
      </c>
      <c r="M60" s="408"/>
      <c r="N60" s="408"/>
      <c r="O60" s="408"/>
      <c r="P60" s="408"/>
      <c r="Q60" s="408"/>
      <c r="R60" s="408"/>
      <c r="S60" s="402"/>
      <c r="T60" s="408"/>
      <c r="U60" s="408"/>
      <c r="V60" s="401" t="e">
        <v>#N/A</v>
      </c>
      <c r="W60" s="401" t="e">
        <v>#N/A</v>
      </c>
      <c r="X60" s="401" t="e">
        <v>#N/A</v>
      </c>
      <c r="Y60" s="401" t="e">
        <v>#N/A</v>
      </c>
      <c r="Z60" s="401" t="e">
        <v>#N/A</v>
      </c>
      <c r="AA60" s="401" t="e">
        <v>#N/A</v>
      </c>
    </row>
    <row r="61" spans="1:27" s="170" customFormat="1" ht="27" customHeight="1">
      <c r="A61" s="407"/>
      <c r="B61" s="410" t="s">
        <v>4275</v>
      </c>
      <c r="C61" s="408"/>
      <c r="D61" s="410" t="s">
        <v>4274</v>
      </c>
      <c r="E61" s="408" t="s">
        <v>5204</v>
      </c>
      <c r="F61" s="404">
        <v>42004</v>
      </c>
      <c r="G61" s="408"/>
      <c r="H61" s="408"/>
      <c r="I61" s="408"/>
      <c r="J61" s="408"/>
      <c r="K61" s="403" t="s">
        <v>1089</v>
      </c>
      <c r="L61" s="407">
        <v>1.5</v>
      </c>
      <c r="M61" s="408"/>
      <c r="N61" s="408"/>
      <c r="O61" s="408"/>
      <c r="P61" s="408"/>
      <c r="Q61" s="408"/>
      <c r="R61" s="408"/>
      <c r="S61" s="402"/>
      <c r="T61" s="408"/>
      <c r="U61" s="408"/>
      <c r="V61" s="401" t="e">
        <v>#N/A</v>
      </c>
      <c r="W61" s="401" t="e">
        <v>#N/A</v>
      </c>
      <c r="X61" s="401" t="e">
        <v>#N/A</v>
      </c>
      <c r="Y61" s="401" t="e">
        <v>#N/A</v>
      </c>
      <c r="Z61" s="401" t="e">
        <v>#N/A</v>
      </c>
      <c r="AA61" s="401" t="e">
        <v>#N/A</v>
      </c>
    </row>
    <row r="62" spans="1:27" s="170" customFormat="1" ht="27" customHeight="1">
      <c r="A62" s="407"/>
      <c r="B62" s="410" t="s">
        <v>4290</v>
      </c>
      <c r="C62" s="408"/>
      <c r="D62" s="410" t="s">
        <v>4289</v>
      </c>
      <c r="E62" s="408" t="s">
        <v>5204</v>
      </c>
      <c r="F62" s="404">
        <v>42004</v>
      </c>
      <c r="G62" s="408"/>
      <c r="H62" s="408"/>
      <c r="I62" s="408"/>
      <c r="J62" s="408"/>
      <c r="K62" s="403" t="s">
        <v>1089</v>
      </c>
      <c r="L62" s="407">
        <v>2</v>
      </c>
      <c r="M62" s="408"/>
      <c r="N62" s="408"/>
      <c r="O62" s="408"/>
      <c r="P62" s="408"/>
      <c r="Q62" s="408"/>
      <c r="R62" s="408"/>
      <c r="S62" s="402"/>
      <c r="T62" s="408"/>
      <c r="U62" s="408"/>
      <c r="V62" s="401" t="e">
        <v>#N/A</v>
      </c>
      <c r="W62" s="401" t="e">
        <v>#N/A</v>
      </c>
      <c r="X62" s="401" t="e">
        <v>#N/A</v>
      </c>
      <c r="Y62" s="401" t="e">
        <v>#N/A</v>
      </c>
      <c r="Z62" s="401" t="e">
        <v>#N/A</v>
      </c>
      <c r="AA62" s="401" t="e">
        <v>#N/A</v>
      </c>
    </row>
    <row r="63" spans="1:27" s="170" customFormat="1" ht="27" customHeight="1">
      <c r="A63" s="407"/>
      <c r="B63" s="410" t="s">
        <v>4292</v>
      </c>
      <c r="C63" s="408"/>
      <c r="D63" s="410" t="s">
        <v>4291</v>
      </c>
      <c r="E63" s="408" t="s">
        <v>5204</v>
      </c>
      <c r="F63" s="404">
        <v>41275</v>
      </c>
      <c r="G63" s="408"/>
      <c r="H63" s="408"/>
      <c r="I63" s="408"/>
      <c r="J63" s="408"/>
      <c r="K63" s="403" t="s">
        <v>1089</v>
      </c>
      <c r="L63" s="407">
        <v>2</v>
      </c>
      <c r="M63" s="408"/>
      <c r="N63" s="408"/>
      <c r="O63" s="408"/>
      <c r="P63" s="408"/>
      <c r="Q63" s="408"/>
      <c r="R63" s="408"/>
      <c r="S63" s="402"/>
      <c r="T63" s="408"/>
      <c r="U63" s="408"/>
      <c r="V63" s="401" t="e">
        <v>#N/A</v>
      </c>
      <c r="W63" s="401" t="e">
        <v>#N/A</v>
      </c>
      <c r="X63" s="401" t="e">
        <v>#N/A</v>
      </c>
      <c r="Y63" s="401" t="e">
        <v>#N/A</v>
      </c>
      <c r="Z63" s="401" t="e">
        <v>#N/A</v>
      </c>
      <c r="AA63" s="401" t="e">
        <v>#N/A</v>
      </c>
    </row>
    <row r="64" spans="1:27" s="170" customFormat="1" ht="27" customHeight="1">
      <c r="A64" s="407"/>
      <c r="B64" s="410" t="s">
        <v>4309</v>
      </c>
      <c r="C64" s="408"/>
      <c r="D64" s="410" t="s">
        <v>4308</v>
      </c>
      <c r="E64" s="408" t="s">
        <v>5204</v>
      </c>
      <c r="F64" s="404">
        <v>42004</v>
      </c>
      <c r="G64" s="408"/>
      <c r="H64" s="408"/>
      <c r="I64" s="408"/>
      <c r="J64" s="408"/>
      <c r="K64" s="403" t="s">
        <v>1089</v>
      </c>
      <c r="L64" s="407">
        <v>1.5</v>
      </c>
      <c r="M64" s="408"/>
      <c r="N64" s="408"/>
      <c r="O64" s="408"/>
      <c r="P64" s="408"/>
      <c r="Q64" s="408"/>
      <c r="R64" s="408"/>
      <c r="S64" s="402"/>
      <c r="T64" s="408"/>
      <c r="U64" s="408"/>
      <c r="V64" s="401" t="e">
        <v>#N/A</v>
      </c>
      <c r="W64" s="401" t="e">
        <v>#N/A</v>
      </c>
      <c r="X64" s="401" t="e">
        <v>#N/A</v>
      </c>
      <c r="Y64" s="401" t="e">
        <v>#N/A</v>
      </c>
      <c r="Z64" s="401" t="e">
        <v>#N/A</v>
      </c>
      <c r="AA64" s="401" t="e">
        <v>#N/A</v>
      </c>
    </row>
    <row r="65" spans="1:27" s="170" customFormat="1" ht="27" customHeight="1">
      <c r="A65" s="407"/>
      <c r="B65" s="410" t="s">
        <v>4311</v>
      </c>
      <c r="C65" s="408"/>
      <c r="D65" s="410" t="s">
        <v>4310</v>
      </c>
      <c r="E65" s="408" t="s">
        <v>5202</v>
      </c>
      <c r="F65" s="404">
        <v>42004</v>
      </c>
      <c r="G65" s="408"/>
      <c r="H65" s="408"/>
      <c r="I65" s="408"/>
      <c r="J65" s="408"/>
      <c r="K65" s="403" t="s">
        <v>1089</v>
      </c>
      <c r="L65" s="407">
        <v>14</v>
      </c>
      <c r="M65" s="408"/>
      <c r="N65" s="408"/>
      <c r="O65" s="408"/>
      <c r="P65" s="408"/>
      <c r="Q65" s="408"/>
      <c r="R65" s="408"/>
      <c r="S65" s="402"/>
      <c r="T65" s="408"/>
      <c r="U65" s="408"/>
      <c r="V65" s="401" t="e">
        <v>#N/A</v>
      </c>
      <c r="W65" s="401" t="e">
        <v>#N/A</v>
      </c>
      <c r="X65" s="401" t="e">
        <v>#N/A</v>
      </c>
      <c r="Y65" s="401" t="e">
        <v>#N/A</v>
      </c>
      <c r="Z65" s="401" t="e">
        <v>#N/A</v>
      </c>
      <c r="AA65" s="401" t="e">
        <v>#N/A</v>
      </c>
    </row>
    <row r="66" spans="1:27" s="170" customFormat="1" ht="27" customHeight="1">
      <c r="A66" s="407"/>
      <c r="B66" s="410" t="s">
        <v>4313</v>
      </c>
      <c r="C66" s="408"/>
      <c r="D66" s="410" t="s">
        <v>4312</v>
      </c>
      <c r="E66" s="408" t="s">
        <v>5204</v>
      </c>
      <c r="F66" s="404">
        <v>42136</v>
      </c>
      <c r="G66" s="408"/>
      <c r="H66" s="408"/>
      <c r="I66" s="408"/>
      <c r="J66" s="408"/>
      <c r="K66" s="403" t="s">
        <v>1089</v>
      </c>
      <c r="L66" s="407">
        <v>3.6419999999999999</v>
      </c>
      <c r="M66" s="408"/>
      <c r="N66" s="408"/>
      <c r="O66" s="408"/>
      <c r="P66" s="408"/>
      <c r="Q66" s="408"/>
      <c r="R66" s="408"/>
      <c r="S66" s="402"/>
      <c r="T66" s="408"/>
      <c r="U66" s="408"/>
      <c r="V66" s="401" t="e">
        <v>#N/A</v>
      </c>
      <c r="W66" s="401" t="e">
        <v>#N/A</v>
      </c>
      <c r="X66" s="401" t="e">
        <v>#N/A</v>
      </c>
      <c r="Y66" s="401" t="e">
        <v>#N/A</v>
      </c>
      <c r="Z66" s="401" t="e">
        <v>#N/A</v>
      </c>
      <c r="AA66" s="401" t="e">
        <v>#N/A</v>
      </c>
    </row>
    <row r="67" spans="1:27" s="170" customFormat="1" ht="27" customHeight="1">
      <c r="A67" s="407"/>
      <c r="B67" s="410" t="s">
        <v>4323</v>
      </c>
      <c r="C67" s="408"/>
      <c r="D67" s="410" t="s">
        <v>4322</v>
      </c>
      <c r="E67" s="408" t="s">
        <v>5204</v>
      </c>
      <c r="F67" s="404">
        <v>42004</v>
      </c>
      <c r="G67" s="408"/>
      <c r="H67" s="408"/>
      <c r="I67" s="408"/>
      <c r="J67" s="408"/>
      <c r="K67" s="403" t="s">
        <v>1089</v>
      </c>
      <c r="L67" s="407">
        <v>1.5</v>
      </c>
      <c r="M67" s="408"/>
      <c r="N67" s="408"/>
      <c r="O67" s="408"/>
      <c r="P67" s="408"/>
      <c r="Q67" s="408"/>
      <c r="R67" s="408"/>
      <c r="S67" s="402"/>
      <c r="T67" s="408"/>
      <c r="U67" s="408"/>
      <c r="V67" s="401" t="e">
        <v>#N/A</v>
      </c>
      <c r="W67" s="401" t="e">
        <v>#N/A</v>
      </c>
      <c r="X67" s="401" t="e">
        <v>#N/A</v>
      </c>
      <c r="Y67" s="401" t="e">
        <v>#N/A</v>
      </c>
      <c r="Z67" s="401" t="e">
        <v>#N/A</v>
      </c>
      <c r="AA67" s="401" t="e">
        <v>#N/A</v>
      </c>
    </row>
    <row r="68" spans="1:27" s="170" customFormat="1" ht="27" customHeight="1">
      <c r="A68" s="407"/>
      <c r="B68" s="410" t="s">
        <v>4337</v>
      </c>
      <c r="C68" s="408"/>
      <c r="D68" s="410" t="s">
        <v>4336</v>
      </c>
      <c r="E68" s="408" t="s">
        <v>5201</v>
      </c>
      <c r="F68" s="404">
        <v>40532</v>
      </c>
      <c r="G68" s="408"/>
      <c r="H68" s="408"/>
      <c r="I68" s="408"/>
      <c r="J68" s="408"/>
      <c r="K68" s="403" t="s">
        <v>1089</v>
      </c>
      <c r="L68" s="407">
        <v>1.1000000000000001</v>
      </c>
      <c r="M68" s="408"/>
      <c r="N68" s="408"/>
      <c r="O68" s="408"/>
      <c r="P68" s="408"/>
      <c r="Q68" s="408"/>
      <c r="R68" s="408"/>
      <c r="S68" s="402"/>
      <c r="T68" s="408"/>
      <c r="U68" s="408"/>
      <c r="V68" s="401" t="e">
        <v>#N/A</v>
      </c>
      <c r="W68" s="401" t="e">
        <v>#N/A</v>
      </c>
      <c r="X68" s="401" t="e">
        <v>#N/A</v>
      </c>
      <c r="Y68" s="401" t="e">
        <v>#N/A</v>
      </c>
      <c r="Z68" s="401" t="e">
        <v>#N/A</v>
      </c>
      <c r="AA68" s="401" t="e">
        <v>#N/A</v>
      </c>
    </row>
    <row r="69" spans="1:27" s="170" customFormat="1" ht="27" customHeight="1">
      <c r="A69" s="407"/>
      <c r="B69" s="410" t="s">
        <v>4376</v>
      </c>
      <c r="C69" s="408"/>
      <c r="D69" s="410" t="s">
        <v>4375</v>
      </c>
      <c r="E69" s="408" t="s">
        <v>5201</v>
      </c>
      <c r="F69" s="404">
        <v>41094</v>
      </c>
      <c r="G69" s="408"/>
      <c r="H69" s="408"/>
      <c r="I69" s="408"/>
      <c r="J69" s="408"/>
      <c r="K69" s="403" t="s">
        <v>1089</v>
      </c>
      <c r="L69" s="407">
        <v>4</v>
      </c>
      <c r="M69" s="408"/>
      <c r="N69" s="408"/>
      <c r="O69" s="408"/>
      <c r="P69" s="408"/>
      <c r="Q69" s="408"/>
      <c r="R69" s="408"/>
      <c r="S69" s="402"/>
      <c r="T69" s="408"/>
      <c r="U69" s="408"/>
      <c r="V69" s="401" t="e">
        <v>#N/A</v>
      </c>
      <c r="W69" s="401" t="e">
        <v>#N/A</v>
      </c>
      <c r="X69" s="401" t="e">
        <v>#N/A</v>
      </c>
      <c r="Y69" s="401" t="e">
        <v>#N/A</v>
      </c>
      <c r="Z69" s="401" t="e">
        <v>#N/A</v>
      </c>
      <c r="AA69" s="401" t="e">
        <v>#N/A</v>
      </c>
    </row>
    <row r="70" spans="1:27" s="170" customFormat="1" ht="27" customHeight="1">
      <c r="A70" s="407"/>
      <c r="B70" s="410" t="s">
        <v>4378</v>
      </c>
      <c r="C70" s="408"/>
      <c r="D70" s="410" t="s">
        <v>4377</v>
      </c>
      <c r="E70" s="408" t="s">
        <v>5202</v>
      </c>
      <c r="F70" s="404">
        <v>42004</v>
      </c>
      <c r="G70" s="408"/>
      <c r="H70" s="408"/>
      <c r="I70" s="408"/>
      <c r="J70" s="408"/>
      <c r="K70" s="403" t="s">
        <v>1089</v>
      </c>
      <c r="L70" s="407">
        <v>1.5</v>
      </c>
      <c r="M70" s="408"/>
      <c r="N70" s="408"/>
      <c r="O70" s="408"/>
      <c r="P70" s="408"/>
      <c r="Q70" s="408"/>
      <c r="R70" s="408"/>
      <c r="S70" s="402"/>
      <c r="T70" s="408"/>
      <c r="U70" s="408"/>
      <c r="V70" s="401" t="e">
        <v>#N/A</v>
      </c>
      <c r="W70" s="401" t="e">
        <v>#N/A</v>
      </c>
      <c r="X70" s="401" t="e">
        <v>#N/A</v>
      </c>
      <c r="Y70" s="401" t="e">
        <v>#N/A</v>
      </c>
      <c r="Z70" s="401" t="e">
        <v>#N/A</v>
      </c>
      <c r="AA70" s="401" t="e">
        <v>#N/A</v>
      </c>
    </row>
    <row r="71" spans="1:27" s="170" customFormat="1" ht="27" customHeight="1">
      <c r="A71" s="407"/>
      <c r="B71" s="410" t="s">
        <v>4386</v>
      </c>
      <c r="C71" s="408"/>
      <c r="D71" s="410" t="s">
        <v>4385</v>
      </c>
      <c r="E71" s="408" t="s">
        <v>5204</v>
      </c>
      <c r="F71" s="404">
        <v>41274</v>
      </c>
      <c r="G71" s="408"/>
      <c r="H71" s="408"/>
      <c r="I71" s="408"/>
      <c r="J71" s="408"/>
      <c r="K71" s="403" t="s">
        <v>1089</v>
      </c>
      <c r="L71" s="407">
        <v>1.5</v>
      </c>
      <c r="M71" s="408"/>
      <c r="N71" s="408"/>
      <c r="O71" s="408"/>
      <c r="P71" s="408"/>
      <c r="Q71" s="408"/>
      <c r="R71" s="408"/>
      <c r="S71" s="402"/>
      <c r="T71" s="408"/>
      <c r="U71" s="408"/>
      <c r="V71" s="401" t="e">
        <v>#N/A</v>
      </c>
      <c r="W71" s="401" t="e">
        <v>#N/A</v>
      </c>
      <c r="X71" s="401" t="e">
        <v>#N/A</v>
      </c>
      <c r="Y71" s="401" t="e">
        <v>#N/A</v>
      </c>
      <c r="Z71" s="401" t="e">
        <v>#N/A</v>
      </c>
      <c r="AA71" s="401" t="e">
        <v>#N/A</v>
      </c>
    </row>
    <row r="72" spans="1:27" s="170" customFormat="1" ht="27" customHeight="1">
      <c r="A72" s="407"/>
      <c r="B72" s="410" t="s">
        <v>4388</v>
      </c>
      <c r="C72" s="408"/>
      <c r="D72" s="410" t="s">
        <v>4387</v>
      </c>
      <c r="E72" s="408" t="s">
        <v>5204</v>
      </c>
      <c r="F72" s="404">
        <v>42004</v>
      </c>
      <c r="G72" s="408"/>
      <c r="H72" s="408"/>
      <c r="I72" s="408"/>
      <c r="J72" s="408"/>
      <c r="K72" s="403" t="s">
        <v>1089</v>
      </c>
      <c r="L72" s="407">
        <v>1</v>
      </c>
      <c r="M72" s="408"/>
      <c r="N72" s="408"/>
      <c r="O72" s="408"/>
      <c r="P72" s="408"/>
      <c r="Q72" s="408"/>
      <c r="R72" s="408"/>
      <c r="S72" s="402"/>
      <c r="T72" s="408"/>
      <c r="U72" s="408"/>
      <c r="V72" s="401" t="e">
        <v>#N/A</v>
      </c>
      <c r="W72" s="401" t="e">
        <v>#N/A</v>
      </c>
      <c r="X72" s="401" t="e">
        <v>#N/A</v>
      </c>
      <c r="Y72" s="401" t="e">
        <v>#N/A</v>
      </c>
      <c r="Z72" s="401" t="e">
        <v>#N/A</v>
      </c>
      <c r="AA72" s="401" t="e">
        <v>#N/A</v>
      </c>
    </row>
    <row r="73" spans="1:27" s="170" customFormat="1" ht="27" customHeight="1">
      <c r="A73" s="407"/>
      <c r="B73" s="410" t="s">
        <v>4390</v>
      </c>
      <c r="C73" s="408"/>
      <c r="D73" s="410" t="s">
        <v>4389</v>
      </c>
      <c r="E73" s="408" t="s">
        <v>5204</v>
      </c>
      <c r="F73" s="404">
        <v>42004</v>
      </c>
      <c r="G73" s="408"/>
      <c r="H73" s="408"/>
      <c r="I73" s="408"/>
      <c r="J73" s="408"/>
      <c r="K73" s="403" t="s">
        <v>1089</v>
      </c>
      <c r="L73" s="407">
        <v>1</v>
      </c>
      <c r="M73" s="408"/>
      <c r="N73" s="408"/>
      <c r="O73" s="408"/>
      <c r="P73" s="408"/>
      <c r="Q73" s="408"/>
      <c r="R73" s="408"/>
      <c r="S73" s="402"/>
      <c r="T73" s="408"/>
      <c r="U73" s="408"/>
      <c r="V73" s="401" t="e">
        <v>#N/A</v>
      </c>
      <c r="W73" s="401" t="e">
        <v>#N/A</v>
      </c>
      <c r="X73" s="401" t="e">
        <v>#N/A</v>
      </c>
      <c r="Y73" s="401" t="e">
        <v>#N/A</v>
      </c>
      <c r="Z73" s="401" t="e">
        <v>#N/A</v>
      </c>
      <c r="AA73" s="401" t="e">
        <v>#N/A</v>
      </c>
    </row>
    <row r="74" spans="1:27" s="170" customFormat="1" ht="27" customHeight="1">
      <c r="A74" s="407"/>
      <c r="B74" s="410" t="s">
        <v>4392</v>
      </c>
      <c r="C74" s="408"/>
      <c r="D74" s="410" t="s">
        <v>4391</v>
      </c>
      <c r="E74" s="408" t="s">
        <v>5202</v>
      </c>
      <c r="F74" s="404">
        <v>42004</v>
      </c>
      <c r="G74" s="408"/>
      <c r="H74" s="408"/>
      <c r="I74" s="408"/>
      <c r="J74" s="408"/>
      <c r="K74" s="403" t="s">
        <v>1089</v>
      </c>
      <c r="L74" s="407">
        <v>1.5</v>
      </c>
      <c r="M74" s="408"/>
      <c r="N74" s="408"/>
      <c r="O74" s="408"/>
      <c r="P74" s="408"/>
      <c r="Q74" s="408"/>
      <c r="R74" s="408"/>
      <c r="S74" s="402"/>
      <c r="T74" s="408"/>
      <c r="U74" s="408"/>
      <c r="V74" s="401" t="e">
        <v>#N/A</v>
      </c>
      <c r="W74" s="401" t="e">
        <v>#N/A</v>
      </c>
      <c r="X74" s="401" t="e">
        <v>#N/A</v>
      </c>
      <c r="Y74" s="401" t="e">
        <v>#N/A</v>
      </c>
      <c r="Z74" s="401" t="e">
        <v>#N/A</v>
      </c>
      <c r="AA74" s="401" t="e">
        <v>#N/A</v>
      </c>
    </row>
    <row r="75" spans="1:27" s="170" customFormat="1" ht="27" customHeight="1">
      <c r="A75" s="407"/>
      <c r="B75" s="410" t="s">
        <v>4394</v>
      </c>
      <c r="C75" s="408"/>
      <c r="D75" s="410" t="s">
        <v>4393</v>
      </c>
      <c r="E75" s="408" t="s">
        <v>5202</v>
      </c>
      <c r="F75" s="404">
        <v>39904</v>
      </c>
      <c r="G75" s="408"/>
      <c r="H75" s="408"/>
      <c r="I75" s="408"/>
      <c r="J75" s="408"/>
      <c r="K75" s="403" t="s">
        <v>1089</v>
      </c>
      <c r="L75" s="407">
        <v>1.05</v>
      </c>
      <c r="M75" s="408"/>
      <c r="N75" s="408"/>
      <c r="O75" s="408"/>
      <c r="P75" s="408"/>
      <c r="Q75" s="408"/>
      <c r="R75" s="408"/>
      <c r="S75" s="402"/>
      <c r="T75" s="408"/>
      <c r="U75" s="408"/>
      <c r="V75" s="401" t="e">
        <v>#N/A</v>
      </c>
      <c r="W75" s="401" t="e">
        <v>#N/A</v>
      </c>
      <c r="X75" s="401" t="e">
        <v>#N/A</v>
      </c>
      <c r="Y75" s="401" t="e">
        <v>#N/A</v>
      </c>
      <c r="Z75" s="401" t="e">
        <v>#N/A</v>
      </c>
      <c r="AA75" s="401" t="e">
        <v>#N/A</v>
      </c>
    </row>
    <row r="76" spans="1:27" s="170" customFormat="1" ht="27" customHeight="1">
      <c r="A76" s="407"/>
      <c r="B76" s="410" t="s">
        <v>4398</v>
      </c>
      <c r="C76" s="408"/>
      <c r="D76" s="410" t="s">
        <v>4397</v>
      </c>
      <c r="E76" s="408" t="s">
        <v>5218</v>
      </c>
      <c r="F76" s="404">
        <v>42004</v>
      </c>
      <c r="G76" s="408"/>
      <c r="H76" s="408"/>
      <c r="I76" s="408"/>
      <c r="J76" s="408"/>
      <c r="K76" s="403" t="s">
        <v>1089</v>
      </c>
      <c r="L76" s="407">
        <v>1.5</v>
      </c>
      <c r="M76" s="408"/>
      <c r="N76" s="408"/>
      <c r="O76" s="408"/>
      <c r="P76" s="408"/>
      <c r="Q76" s="408"/>
      <c r="R76" s="408"/>
      <c r="S76" s="402"/>
      <c r="T76" s="408"/>
      <c r="U76" s="408"/>
      <c r="V76" s="401" t="e">
        <v>#N/A</v>
      </c>
      <c r="W76" s="401" t="e">
        <v>#N/A</v>
      </c>
      <c r="X76" s="401" t="e">
        <v>#N/A</v>
      </c>
      <c r="Y76" s="401" t="e">
        <v>#N/A</v>
      </c>
      <c r="Z76" s="401" t="e">
        <v>#N/A</v>
      </c>
      <c r="AA76" s="401" t="e">
        <v>#N/A</v>
      </c>
    </row>
    <row r="77" spans="1:27" s="170" customFormat="1" ht="27" customHeight="1">
      <c r="A77" s="407"/>
      <c r="B77" s="410" t="s">
        <v>4404</v>
      </c>
      <c r="C77" s="408"/>
      <c r="D77" s="410" t="s">
        <v>4403</v>
      </c>
      <c r="E77" s="408" t="s">
        <v>5204</v>
      </c>
      <c r="F77" s="404">
        <v>42004</v>
      </c>
      <c r="G77" s="408"/>
      <c r="H77" s="408"/>
      <c r="I77" s="408"/>
      <c r="J77" s="408"/>
      <c r="K77" s="403" t="s">
        <v>1089</v>
      </c>
      <c r="L77" s="407">
        <v>1.5</v>
      </c>
      <c r="M77" s="408"/>
      <c r="N77" s="408"/>
      <c r="O77" s="408"/>
      <c r="P77" s="408"/>
      <c r="Q77" s="408"/>
      <c r="R77" s="408"/>
      <c r="S77" s="402"/>
      <c r="T77" s="408"/>
      <c r="U77" s="408"/>
      <c r="V77" s="401" t="e">
        <v>#N/A</v>
      </c>
      <c r="W77" s="401" t="e">
        <v>#N/A</v>
      </c>
      <c r="X77" s="401" t="e">
        <v>#N/A</v>
      </c>
      <c r="Y77" s="401" t="e">
        <v>#N/A</v>
      </c>
      <c r="Z77" s="401" t="e">
        <v>#N/A</v>
      </c>
      <c r="AA77" s="401" t="e">
        <v>#N/A</v>
      </c>
    </row>
    <row r="78" spans="1:27" s="170" customFormat="1" ht="27" customHeight="1">
      <c r="A78" s="407"/>
      <c r="B78" s="410" t="s">
        <v>4406</v>
      </c>
      <c r="C78" s="408"/>
      <c r="D78" s="410" t="s">
        <v>4405</v>
      </c>
      <c r="E78" s="408" t="s">
        <v>5204</v>
      </c>
      <c r="F78" s="404">
        <v>42004</v>
      </c>
      <c r="G78" s="408"/>
      <c r="H78" s="408"/>
      <c r="I78" s="408"/>
      <c r="J78" s="408"/>
      <c r="K78" s="403" t="s">
        <v>1089</v>
      </c>
      <c r="L78" s="407">
        <v>1</v>
      </c>
      <c r="M78" s="408"/>
      <c r="N78" s="408"/>
      <c r="O78" s="408"/>
      <c r="P78" s="408"/>
      <c r="Q78" s="408"/>
      <c r="R78" s="408"/>
      <c r="S78" s="402"/>
      <c r="T78" s="408"/>
      <c r="U78" s="408"/>
      <c r="V78" s="401" t="e">
        <v>#N/A</v>
      </c>
      <c r="W78" s="401" t="e">
        <v>#N/A</v>
      </c>
      <c r="X78" s="401" t="e">
        <v>#N/A</v>
      </c>
      <c r="Y78" s="401" t="e">
        <v>#N/A</v>
      </c>
      <c r="Z78" s="401" t="e">
        <v>#N/A</v>
      </c>
      <c r="AA78" s="401" t="e">
        <v>#N/A</v>
      </c>
    </row>
    <row r="79" spans="1:27" s="170" customFormat="1" ht="27" customHeight="1">
      <c r="A79" s="407"/>
      <c r="B79" s="410" t="s">
        <v>4414</v>
      </c>
      <c r="C79" s="408"/>
      <c r="D79" s="410" t="s">
        <v>4413</v>
      </c>
      <c r="E79" s="408" t="s">
        <v>5204</v>
      </c>
      <c r="F79" s="404">
        <v>42004</v>
      </c>
      <c r="G79" s="408"/>
      <c r="H79" s="408"/>
      <c r="I79" s="408"/>
      <c r="J79" s="408"/>
      <c r="K79" s="403" t="s">
        <v>1089</v>
      </c>
      <c r="L79" s="407">
        <v>1</v>
      </c>
      <c r="M79" s="408"/>
      <c r="N79" s="408"/>
      <c r="O79" s="408"/>
      <c r="P79" s="408"/>
      <c r="Q79" s="408"/>
      <c r="R79" s="408"/>
      <c r="S79" s="402"/>
      <c r="T79" s="408"/>
      <c r="U79" s="408"/>
      <c r="V79" s="401" t="e">
        <v>#N/A</v>
      </c>
      <c r="W79" s="401" t="e">
        <v>#N/A</v>
      </c>
      <c r="X79" s="401" t="e">
        <v>#N/A</v>
      </c>
      <c r="Y79" s="401" t="e">
        <v>#N/A</v>
      </c>
      <c r="Z79" s="401" t="e">
        <v>#N/A</v>
      </c>
      <c r="AA79" s="401" t="e">
        <v>#N/A</v>
      </c>
    </row>
    <row r="80" spans="1:27" s="170" customFormat="1" ht="27" customHeight="1">
      <c r="A80" s="407"/>
      <c r="B80" s="410" t="s">
        <v>4416</v>
      </c>
      <c r="C80" s="408"/>
      <c r="D80" s="410" t="s">
        <v>4415</v>
      </c>
      <c r="E80" s="408" t="s">
        <v>5204</v>
      </c>
      <c r="F80" s="404">
        <v>42004</v>
      </c>
      <c r="G80" s="408"/>
      <c r="H80" s="408"/>
      <c r="I80" s="408"/>
      <c r="J80" s="408"/>
      <c r="K80" s="403" t="s">
        <v>1089</v>
      </c>
      <c r="L80" s="407">
        <v>1</v>
      </c>
      <c r="M80" s="408"/>
      <c r="N80" s="408"/>
      <c r="O80" s="408"/>
      <c r="P80" s="408"/>
      <c r="Q80" s="408"/>
      <c r="R80" s="408"/>
      <c r="S80" s="402"/>
      <c r="T80" s="408"/>
      <c r="U80" s="408"/>
      <c r="V80" s="401" t="e">
        <v>#N/A</v>
      </c>
      <c r="W80" s="401" t="e">
        <v>#N/A</v>
      </c>
      <c r="X80" s="401" t="e">
        <v>#N/A</v>
      </c>
      <c r="Y80" s="401" t="e">
        <v>#N/A</v>
      </c>
      <c r="Z80" s="401" t="e">
        <v>#N/A</v>
      </c>
      <c r="AA80" s="401" t="e">
        <v>#N/A</v>
      </c>
    </row>
    <row r="81" spans="1:27" s="170" customFormat="1" ht="27" customHeight="1">
      <c r="A81" s="407"/>
      <c r="B81" s="410" t="s">
        <v>4418</v>
      </c>
      <c r="C81" s="408"/>
      <c r="D81" s="410" t="s">
        <v>4417</v>
      </c>
      <c r="E81" s="408" t="s">
        <v>5204</v>
      </c>
      <c r="F81" s="404">
        <v>40909</v>
      </c>
      <c r="G81" s="408"/>
      <c r="H81" s="408"/>
      <c r="I81" s="408"/>
      <c r="J81" s="408"/>
      <c r="K81" s="403" t="s">
        <v>1089</v>
      </c>
      <c r="L81" s="407">
        <v>2.0369999999999999</v>
      </c>
      <c r="M81" s="408"/>
      <c r="N81" s="408"/>
      <c r="O81" s="408"/>
      <c r="P81" s="408"/>
      <c r="Q81" s="408"/>
      <c r="R81" s="408"/>
      <c r="S81" s="402"/>
      <c r="T81" s="408"/>
      <c r="U81" s="408"/>
      <c r="V81" s="401" t="e">
        <v>#N/A</v>
      </c>
      <c r="W81" s="401" t="e">
        <v>#N/A</v>
      </c>
      <c r="X81" s="401" t="e">
        <v>#N/A</v>
      </c>
      <c r="Y81" s="401" t="e">
        <v>#N/A</v>
      </c>
      <c r="Z81" s="401" t="e">
        <v>#N/A</v>
      </c>
      <c r="AA81" s="401" t="e">
        <v>#N/A</v>
      </c>
    </row>
    <row r="82" spans="1:27" s="170" customFormat="1" ht="27" customHeight="1">
      <c r="A82" s="407"/>
      <c r="B82" s="410" t="s">
        <v>4422</v>
      </c>
      <c r="C82" s="408"/>
      <c r="D82" s="410" t="s">
        <v>4421</v>
      </c>
      <c r="E82" s="408" t="s">
        <v>5220</v>
      </c>
      <c r="F82" s="404">
        <v>41275</v>
      </c>
      <c r="G82" s="408"/>
      <c r="H82" s="408"/>
      <c r="I82" s="408"/>
      <c r="J82" s="408"/>
      <c r="K82" s="403" t="s">
        <v>1089</v>
      </c>
      <c r="L82" s="407">
        <v>2.282</v>
      </c>
      <c r="M82" s="408"/>
      <c r="N82" s="408"/>
      <c r="O82" s="408"/>
      <c r="P82" s="408"/>
      <c r="Q82" s="408"/>
      <c r="R82" s="408"/>
      <c r="S82" s="402"/>
      <c r="T82" s="408"/>
      <c r="U82" s="408"/>
      <c r="V82" s="401" t="e">
        <v>#N/A</v>
      </c>
      <c r="W82" s="401" t="e">
        <v>#N/A</v>
      </c>
      <c r="X82" s="401" t="e">
        <v>#N/A</v>
      </c>
      <c r="Y82" s="401" t="e">
        <v>#N/A</v>
      </c>
      <c r="Z82" s="401" t="e">
        <v>#N/A</v>
      </c>
      <c r="AA82" s="401" t="e">
        <v>#N/A</v>
      </c>
    </row>
    <row r="83" spans="1:27" s="170" customFormat="1" ht="27" customHeight="1">
      <c r="A83" s="407"/>
      <c r="B83" s="410" t="s">
        <v>4437</v>
      </c>
      <c r="C83" s="408"/>
      <c r="D83" s="410" t="s">
        <v>4436</v>
      </c>
      <c r="E83" s="408" t="s">
        <v>5204</v>
      </c>
      <c r="F83" s="404">
        <v>42004</v>
      </c>
      <c r="G83" s="408"/>
      <c r="H83" s="408"/>
      <c r="I83" s="408"/>
      <c r="J83" s="408"/>
      <c r="K83" s="403" t="s">
        <v>1089</v>
      </c>
      <c r="L83" s="407">
        <v>1.5</v>
      </c>
      <c r="M83" s="408"/>
      <c r="N83" s="408"/>
      <c r="O83" s="408"/>
      <c r="P83" s="408"/>
      <c r="Q83" s="408"/>
      <c r="R83" s="408"/>
      <c r="S83" s="402"/>
      <c r="T83" s="408"/>
      <c r="U83" s="408"/>
      <c r="V83" s="401" t="e">
        <v>#N/A</v>
      </c>
      <c r="W83" s="401" t="e">
        <v>#N/A</v>
      </c>
      <c r="X83" s="401" t="e">
        <v>#N/A</v>
      </c>
      <c r="Y83" s="401" t="e">
        <v>#N/A</v>
      </c>
      <c r="Z83" s="401" t="e">
        <v>#N/A</v>
      </c>
      <c r="AA83" s="401" t="e">
        <v>#N/A</v>
      </c>
    </row>
    <row r="84" spans="1:27" s="170" customFormat="1" ht="27" customHeight="1">
      <c r="A84" s="407"/>
      <c r="B84" s="410" t="s">
        <v>4452</v>
      </c>
      <c r="C84" s="408"/>
      <c r="D84" s="410" t="s">
        <v>4451</v>
      </c>
      <c r="E84" s="408" t="s">
        <v>5204</v>
      </c>
      <c r="F84" s="404">
        <v>42004</v>
      </c>
      <c r="G84" s="408"/>
      <c r="H84" s="408"/>
      <c r="I84" s="408"/>
      <c r="J84" s="408"/>
      <c r="K84" s="403" t="s">
        <v>1089</v>
      </c>
      <c r="L84" s="407">
        <v>1.5</v>
      </c>
      <c r="M84" s="408"/>
      <c r="N84" s="408"/>
      <c r="O84" s="408"/>
      <c r="P84" s="408"/>
      <c r="Q84" s="408"/>
      <c r="R84" s="408"/>
      <c r="S84" s="402"/>
      <c r="T84" s="408"/>
      <c r="U84" s="408"/>
      <c r="V84" s="401" t="e">
        <v>#N/A</v>
      </c>
      <c r="W84" s="401" t="e">
        <v>#N/A</v>
      </c>
      <c r="X84" s="401" t="e">
        <v>#N/A</v>
      </c>
      <c r="Y84" s="401" t="e">
        <v>#N/A</v>
      </c>
      <c r="Z84" s="401" t="e">
        <v>#N/A</v>
      </c>
      <c r="AA84" s="401" t="e">
        <v>#N/A</v>
      </c>
    </row>
    <row r="85" spans="1:27" s="170" customFormat="1" ht="27" customHeight="1">
      <c r="A85" s="407"/>
      <c r="B85" s="410" t="s">
        <v>4454</v>
      </c>
      <c r="C85" s="408"/>
      <c r="D85" s="410" t="s">
        <v>4453</v>
      </c>
      <c r="E85" s="408" t="s">
        <v>5204</v>
      </c>
      <c r="F85" s="404">
        <v>42004</v>
      </c>
      <c r="G85" s="408"/>
      <c r="H85" s="408"/>
      <c r="I85" s="408"/>
      <c r="J85" s="408"/>
      <c r="K85" s="403" t="s">
        <v>1089</v>
      </c>
      <c r="L85" s="407">
        <v>1.5</v>
      </c>
      <c r="M85" s="408"/>
      <c r="N85" s="408"/>
      <c r="O85" s="408"/>
      <c r="P85" s="408"/>
      <c r="Q85" s="408"/>
      <c r="R85" s="408"/>
      <c r="S85" s="402"/>
      <c r="T85" s="408"/>
      <c r="U85" s="408"/>
      <c r="V85" s="401" t="e">
        <v>#N/A</v>
      </c>
      <c r="W85" s="401" t="e">
        <v>#N/A</v>
      </c>
      <c r="X85" s="401" t="e">
        <v>#N/A</v>
      </c>
      <c r="Y85" s="401" t="e">
        <v>#N/A</v>
      </c>
      <c r="Z85" s="401" t="e">
        <v>#N/A</v>
      </c>
      <c r="AA85" s="401" t="e">
        <v>#N/A</v>
      </c>
    </row>
    <row r="86" spans="1:27" s="170" customFormat="1" ht="27" customHeight="1">
      <c r="A86" s="407"/>
      <c r="B86" s="410" t="s">
        <v>4456</v>
      </c>
      <c r="C86" s="408"/>
      <c r="D86" s="410" t="s">
        <v>4455</v>
      </c>
      <c r="E86" s="408" t="s">
        <v>5204</v>
      </c>
      <c r="F86" s="404">
        <v>42004</v>
      </c>
      <c r="G86" s="408"/>
      <c r="H86" s="408"/>
      <c r="I86" s="408"/>
      <c r="J86" s="408"/>
      <c r="K86" s="403" t="s">
        <v>1089</v>
      </c>
      <c r="L86" s="407">
        <v>1</v>
      </c>
      <c r="M86" s="408"/>
      <c r="N86" s="408"/>
      <c r="O86" s="408"/>
      <c r="P86" s="408"/>
      <c r="Q86" s="408"/>
      <c r="R86" s="408"/>
      <c r="S86" s="402"/>
      <c r="T86" s="408"/>
      <c r="U86" s="408"/>
      <c r="V86" s="401" t="e">
        <v>#N/A</v>
      </c>
      <c r="W86" s="401" t="e">
        <v>#N/A</v>
      </c>
      <c r="X86" s="401" t="e">
        <v>#N/A</v>
      </c>
      <c r="Y86" s="401" t="e">
        <v>#N/A</v>
      </c>
      <c r="Z86" s="401" t="e">
        <v>#N/A</v>
      </c>
      <c r="AA86" s="401" t="e">
        <v>#N/A</v>
      </c>
    </row>
    <row r="87" spans="1:27" s="170" customFormat="1" ht="27" customHeight="1">
      <c r="A87" s="407"/>
      <c r="B87" s="410" t="s">
        <v>4460</v>
      </c>
      <c r="C87" s="408"/>
      <c r="D87" s="410" t="s">
        <v>4459</v>
      </c>
      <c r="E87" s="408" t="s">
        <v>5204</v>
      </c>
      <c r="F87" s="404">
        <v>41180</v>
      </c>
      <c r="G87" s="408"/>
      <c r="H87" s="408"/>
      <c r="I87" s="408"/>
      <c r="J87" s="408"/>
      <c r="K87" s="403" t="s">
        <v>1089</v>
      </c>
      <c r="L87" s="407">
        <v>4</v>
      </c>
      <c r="M87" s="408"/>
      <c r="N87" s="408"/>
      <c r="O87" s="408"/>
      <c r="P87" s="408"/>
      <c r="Q87" s="408"/>
      <c r="R87" s="408"/>
      <c r="S87" s="402"/>
      <c r="T87" s="408"/>
      <c r="U87" s="408"/>
      <c r="V87" s="401" t="e">
        <v>#N/A</v>
      </c>
      <c r="W87" s="401" t="e">
        <v>#N/A</v>
      </c>
      <c r="X87" s="401" t="e">
        <v>#N/A</v>
      </c>
      <c r="Y87" s="401" t="e">
        <v>#N/A</v>
      </c>
      <c r="Z87" s="401" t="e">
        <v>#N/A</v>
      </c>
      <c r="AA87" s="401" t="e">
        <v>#N/A</v>
      </c>
    </row>
    <row r="88" spans="1:27" s="170" customFormat="1" ht="27" customHeight="1">
      <c r="A88" s="407"/>
      <c r="B88" s="410" t="s">
        <v>4464</v>
      </c>
      <c r="C88" s="408"/>
      <c r="D88" s="410" t="s">
        <v>4463</v>
      </c>
      <c r="E88" s="408" t="s">
        <v>5204</v>
      </c>
      <c r="F88" s="404">
        <v>41275</v>
      </c>
      <c r="G88" s="408"/>
      <c r="H88" s="408"/>
      <c r="I88" s="408"/>
      <c r="J88" s="408"/>
      <c r="K88" s="403" t="s">
        <v>1089</v>
      </c>
      <c r="L88" s="407">
        <v>1.1419999999999999</v>
      </c>
      <c r="M88" s="408"/>
      <c r="N88" s="408"/>
      <c r="O88" s="408"/>
      <c r="P88" s="408"/>
      <c r="Q88" s="408"/>
      <c r="R88" s="408"/>
      <c r="S88" s="402"/>
      <c r="T88" s="408"/>
      <c r="U88" s="408"/>
      <c r="V88" s="401" t="e">
        <v>#N/A</v>
      </c>
      <c r="W88" s="401" t="e">
        <v>#N/A</v>
      </c>
      <c r="X88" s="401" t="e">
        <v>#N/A</v>
      </c>
      <c r="Y88" s="401" t="e">
        <v>#N/A</v>
      </c>
      <c r="Z88" s="401" t="e">
        <v>#N/A</v>
      </c>
      <c r="AA88" s="401" t="e">
        <v>#N/A</v>
      </c>
    </row>
    <row r="89" spans="1:27" s="170" customFormat="1" ht="27" customHeight="1">
      <c r="A89" s="407"/>
      <c r="B89" s="410" t="s">
        <v>4484</v>
      </c>
      <c r="C89" s="408"/>
      <c r="D89" s="410" t="s">
        <v>4483</v>
      </c>
      <c r="E89" s="408" t="s">
        <v>5204</v>
      </c>
      <c r="F89" s="404">
        <v>41093</v>
      </c>
      <c r="G89" s="408"/>
      <c r="H89" s="408"/>
      <c r="I89" s="408"/>
      <c r="J89" s="408"/>
      <c r="K89" s="403" t="s">
        <v>1089</v>
      </c>
      <c r="L89" s="407">
        <v>0.999</v>
      </c>
      <c r="M89" s="408"/>
      <c r="N89" s="408"/>
      <c r="O89" s="408"/>
      <c r="P89" s="408"/>
      <c r="Q89" s="408"/>
      <c r="R89" s="408"/>
      <c r="S89" s="402"/>
      <c r="T89" s="408"/>
      <c r="U89" s="408"/>
      <c r="V89" s="401" t="e">
        <v>#N/A</v>
      </c>
      <c r="W89" s="401" t="e">
        <v>#N/A</v>
      </c>
      <c r="X89" s="401" t="e">
        <v>#N/A</v>
      </c>
      <c r="Y89" s="401" t="e">
        <v>#N/A</v>
      </c>
      <c r="Z89" s="401" t="e">
        <v>#N/A</v>
      </c>
      <c r="AA89" s="401" t="e">
        <v>#N/A</v>
      </c>
    </row>
    <row r="90" spans="1:27" s="171" customFormat="1" ht="27" customHeight="1">
      <c r="A90" s="407"/>
      <c r="B90" s="410" t="s">
        <v>4492</v>
      </c>
      <c r="C90" s="408"/>
      <c r="D90" s="410" t="s">
        <v>4491</v>
      </c>
      <c r="E90" s="408" t="s">
        <v>5204</v>
      </c>
      <c r="F90" s="404">
        <v>40470</v>
      </c>
      <c r="G90" s="408"/>
      <c r="H90" s="408"/>
      <c r="I90" s="408"/>
      <c r="J90" s="408"/>
      <c r="K90" s="403" t="s">
        <v>1089</v>
      </c>
      <c r="L90" s="407">
        <v>2.1</v>
      </c>
      <c r="M90" s="408"/>
      <c r="N90" s="408"/>
      <c r="O90" s="408"/>
      <c r="P90" s="408"/>
      <c r="Q90" s="408"/>
      <c r="R90" s="408"/>
      <c r="S90" s="402"/>
      <c r="T90" s="408"/>
      <c r="U90" s="408"/>
      <c r="V90" s="401" t="e">
        <v>#N/A</v>
      </c>
      <c r="W90" s="401" t="e">
        <v>#N/A</v>
      </c>
      <c r="X90" s="401" t="e">
        <v>#N/A</v>
      </c>
      <c r="Y90" s="401" t="e">
        <v>#N/A</v>
      </c>
      <c r="Z90" s="401" t="e">
        <v>#N/A</v>
      </c>
      <c r="AA90" s="401" t="e">
        <v>#N/A</v>
      </c>
    </row>
    <row r="91" spans="1:27" s="170" customFormat="1" ht="27" customHeight="1">
      <c r="A91" s="403"/>
      <c r="B91" s="403" t="s">
        <v>4038</v>
      </c>
      <c r="C91" s="408"/>
      <c r="D91" s="432" t="s">
        <v>4039</v>
      </c>
      <c r="E91" s="432" t="s">
        <v>5202</v>
      </c>
      <c r="F91" s="420">
        <v>42125</v>
      </c>
      <c r="G91" s="403"/>
      <c r="H91" s="403"/>
      <c r="I91" s="403"/>
      <c r="J91" s="408"/>
      <c r="K91" s="403" t="s">
        <v>1089</v>
      </c>
      <c r="L91" s="433">
        <v>20</v>
      </c>
      <c r="M91" s="433"/>
      <c r="N91" s="418"/>
      <c r="O91" s="418"/>
      <c r="P91" s="418"/>
      <c r="Q91" s="416"/>
      <c r="R91" s="416"/>
      <c r="S91" s="402"/>
      <c r="T91" s="426"/>
      <c r="U91" s="426"/>
      <c r="V91" s="401" t="e">
        <v>#N/A</v>
      </c>
      <c r="W91" s="401" t="e">
        <v>#N/A</v>
      </c>
      <c r="X91" s="401" t="e">
        <v>#N/A</v>
      </c>
      <c r="Y91" s="401" t="e">
        <v>#N/A</v>
      </c>
      <c r="Z91" s="401" t="e">
        <v>#N/A</v>
      </c>
      <c r="AA91" s="401" t="e">
        <v>#N/A</v>
      </c>
    </row>
    <row r="92" spans="1:27" s="170" customFormat="1" ht="27" customHeight="1">
      <c r="A92" s="407"/>
      <c r="B92" s="410" t="s">
        <v>4498</v>
      </c>
      <c r="C92" s="408"/>
      <c r="D92" s="410" t="s">
        <v>4497</v>
      </c>
      <c r="E92" s="408" t="s">
        <v>5204</v>
      </c>
      <c r="F92" s="404">
        <v>40725</v>
      </c>
      <c r="G92" s="408"/>
      <c r="H92" s="408"/>
      <c r="I92" s="408"/>
      <c r="J92" s="408"/>
      <c r="K92" s="403" t="s">
        <v>1089</v>
      </c>
      <c r="L92" s="407">
        <v>1.1000000000000001</v>
      </c>
      <c r="M92" s="408"/>
      <c r="N92" s="408"/>
      <c r="O92" s="408"/>
      <c r="P92" s="408"/>
      <c r="Q92" s="408"/>
      <c r="R92" s="408"/>
      <c r="S92" s="402"/>
      <c r="T92" s="408"/>
      <c r="U92" s="408"/>
      <c r="V92" s="401" t="e">
        <v>#N/A</v>
      </c>
      <c r="W92" s="401" t="e">
        <v>#N/A</v>
      </c>
      <c r="X92" s="401" t="e">
        <v>#N/A</v>
      </c>
      <c r="Y92" s="401" t="e">
        <v>#N/A</v>
      </c>
      <c r="Z92" s="401" t="e">
        <v>#N/A</v>
      </c>
      <c r="AA92" s="401" t="e">
        <v>#N/A</v>
      </c>
    </row>
    <row r="93" spans="1:27" s="170" customFormat="1" ht="27" customHeight="1">
      <c r="A93" s="407"/>
      <c r="B93" s="410" t="s">
        <v>4531</v>
      </c>
      <c r="C93" s="408"/>
      <c r="D93" s="410" t="s">
        <v>4530</v>
      </c>
      <c r="E93" s="408" t="s">
        <v>5204</v>
      </c>
      <c r="F93" s="404">
        <v>42004</v>
      </c>
      <c r="G93" s="408"/>
      <c r="H93" s="408"/>
      <c r="I93" s="408"/>
      <c r="J93" s="408"/>
      <c r="K93" s="403" t="s">
        <v>1089</v>
      </c>
      <c r="L93" s="407">
        <v>1.5</v>
      </c>
      <c r="M93" s="408"/>
      <c r="N93" s="408"/>
      <c r="O93" s="408"/>
      <c r="P93" s="408"/>
      <c r="Q93" s="408"/>
      <c r="R93" s="408"/>
      <c r="S93" s="402"/>
      <c r="T93" s="408"/>
      <c r="U93" s="408"/>
      <c r="V93" s="401" t="e">
        <v>#N/A</v>
      </c>
      <c r="W93" s="401" t="e">
        <v>#N/A</v>
      </c>
      <c r="X93" s="401" t="e">
        <v>#N/A</v>
      </c>
      <c r="Y93" s="401" t="e">
        <v>#N/A</v>
      </c>
      <c r="Z93" s="401" t="e">
        <v>#N/A</v>
      </c>
      <c r="AA93" s="401" t="e">
        <v>#N/A</v>
      </c>
    </row>
    <row r="94" spans="1:27" s="170" customFormat="1" ht="27" customHeight="1">
      <c r="A94" s="407"/>
      <c r="B94" s="410" t="s">
        <v>4540</v>
      </c>
      <c r="C94" s="408"/>
      <c r="D94" s="410" t="s">
        <v>4539</v>
      </c>
      <c r="E94" s="408" t="s">
        <v>5202</v>
      </c>
      <c r="F94" s="404">
        <v>42004</v>
      </c>
      <c r="G94" s="408"/>
      <c r="H94" s="408"/>
      <c r="I94" s="408"/>
      <c r="J94" s="408"/>
      <c r="K94" s="403" t="s">
        <v>1089</v>
      </c>
      <c r="L94" s="407">
        <v>1.5</v>
      </c>
      <c r="M94" s="408"/>
      <c r="N94" s="408"/>
      <c r="O94" s="408"/>
      <c r="P94" s="408"/>
      <c r="Q94" s="408"/>
      <c r="R94" s="408"/>
      <c r="S94" s="402"/>
      <c r="T94" s="408"/>
      <c r="U94" s="408"/>
      <c r="V94" s="401" t="e">
        <v>#N/A</v>
      </c>
      <c r="W94" s="401" t="e">
        <v>#N/A</v>
      </c>
      <c r="X94" s="401" t="e">
        <v>#N/A</v>
      </c>
      <c r="Y94" s="401" t="e">
        <v>#N/A</v>
      </c>
      <c r="Z94" s="401" t="e">
        <v>#N/A</v>
      </c>
      <c r="AA94" s="401" t="e">
        <v>#N/A</v>
      </c>
    </row>
    <row r="95" spans="1:27" s="170" customFormat="1" ht="27" customHeight="1">
      <c r="A95" s="407"/>
      <c r="B95" s="410" t="s">
        <v>4542</v>
      </c>
      <c r="C95" s="408"/>
      <c r="D95" s="410" t="s">
        <v>4541</v>
      </c>
      <c r="E95" s="408" t="s">
        <v>5202</v>
      </c>
      <c r="F95" s="404">
        <v>42004</v>
      </c>
      <c r="G95" s="408"/>
      <c r="H95" s="408"/>
      <c r="I95" s="408"/>
      <c r="J95" s="408"/>
      <c r="K95" s="403" t="s">
        <v>1089</v>
      </c>
      <c r="L95" s="407">
        <v>1.5</v>
      </c>
      <c r="M95" s="408"/>
      <c r="N95" s="408"/>
      <c r="O95" s="408"/>
      <c r="P95" s="408"/>
      <c r="Q95" s="408"/>
      <c r="R95" s="408"/>
      <c r="S95" s="402"/>
      <c r="T95" s="408"/>
      <c r="U95" s="408"/>
      <c r="V95" s="401" t="e">
        <v>#N/A</v>
      </c>
      <c r="W95" s="401" t="e">
        <v>#N/A</v>
      </c>
      <c r="X95" s="401" t="e">
        <v>#N/A</v>
      </c>
      <c r="Y95" s="401" t="e">
        <v>#N/A</v>
      </c>
      <c r="Z95" s="401" t="e">
        <v>#N/A</v>
      </c>
      <c r="AA95" s="401" t="e">
        <v>#N/A</v>
      </c>
    </row>
    <row r="96" spans="1:27" s="170" customFormat="1" ht="27" customHeight="1">
      <c r="A96" s="434"/>
      <c r="B96" s="434" t="s">
        <v>4041</v>
      </c>
      <c r="C96" s="403"/>
      <c r="D96" s="424" t="s">
        <v>4042</v>
      </c>
      <c r="E96" s="424" t="s">
        <v>5204</v>
      </c>
      <c r="F96" s="422">
        <v>42040</v>
      </c>
      <c r="G96" s="435"/>
      <c r="H96" s="434"/>
      <c r="I96" s="434"/>
      <c r="J96" s="408"/>
      <c r="K96" s="434" t="s">
        <v>1089</v>
      </c>
      <c r="L96" s="436">
        <v>1.6</v>
      </c>
      <c r="M96" s="436"/>
      <c r="N96" s="437"/>
      <c r="O96" s="402"/>
      <c r="P96" s="424"/>
      <c r="Q96" s="402"/>
      <c r="R96" s="402"/>
      <c r="S96" s="402"/>
      <c r="T96" s="426"/>
      <c r="U96" s="426"/>
      <c r="V96" s="401" t="e">
        <v>#N/A</v>
      </c>
      <c r="W96" s="401" t="e">
        <v>#N/A</v>
      </c>
      <c r="X96" s="401" t="e">
        <v>#N/A</v>
      </c>
      <c r="Y96" s="401" t="e">
        <v>#N/A</v>
      </c>
      <c r="Z96" s="401" t="e">
        <v>#N/A</v>
      </c>
      <c r="AA96" s="401" t="e">
        <v>#N/A</v>
      </c>
    </row>
    <row r="97" spans="1:27" s="170" customFormat="1" ht="27" customHeight="1">
      <c r="A97" s="407"/>
      <c r="B97" s="410" t="s">
        <v>4563</v>
      </c>
      <c r="C97" s="408"/>
      <c r="D97" s="410" t="s">
        <v>4562</v>
      </c>
      <c r="E97" s="408" t="s">
        <v>5204</v>
      </c>
      <c r="F97" s="404">
        <v>36526</v>
      </c>
      <c r="G97" s="408"/>
      <c r="H97" s="408"/>
      <c r="I97" s="408"/>
      <c r="J97" s="408"/>
      <c r="K97" s="403" t="s">
        <v>1089</v>
      </c>
      <c r="L97" s="407">
        <v>20</v>
      </c>
      <c r="M97" s="408"/>
      <c r="N97" s="408"/>
      <c r="O97" s="408"/>
      <c r="P97" s="408"/>
      <c r="Q97" s="408"/>
      <c r="R97" s="408"/>
      <c r="S97" s="402"/>
      <c r="T97" s="408"/>
      <c r="U97" s="408"/>
      <c r="V97" s="401" t="e">
        <v>#N/A</v>
      </c>
      <c r="W97" s="401" t="e">
        <v>#N/A</v>
      </c>
      <c r="X97" s="401" t="e">
        <v>#N/A</v>
      </c>
      <c r="Y97" s="401" t="e">
        <v>#N/A</v>
      </c>
      <c r="Z97" s="401" t="e">
        <v>#N/A</v>
      </c>
      <c r="AA97" s="401" t="e">
        <v>#N/A</v>
      </c>
    </row>
    <row r="98" spans="1:27" s="170" customFormat="1" ht="27" customHeight="1">
      <c r="A98" s="407"/>
      <c r="B98" s="410" t="s">
        <v>4566</v>
      </c>
      <c r="C98" s="408"/>
      <c r="D98" s="410" t="s">
        <v>4565</v>
      </c>
      <c r="E98" s="408" t="s">
        <v>5204</v>
      </c>
      <c r="F98" s="404">
        <v>40909</v>
      </c>
      <c r="G98" s="408"/>
      <c r="H98" s="408"/>
      <c r="I98" s="408"/>
      <c r="J98" s="408"/>
      <c r="K98" s="403" t="s">
        <v>1089</v>
      </c>
      <c r="L98" s="407">
        <v>4</v>
      </c>
      <c r="M98" s="408"/>
      <c r="N98" s="408"/>
      <c r="O98" s="408"/>
      <c r="P98" s="408"/>
      <c r="Q98" s="408"/>
      <c r="R98" s="408"/>
      <c r="S98" s="402"/>
      <c r="T98" s="408"/>
      <c r="U98" s="408"/>
      <c r="V98" s="401" t="e">
        <v>#N/A</v>
      </c>
      <c r="W98" s="401" t="e">
        <v>#N/A</v>
      </c>
      <c r="X98" s="401" t="e">
        <v>#N/A</v>
      </c>
      <c r="Y98" s="401" t="e">
        <v>#N/A</v>
      </c>
      <c r="Z98" s="401" t="e">
        <v>#N/A</v>
      </c>
      <c r="AA98" s="401" t="e">
        <v>#N/A</v>
      </c>
    </row>
    <row r="99" spans="1:27" s="170" customFormat="1" ht="27" customHeight="1">
      <c r="A99" s="407"/>
      <c r="B99" s="410" t="s">
        <v>4568</v>
      </c>
      <c r="C99" s="408"/>
      <c r="D99" s="410" t="s">
        <v>4567</v>
      </c>
      <c r="E99" s="408" t="s">
        <v>5204</v>
      </c>
      <c r="F99" s="404">
        <v>42004</v>
      </c>
      <c r="G99" s="408"/>
      <c r="H99" s="408"/>
      <c r="I99" s="408"/>
      <c r="J99" s="408"/>
      <c r="K99" s="403" t="s">
        <v>1089</v>
      </c>
      <c r="L99" s="407">
        <v>1.5</v>
      </c>
      <c r="M99" s="408"/>
      <c r="N99" s="408"/>
      <c r="O99" s="408"/>
      <c r="P99" s="408"/>
      <c r="Q99" s="408"/>
      <c r="R99" s="408"/>
      <c r="S99" s="402"/>
      <c r="T99" s="408"/>
      <c r="U99" s="408"/>
      <c r="V99" s="401" t="e">
        <v>#N/A</v>
      </c>
      <c r="W99" s="401" t="e">
        <v>#N/A</v>
      </c>
      <c r="X99" s="401" t="e">
        <v>#N/A</v>
      </c>
      <c r="Y99" s="401" t="e">
        <v>#N/A</v>
      </c>
      <c r="Z99" s="401" t="e">
        <v>#N/A</v>
      </c>
      <c r="AA99" s="401" t="e">
        <v>#N/A</v>
      </c>
    </row>
    <row r="100" spans="1:27" s="170" customFormat="1" ht="27" customHeight="1">
      <c r="A100" s="407"/>
      <c r="B100" s="410" t="s">
        <v>4586</v>
      </c>
      <c r="C100" s="408"/>
      <c r="D100" s="410" t="s">
        <v>4585</v>
      </c>
      <c r="E100" s="408" t="s">
        <v>5204</v>
      </c>
      <c r="F100" s="404">
        <v>40359</v>
      </c>
      <c r="G100" s="408"/>
      <c r="H100" s="408"/>
      <c r="I100" s="408"/>
      <c r="J100" s="408"/>
      <c r="K100" s="403" t="s">
        <v>1089</v>
      </c>
      <c r="L100" s="407">
        <v>1.25</v>
      </c>
      <c r="M100" s="408"/>
      <c r="N100" s="408"/>
      <c r="O100" s="408"/>
      <c r="P100" s="408"/>
      <c r="Q100" s="408"/>
      <c r="R100" s="408"/>
      <c r="S100" s="402"/>
      <c r="T100" s="408"/>
      <c r="U100" s="408"/>
      <c r="V100" s="401" t="e">
        <v>#N/A</v>
      </c>
      <c r="W100" s="401" t="e">
        <v>#N/A</v>
      </c>
      <c r="X100" s="401" t="e">
        <v>#N/A</v>
      </c>
      <c r="Y100" s="401" t="e">
        <v>#N/A</v>
      </c>
      <c r="Z100" s="401" t="e">
        <v>#N/A</v>
      </c>
      <c r="AA100" s="401" t="e">
        <v>#N/A</v>
      </c>
    </row>
    <row r="101" spans="1:27" s="170" customFormat="1" ht="27" customHeight="1">
      <c r="A101" s="407"/>
      <c r="B101" s="410" t="s">
        <v>4588</v>
      </c>
      <c r="C101" s="408"/>
      <c r="D101" s="410" t="s">
        <v>4587</v>
      </c>
      <c r="E101" s="408" t="s">
        <v>5204</v>
      </c>
      <c r="F101" s="404">
        <v>41936</v>
      </c>
      <c r="G101" s="408"/>
      <c r="H101" s="408"/>
      <c r="I101" s="408"/>
      <c r="J101" s="408"/>
      <c r="K101" s="403" t="s">
        <v>1089</v>
      </c>
      <c r="L101" s="407">
        <v>1.1393689999999999</v>
      </c>
      <c r="M101" s="408"/>
      <c r="N101" s="408"/>
      <c r="O101" s="408"/>
      <c r="P101" s="408"/>
      <c r="Q101" s="408"/>
      <c r="R101" s="408"/>
      <c r="S101" s="402"/>
      <c r="T101" s="408"/>
      <c r="U101" s="408"/>
      <c r="V101" s="401" t="e">
        <v>#N/A</v>
      </c>
      <c r="W101" s="401" t="e">
        <v>#N/A</v>
      </c>
      <c r="X101" s="401" t="e">
        <v>#N/A</v>
      </c>
      <c r="Y101" s="401" t="e">
        <v>#N/A</v>
      </c>
      <c r="Z101" s="401" t="e">
        <v>#N/A</v>
      </c>
      <c r="AA101" s="401" t="e">
        <v>#N/A</v>
      </c>
    </row>
    <row r="102" spans="1:27" s="170" customFormat="1" ht="27" customHeight="1">
      <c r="A102" s="407"/>
      <c r="B102" s="410" t="s">
        <v>4602</v>
      </c>
      <c r="C102" s="408"/>
      <c r="D102" s="410" t="s">
        <v>4601</v>
      </c>
      <c r="E102" s="408" t="s">
        <v>5201</v>
      </c>
      <c r="F102" s="404">
        <v>42004</v>
      </c>
      <c r="G102" s="408"/>
      <c r="H102" s="408"/>
      <c r="I102" s="408"/>
      <c r="J102" s="408"/>
      <c r="K102" s="403" t="s">
        <v>1089</v>
      </c>
      <c r="L102" s="407">
        <v>1.5</v>
      </c>
      <c r="M102" s="408"/>
      <c r="N102" s="408"/>
      <c r="O102" s="408"/>
      <c r="P102" s="408"/>
      <c r="Q102" s="408"/>
      <c r="R102" s="408"/>
      <c r="S102" s="402"/>
      <c r="T102" s="408"/>
      <c r="U102" s="408"/>
      <c r="V102" s="401" t="e">
        <v>#N/A</v>
      </c>
      <c r="W102" s="401" t="e">
        <v>#N/A</v>
      </c>
      <c r="X102" s="401" t="e">
        <v>#N/A</v>
      </c>
      <c r="Y102" s="401" t="e">
        <v>#N/A</v>
      </c>
      <c r="Z102" s="401" t="e">
        <v>#N/A</v>
      </c>
      <c r="AA102" s="401" t="e">
        <v>#N/A</v>
      </c>
    </row>
    <row r="103" spans="1:27" s="170" customFormat="1" ht="27" customHeight="1">
      <c r="A103" s="407"/>
      <c r="B103" s="410" t="s">
        <v>4604</v>
      </c>
      <c r="C103" s="408"/>
      <c r="D103" s="410" t="s">
        <v>4603</v>
      </c>
      <c r="E103" s="408" t="s">
        <v>5201</v>
      </c>
      <c r="F103" s="404">
        <v>42004</v>
      </c>
      <c r="G103" s="408"/>
      <c r="H103" s="408"/>
      <c r="I103" s="408"/>
      <c r="J103" s="408"/>
      <c r="K103" s="403" t="s">
        <v>1089</v>
      </c>
      <c r="L103" s="407">
        <v>1.5</v>
      </c>
      <c r="M103" s="408"/>
      <c r="N103" s="408"/>
      <c r="O103" s="408"/>
      <c r="P103" s="408"/>
      <c r="Q103" s="408"/>
      <c r="R103" s="408"/>
      <c r="S103" s="402"/>
      <c r="T103" s="408"/>
      <c r="U103" s="408"/>
      <c r="V103" s="401" t="e">
        <v>#N/A</v>
      </c>
      <c r="W103" s="401" t="e">
        <v>#N/A</v>
      </c>
      <c r="X103" s="401" t="e">
        <v>#N/A</v>
      </c>
      <c r="Y103" s="401" t="e">
        <v>#N/A</v>
      </c>
      <c r="Z103" s="401" t="e">
        <v>#N/A</v>
      </c>
      <c r="AA103" s="401" t="e">
        <v>#N/A</v>
      </c>
    </row>
    <row r="104" spans="1:27" s="170" customFormat="1" ht="27" customHeight="1">
      <c r="A104" s="407"/>
      <c r="B104" s="410" t="s">
        <v>4606</v>
      </c>
      <c r="C104" s="408"/>
      <c r="D104" s="410" t="s">
        <v>4605</v>
      </c>
      <c r="E104" s="408" t="s">
        <v>5201</v>
      </c>
      <c r="F104" s="404">
        <v>42004</v>
      </c>
      <c r="G104" s="408"/>
      <c r="H104" s="408"/>
      <c r="I104" s="408"/>
      <c r="J104" s="408"/>
      <c r="K104" s="403" t="s">
        <v>1089</v>
      </c>
      <c r="L104" s="407">
        <v>1.5</v>
      </c>
      <c r="M104" s="408"/>
      <c r="N104" s="408"/>
      <c r="O104" s="408"/>
      <c r="P104" s="408"/>
      <c r="Q104" s="408"/>
      <c r="R104" s="408"/>
      <c r="S104" s="402"/>
      <c r="T104" s="408"/>
      <c r="U104" s="408"/>
      <c r="V104" s="401" t="e">
        <v>#N/A</v>
      </c>
      <c r="W104" s="401" t="e">
        <v>#N/A</v>
      </c>
      <c r="X104" s="401" t="e">
        <v>#N/A</v>
      </c>
      <c r="Y104" s="401" t="e">
        <v>#N/A</v>
      </c>
      <c r="Z104" s="401" t="e">
        <v>#N/A</v>
      </c>
      <c r="AA104" s="401" t="e">
        <v>#N/A</v>
      </c>
    </row>
    <row r="105" spans="1:27" s="170" customFormat="1" ht="27" customHeight="1">
      <c r="A105" s="412"/>
      <c r="B105" s="412" t="s">
        <v>4045</v>
      </c>
      <c r="C105" s="438"/>
      <c r="D105" s="439" t="s">
        <v>4051</v>
      </c>
      <c r="E105" s="411"/>
      <c r="F105" s="409">
        <v>42293</v>
      </c>
      <c r="G105" s="408" t="s">
        <v>5225</v>
      </c>
      <c r="H105" s="408"/>
      <c r="I105" s="425"/>
      <c r="J105" s="410"/>
      <c r="K105" s="408" t="s">
        <v>1089</v>
      </c>
      <c r="L105" s="439">
        <v>0.65700000000000003</v>
      </c>
      <c r="M105" s="423"/>
      <c r="N105" s="423"/>
      <c r="O105" s="419"/>
      <c r="P105" s="408"/>
      <c r="Q105" s="440"/>
      <c r="R105" s="408"/>
      <c r="S105" s="402"/>
      <c r="T105" s="426"/>
      <c r="U105" s="426"/>
      <c r="V105" s="401" t="e">
        <v>#N/A</v>
      </c>
      <c r="W105" s="401" t="e">
        <v>#N/A</v>
      </c>
      <c r="X105" s="401" t="e">
        <v>#N/A</v>
      </c>
      <c r="Y105" s="401" t="e">
        <v>#N/A</v>
      </c>
      <c r="Z105" s="401" t="e">
        <v>#N/A</v>
      </c>
      <c r="AA105" s="401" t="e">
        <v>#N/A</v>
      </c>
    </row>
    <row r="106" spans="1:27" s="170" customFormat="1" ht="27" customHeight="1">
      <c r="A106" s="412"/>
      <c r="B106" s="412" t="s">
        <v>4046</v>
      </c>
      <c r="C106" s="438"/>
      <c r="D106" s="439" t="s">
        <v>4052</v>
      </c>
      <c r="E106" s="411"/>
      <c r="F106" s="409">
        <v>42293</v>
      </c>
      <c r="G106" s="408" t="s">
        <v>5226</v>
      </c>
      <c r="H106" s="408"/>
      <c r="I106" s="425"/>
      <c r="J106" s="410"/>
      <c r="K106" s="408" t="s">
        <v>1089</v>
      </c>
      <c r="L106" s="439">
        <v>1.3</v>
      </c>
      <c r="M106" s="423"/>
      <c r="N106" s="423"/>
      <c r="O106" s="419"/>
      <c r="P106" s="408"/>
      <c r="Q106" s="440"/>
      <c r="R106" s="408"/>
      <c r="S106" s="402"/>
      <c r="T106" s="426"/>
      <c r="U106" s="426"/>
      <c r="V106" s="401" t="e">
        <v>#N/A</v>
      </c>
      <c r="W106" s="401" t="e">
        <v>#N/A</v>
      </c>
      <c r="X106" s="401" t="e">
        <v>#N/A</v>
      </c>
      <c r="Y106" s="401" t="e">
        <v>#N/A</v>
      </c>
      <c r="Z106" s="401" t="e">
        <v>#N/A</v>
      </c>
      <c r="AA106" s="401" t="e">
        <v>#N/A</v>
      </c>
    </row>
    <row r="107" spans="1:27" s="170" customFormat="1" ht="27" customHeight="1">
      <c r="A107" s="412"/>
      <c r="B107" s="440" t="s">
        <v>4060</v>
      </c>
      <c r="C107" s="438"/>
      <c r="D107" s="439" t="s">
        <v>4053</v>
      </c>
      <c r="E107" s="411"/>
      <c r="F107" s="409">
        <v>42293</v>
      </c>
      <c r="G107" s="408" t="s">
        <v>5225</v>
      </c>
      <c r="H107" s="408"/>
      <c r="I107" s="425"/>
      <c r="J107" s="410"/>
      <c r="K107" s="408" t="s">
        <v>1089</v>
      </c>
      <c r="L107" s="439">
        <v>1.19</v>
      </c>
      <c r="M107" s="423"/>
      <c r="N107" s="423"/>
      <c r="O107" s="419"/>
      <c r="P107" s="408"/>
      <c r="Q107" s="440"/>
      <c r="R107" s="408"/>
      <c r="S107" s="402"/>
      <c r="T107" s="426"/>
      <c r="U107" s="426"/>
      <c r="V107" s="401" t="e">
        <v>#N/A</v>
      </c>
      <c r="W107" s="401" t="e">
        <v>#N/A</v>
      </c>
      <c r="X107" s="401" t="e">
        <v>#N/A</v>
      </c>
      <c r="Y107" s="401" t="e">
        <v>#N/A</v>
      </c>
      <c r="Z107" s="401" t="e">
        <v>#N/A</v>
      </c>
      <c r="AA107" s="401" t="e">
        <v>#N/A</v>
      </c>
    </row>
    <row r="108" spans="1:27" s="170" customFormat="1" ht="27" customHeight="1">
      <c r="A108" s="412"/>
      <c r="B108" s="412" t="s">
        <v>4047</v>
      </c>
      <c r="C108" s="438"/>
      <c r="D108" s="439" t="s">
        <v>4054</v>
      </c>
      <c r="E108" s="411"/>
      <c r="F108" s="409">
        <v>42293</v>
      </c>
      <c r="G108" s="408" t="s">
        <v>5225</v>
      </c>
      <c r="H108" s="408"/>
      <c r="I108" s="425"/>
      <c r="J108" s="410"/>
      <c r="K108" s="408" t="s">
        <v>1089</v>
      </c>
      <c r="L108" s="439">
        <v>0.5</v>
      </c>
      <c r="M108" s="423"/>
      <c r="N108" s="423"/>
      <c r="O108" s="419"/>
      <c r="P108" s="408"/>
      <c r="Q108" s="440"/>
      <c r="R108" s="408"/>
      <c r="S108" s="402"/>
      <c r="T108" s="426"/>
      <c r="U108" s="426"/>
      <c r="V108" s="401" t="e">
        <v>#N/A</v>
      </c>
      <c r="W108" s="401" t="e">
        <v>#N/A</v>
      </c>
      <c r="X108" s="401" t="e">
        <v>#N/A</v>
      </c>
      <c r="Y108" s="401" t="e">
        <v>#N/A</v>
      </c>
      <c r="Z108" s="401" t="e">
        <v>#N/A</v>
      </c>
      <c r="AA108" s="401" t="e">
        <v>#N/A</v>
      </c>
    </row>
    <row r="109" spans="1:27" s="170" customFormat="1" ht="27" customHeight="1">
      <c r="A109" s="412"/>
      <c r="B109" s="412" t="s">
        <v>4048</v>
      </c>
      <c r="C109" s="438"/>
      <c r="D109" s="439" t="s">
        <v>4055</v>
      </c>
      <c r="E109" s="411"/>
      <c r="F109" s="409">
        <v>42293</v>
      </c>
      <c r="G109" s="408" t="s">
        <v>5225</v>
      </c>
      <c r="H109" s="408"/>
      <c r="I109" s="425"/>
      <c r="J109" s="410"/>
      <c r="K109" s="408" t="s">
        <v>1089</v>
      </c>
      <c r="L109" s="439">
        <v>2.7</v>
      </c>
      <c r="M109" s="423"/>
      <c r="N109" s="423"/>
      <c r="O109" s="419"/>
      <c r="P109" s="408"/>
      <c r="Q109" s="440"/>
      <c r="R109" s="408"/>
      <c r="S109" s="402"/>
      <c r="T109" s="426"/>
      <c r="U109" s="426"/>
      <c r="V109" s="401" t="e">
        <v>#N/A</v>
      </c>
      <c r="W109" s="401" t="e">
        <v>#N/A</v>
      </c>
      <c r="X109" s="401" t="e">
        <v>#N/A</v>
      </c>
      <c r="Y109" s="401" t="e">
        <v>#N/A</v>
      </c>
      <c r="Z109" s="401" t="e">
        <v>#N/A</v>
      </c>
      <c r="AA109" s="401" t="e">
        <v>#N/A</v>
      </c>
    </row>
    <row r="110" spans="1:27" s="170" customFormat="1" ht="27" customHeight="1">
      <c r="A110" s="412"/>
      <c r="B110" s="412" t="s">
        <v>4049</v>
      </c>
      <c r="C110" s="438"/>
      <c r="D110" s="439" t="s">
        <v>4056</v>
      </c>
      <c r="E110" s="411"/>
      <c r="F110" s="409">
        <v>42293</v>
      </c>
      <c r="G110" s="408" t="s">
        <v>5225</v>
      </c>
      <c r="H110" s="408"/>
      <c r="I110" s="425"/>
      <c r="J110" s="410"/>
      <c r="K110" s="408" t="s">
        <v>1089</v>
      </c>
      <c r="L110" s="439">
        <v>1.9</v>
      </c>
      <c r="M110" s="423"/>
      <c r="N110" s="423"/>
      <c r="O110" s="419"/>
      <c r="P110" s="408"/>
      <c r="Q110" s="440"/>
      <c r="R110" s="408"/>
      <c r="S110" s="402"/>
      <c r="T110" s="426"/>
      <c r="U110" s="426"/>
      <c r="V110" s="401" t="e">
        <v>#N/A</v>
      </c>
      <c r="W110" s="401" t="e">
        <v>#N/A</v>
      </c>
      <c r="X110" s="401" t="e">
        <v>#N/A</v>
      </c>
      <c r="Y110" s="401" t="e">
        <v>#N/A</v>
      </c>
      <c r="Z110" s="401" t="e">
        <v>#N/A</v>
      </c>
      <c r="AA110" s="401" t="e">
        <v>#N/A</v>
      </c>
    </row>
    <row r="111" spans="1:27" s="170" customFormat="1" ht="27" customHeight="1">
      <c r="A111" s="412"/>
      <c r="B111" s="440" t="s">
        <v>4059</v>
      </c>
      <c r="C111" s="438"/>
      <c r="D111" s="439" t="s">
        <v>4057</v>
      </c>
      <c r="E111" s="411"/>
      <c r="F111" s="409">
        <v>42293</v>
      </c>
      <c r="G111" s="408" t="s">
        <v>5225</v>
      </c>
      <c r="H111" s="408"/>
      <c r="I111" s="425"/>
      <c r="J111" s="410"/>
      <c r="K111" s="408" t="s">
        <v>1089</v>
      </c>
      <c r="L111" s="439">
        <v>0.98</v>
      </c>
      <c r="M111" s="423"/>
      <c r="N111" s="423"/>
      <c r="O111" s="419"/>
      <c r="P111" s="408"/>
      <c r="Q111" s="440"/>
      <c r="R111" s="408"/>
      <c r="S111" s="402"/>
      <c r="T111" s="426"/>
      <c r="U111" s="426"/>
      <c r="V111" s="401" t="e">
        <v>#N/A</v>
      </c>
      <c r="W111" s="401" t="e">
        <v>#N/A</v>
      </c>
      <c r="X111" s="401" t="e">
        <v>#N/A</v>
      </c>
      <c r="Y111" s="401" t="e">
        <v>#N/A</v>
      </c>
      <c r="Z111" s="401" t="e">
        <v>#N/A</v>
      </c>
      <c r="AA111" s="401" t="e">
        <v>#N/A</v>
      </c>
    </row>
    <row r="112" spans="1:27" s="170" customFormat="1" ht="27" customHeight="1">
      <c r="A112" s="412"/>
      <c r="B112" s="412" t="s">
        <v>4050</v>
      </c>
      <c r="C112" s="438"/>
      <c r="D112" s="439" t="s">
        <v>4058</v>
      </c>
      <c r="E112" s="411"/>
      <c r="F112" s="409">
        <v>42293</v>
      </c>
      <c r="G112" s="408" t="s">
        <v>5225</v>
      </c>
      <c r="H112" s="408"/>
      <c r="I112" s="425"/>
      <c r="J112" s="410"/>
      <c r="K112" s="408" t="s">
        <v>1089</v>
      </c>
      <c r="L112" s="439">
        <v>1.83</v>
      </c>
      <c r="M112" s="423"/>
      <c r="N112" s="423"/>
      <c r="O112" s="419"/>
      <c r="P112" s="408"/>
      <c r="Q112" s="440"/>
      <c r="R112" s="408"/>
      <c r="S112" s="402"/>
      <c r="T112" s="426"/>
      <c r="U112" s="426"/>
      <c r="V112" s="401" t="e">
        <v>#N/A</v>
      </c>
      <c r="W112" s="401" t="e">
        <v>#N/A</v>
      </c>
      <c r="X112" s="401" t="e">
        <v>#N/A</v>
      </c>
      <c r="Y112" s="401" t="e">
        <v>#N/A</v>
      </c>
      <c r="Z112" s="401" t="e">
        <v>#N/A</v>
      </c>
      <c r="AA112" s="401" t="e">
        <v>#N/A</v>
      </c>
    </row>
    <row r="113" spans="1:27" s="170" customFormat="1" ht="25.5" customHeight="1">
      <c r="A113" s="407"/>
      <c r="B113" s="410" t="s">
        <v>4612</v>
      </c>
      <c r="C113" s="408"/>
      <c r="D113" s="410" t="s">
        <v>4611</v>
      </c>
      <c r="E113" s="408" t="s">
        <v>5204</v>
      </c>
      <c r="F113" s="404">
        <v>42004</v>
      </c>
      <c r="G113" s="408"/>
      <c r="H113" s="408"/>
      <c r="I113" s="408"/>
      <c r="J113" s="408"/>
      <c r="K113" s="403" t="s">
        <v>1089</v>
      </c>
      <c r="L113" s="407">
        <v>1.5</v>
      </c>
      <c r="M113" s="408"/>
      <c r="N113" s="408"/>
      <c r="O113" s="408"/>
      <c r="P113" s="408"/>
      <c r="Q113" s="408"/>
      <c r="R113" s="408"/>
      <c r="S113" s="402"/>
      <c r="T113" s="408"/>
      <c r="U113" s="408"/>
      <c r="V113" s="401" t="e">
        <v>#N/A</v>
      </c>
      <c r="W113" s="401" t="e">
        <v>#N/A</v>
      </c>
      <c r="X113" s="401" t="e">
        <v>#N/A</v>
      </c>
      <c r="Y113" s="401" t="e">
        <v>#N/A</v>
      </c>
      <c r="Z113" s="401" t="e">
        <v>#N/A</v>
      </c>
      <c r="AA113" s="401" t="e">
        <v>#N/A</v>
      </c>
    </row>
    <row r="114" spans="1:27" s="170" customFormat="1" ht="27" customHeight="1">
      <c r="A114" s="407"/>
      <c r="B114" s="410" t="s">
        <v>4620</v>
      </c>
      <c r="C114" s="408"/>
      <c r="D114" s="410" t="s">
        <v>4619</v>
      </c>
      <c r="E114" s="408" t="s">
        <v>5228</v>
      </c>
      <c r="F114" s="404">
        <v>42004</v>
      </c>
      <c r="G114" s="408"/>
      <c r="H114" s="408"/>
      <c r="I114" s="408"/>
      <c r="J114" s="408"/>
      <c r="K114" s="403" t="s">
        <v>1089</v>
      </c>
      <c r="L114" s="407">
        <v>1.5</v>
      </c>
      <c r="M114" s="408"/>
      <c r="N114" s="408"/>
      <c r="O114" s="408"/>
      <c r="P114" s="408"/>
      <c r="Q114" s="408"/>
      <c r="R114" s="408"/>
      <c r="S114" s="402"/>
      <c r="T114" s="408"/>
      <c r="U114" s="408"/>
      <c r="V114" s="401" t="e">
        <v>#N/A</v>
      </c>
      <c r="W114" s="401" t="e">
        <v>#N/A</v>
      </c>
      <c r="X114" s="401" t="e">
        <v>#N/A</v>
      </c>
      <c r="Y114" s="401" t="e">
        <v>#N/A</v>
      </c>
      <c r="Z114" s="401" t="e">
        <v>#N/A</v>
      </c>
      <c r="AA114" s="401" t="e">
        <v>#N/A</v>
      </c>
    </row>
    <row r="115" spans="1:27" s="170" customFormat="1" ht="27" customHeight="1">
      <c r="A115" s="407"/>
      <c r="B115" s="410" t="s">
        <v>4622</v>
      </c>
      <c r="C115" s="408"/>
      <c r="D115" s="410" t="s">
        <v>4621</v>
      </c>
      <c r="E115" s="408" t="s">
        <v>5229</v>
      </c>
      <c r="F115" s="404">
        <v>42004</v>
      </c>
      <c r="G115" s="408"/>
      <c r="H115" s="408"/>
      <c r="I115" s="408"/>
      <c r="J115" s="408"/>
      <c r="K115" s="403" t="s">
        <v>1089</v>
      </c>
      <c r="L115" s="407">
        <v>1</v>
      </c>
      <c r="M115" s="408"/>
      <c r="N115" s="408"/>
      <c r="O115" s="408"/>
      <c r="P115" s="408"/>
      <c r="Q115" s="408"/>
      <c r="R115" s="408"/>
      <c r="S115" s="402"/>
      <c r="T115" s="408"/>
      <c r="U115" s="408"/>
      <c r="V115" s="401" t="e">
        <v>#N/A</v>
      </c>
      <c r="W115" s="401" t="e">
        <v>#N/A</v>
      </c>
      <c r="X115" s="401" t="e">
        <v>#N/A</v>
      </c>
      <c r="Y115" s="401" t="e">
        <v>#N/A</v>
      </c>
      <c r="Z115" s="401" t="e">
        <v>#N/A</v>
      </c>
      <c r="AA115" s="401" t="e">
        <v>#N/A</v>
      </c>
    </row>
    <row r="116" spans="1:27" s="170" customFormat="1" ht="27" customHeight="1">
      <c r="A116" s="407"/>
      <c r="B116" s="410" t="s">
        <v>4626</v>
      </c>
      <c r="C116" s="408"/>
      <c r="D116" s="410" t="s">
        <v>4625</v>
      </c>
      <c r="E116" s="408" t="s">
        <v>5204</v>
      </c>
      <c r="F116" s="404">
        <v>42004</v>
      </c>
      <c r="G116" s="408"/>
      <c r="H116" s="408"/>
      <c r="I116" s="408"/>
      <c r="J116" s="408"/>
      <c r="K116" s="403" t="s">
        <v>1089</v>
      </c>
      <c r="L116" s="407">
        <v>20</v>
      </c>
      <c r="M116" s="408"/>
      <c r="N116" s="408"/>
      <c r="O116" s="408"/>
      <c r="P116" s="408"/>
      <c r="Q116" s="408"/>
      <c r="R116" s="408"/>
      <c r="S116" s="402"/>
      <c r="T116" s="408"/>
      <c r="U116" s="408"/>
      <c r="V116" s="401" t="e">
        <v>#N/A</v>
      </c>
      <c r="W116" s="401" t="e">
        <v>#N/A</v>
      </c>
      <c r="X116" s="401" t="e">
        <v>#N/A</v>
      </c>
      <c r="Y116" s="401" t="e">
        <v>#N/A</v>
      </c>
      <c r="Z116" s="401" t="e">
        <v>#N/A</v>
      </c>
      <c r="AA116" s="401" t="e">
        <v>#N/A</v>
      </c>
    </row>
    <row r="117" spans="1:27" s="170" customFormat="1" ht="27" customHeight="1">
      <c r="A117" s="407"/>
      <c r="B117" s="410" t="s">
        <v>4636</v>
      </c>
      <c r="C117" s="408"/>
      <c r="D117" s="410" t="s">
        <v>4635</v>
      </c>
      <c r="E117" s="408" t="s">
        <v>5204</v>
      </c>
      <c r="F117" s="404">
        <v>42004</v>
      </c>
      <c r="G117" s="408"/>
      <c r="H117" s="408"/>
      <c r="I117" s="408"/>
      <c r="J117" s="408"/>
      <c r="K117" s="403" t="s">
        <v>1089</v>
      </c>
      <c r="L117" s="407">
        <v>0.25</v>
      </c>
      <c r="M117" s="408"/>
      <c r="N117" s="408"/>
      <c r="O117" s="408"/>
      <c r="P117" s="408"/>
      <c r="Q117" s="408"/>
      <c r="R117" s="408"/>
      <c r="S117" s="402"/>
      <c r="T117" s="408"/>
      <c r="U117" s="408"/>
      <c r="V117" s="401" t="e">
        <v>#N/A</v>
      </c>
      <c r="W117" s="401" t="e">
        <v>#N/A</v>
      </c>
      <c r="X117" s="401" t="e">
        <v>#N/A</v>
      </c>
      <c r="Y117" s="401" t="e">
        <v>#N/A</v>
      </c>
      <c r="Z117" s="401" t="e">
        <v>#N/A</v>
      </c>
      <c r="AA117" s="401" t="e">
        <v>#N/A</v>
      </c>
    </row>
    <row r="118" spans="1:27" s="170" customFormat="1" ht="27" customHeight="1">
      <c r="A118" s="412"/>
      <c r="B118" s="434" t="s">
        <v>4062</v>
      </c>
      <c r="C118" s="403"/>
      <c r="D118" s="439" t="s">
        <v>4063</v>
      </c>
      <c r="E118" s="439" t="s">
        <v>5204</v>
      </c>
      <c r="F118" s="422">
        <v>42150</v>
      </c>
      <c r="G118" s="435"/>
      <c r="H118" s="441"/>
      <c r="I118" s="441"/>
      <c r="J118" s="408"/>
      <c r="K118" s="408" t="s">
        <v>1089</v>
      </c>
      <c r="L118" s="436">
        <v>2.8</v>
      </c>
      <c r="M118" s="436"/>
      <c r="N118" s="437"/>
      <c r="O118" s="437"/>
      <c r="P118" s="437"/>
      <c r="Q118" s="437"/>
      <c r="R118" s="437"/>
      <c r="S118" s="402"/>
      <c r="T118" s="426"/>
      <c r="U118" s="426"/>
      <c r="V118" s="401" t="e">
        <v>#N/A</v>
      </c>
      <c r="W118" s="401" t="e">
        <v>#N/A</v>
      </c>
      <c r="X118" s="401" t="e">
        <v>#N/A</v>
      </c>
      <c r="Y118" s="401" t="e">
        <v>#N/A</v>
      </c>
      <c r="Z118" s="401" t="e">
        <v>#N/A</v>
      </c>
      <c r="AA118" s="401" t="e">
        <v>#N/A</v>
      </c>
    </row>
    <row r="119" spans="1:27" s="170" customFormat="1" ht="27" customHeight="1">
      <c r="A119" s="407"/>
      <c r="B119" s="410" t="s">
        <v>4641</v>
      </c>
      <c r="C119" s="408"/>
      <c r="D119" s="410" t="s">
        <v>4640</v>
      </c>
      <c r="E119" s="408" t="s">
        <v>5204</v>
      </c>
      <c r="F119" s="404">
        <v>41129</v>
      </c>
      <c r="G119" s="408"/>
      <c r="H119" s="408"/>
      <c r="I119" s="408"/>
      <c r="J119" s="408"/>
      <c r="K119" s="403" t="s">
        <v>1089</v>
      </c>
      <c r="L119" s="407">
        <v>1.5349000000000002</v>
      </c>
      <c r="M119" s="408"/>
      <c r="N119" s="408"/>
      <c r="O119" s="408"/>
      <c r="P119" s="408"/>
      <c r="Q119" s="408"/>
      <c r="R119" s="408"/>
      <c r="S119" s="402"/>
      <c r="T119" s="408"/>
      <c r="U119" s="408"/>
      <c r="V119" s="401" t="e">
        <v>#N/A</v>
      </c>
      <c r="W119" s="401" t="e">
        <v>#N/A</v>
      </c>
      <c r="X119" s="401" t="e">
        <v>#N/A</v>
      </c>
      <c r="Y119" s="401" t="e">
        <v>#N/A</v>
      </c>
      <c r="Z119" s="401" t="e">
        <v>#N/A</v>
      </c>
      <c r="AA119" s="401" t="e">
        <v>#N/A</v>
      </c>
    </row>
    <row r="120" spans="1:27" s="170" customFormat="1" ht="27" customHeight="1">
      <c r="A120" s="407"/>
      <c r="B120" s="410" t="s">
        <v>4643</v>
      </c>
      <c r="C120" s="408"/>
      <c r="D120" s="410" t="s">
        <v>4642</v>
      </c>
      <c r="E120" s="408" t="s">
        <v>5204</v>
      </c>
      <c r="F120" s="404">
        <v>41275</v>
      </c>
      <c r="G120" s="408"/>
      <c r="H120" s="408"/>
      <c r="I120" s="408"/>
      <c r="J120" s="408"/>
      <c r="K120" s="403" t="s">
        <v>1089</v>
      </c>
      <c r="L120" s="407">
        <v>3.9660000000000002</v>
      </c>
      <c r="M120" s="408"/>
      <c r="N120" s="408"/>
      <c r="O120" s="408"/>
      <c r="P120" s="408"/>
      <c r="Q120" s="408"/>
      <c r="R120" s="408"/>
      <c r="S120" s="402"/>
      <c r="T120" s="408"/>
      <c r="U120" s="408"/>
      <c r="V120" s="401" t="e">
        <v>#N/A</v>
      </c>
      <c r="W120" s="401" t="e">
        <v>#N/A</v>
      </c>
      <c r="X120" s="401" t="e">
        <v>#N/A</v>
      </c>
      <c r="Y120" s="401" t="e">
        <v>#N/A</v>
      </c>
      <c r="Z120" s="401" t="e">
        <v>#N/A</v>
      </c>
      <c r="AA120" s="401" t="e">
        <v>#N/A</v>
      </c>
    </row>
    <row r="121" spans="1:27" s="170" customFormat="1" ht="27" customHeight="1">
      <c r="A121" s="407"/>
      <c r="B121" s="410" t="s">
        <v>4666</v>
      </c>
      <c r="C121" s="408"/>
      <c r="D121" s="410" t="s">
        <v>4665</v>
      </c>
      <c r="E121" s="408" t="s">
        <v>5204</v>
      </c>
      <c r="F121" s="404">
        <v>40909</v>
      </c>
      <c r="G121" s="408"/>
      <c r="H121" s="408"/>
      <c r="I121" s="408"/>
      <c r="J121" s="408"/>
      <c r="K121" s="403" t="s">
        <v>1089</v>
      </c>
      <c r="L121" s="407">
        <v>9.0090000000000003</v>
      </c>
      <c r="M121" s="408"/>
      <c r="N121" s="408"/>
      <c r="O121" s="408"/>
      <c r="P121" s="408"/>
      <c r="Q121" s="408"/>
      <c r="R121" s="408"/>
      <c r="S121" s="402"/>
      <c r="T121" s="408"/>
      <c r="U121" s="408"/>
      <c r="V121" s="401" t="e">
        <v>#N/A</v>
      </c>
      <c r="W121" s="401" t="e">
        <v>#N/A</v>
      </c>
      <c r="X121" s="401" t="e">
        <v>#N/A</v>
      </c>
      <c r="Y121" s="401" t="e">
        <v>#N/A</v>
      </c>
      <c r="Z121" s="401" t="e">
        <v>#N/A</v>
      </c>
      <c r="AA121" s="401" t="e">
        <v>#N/A</v>
      </c>
    </row>
    <row r="122" spans="1:27" s="170" customFormat="1" ht="27" customHeight="1">
      <c r="A122" s="261"/>
      <c r="B122" s="260" t="s">
        <v>4129</v>
      </c>
      <c r="C122" s="107"/>
      <c r="D122" s="260" t="s">
        <v>4128</v>
      </c>
      <c r="E122" s="107" t="s">
        <v>5226</v>
      </c>
      <c r="F122" s="156">
        <v>40909</v>
      </c>
      <c r="G122" s="257"/>
      <c r="H122" s="107"/>
      <c r="I122" s="107"/>
      <c r="J122" s="107"/>
      <c r="K122" s="252" t="s">
        <v>1089</v>
      </c>
      <c r="L122" s="261">
        <v>1</v>
      </c>
      <c r="M122" s="107">
        <v>1.6220000000000001</v>
      </c>
      <c r="N122" s="107">
        <v>1.6220000000000001</v>
      </c>
      <c r="O122" s="107">
        <v>1.6220000000000001</v>
      </c>
      <c r="P122" s="107">
        <v>1.6220000000000001</v>
      </c>
      <c r="Q122" s="107" t="s">
        <v>115</v>
      </c>
      <c r="R122" s="107" t="s">
        <v>115</v>
      </c>
      <c r="S122" s="28">
        <f t="shared" ref="S122:S153" si="0">AVERAGE(M122:R122)</f>
        <v>1.6220000000000001</v>
      </c>
      <c r="T122" s="107"/>
      <c r="U122" s="107"/>
    </row>
    <row r="123" spans="1:27" s="170" customFormat="1" ht="27" customHeight="1">
      <c r="A123" s="261"/>
      <c r="B123" s="260" t="s">
        <v>4131</v>
      </c>
      <c r="C123" s="107"/>
      <c r="D123" s="260" t="s">
        <v>4130</v>
      </c>
      <c r="E123" s="107" t="s">
        <v>5226</v>
      </c>
      <c r="F123" s="156">
        <v>40909</v>
      </c>
      <c r="G123" s="257"/>
      <c r="H123" s="107"/>
      <c r="I123" s="107"/>
      <c r="J123" s="107"/>
      <c r="K123" s="252" t="s">
        <v>1089</v>
      </c>
      <c r="L123" s="261">
        <v>1</v>
      </c>
      <c r="M123" s="107">
        <v>1.6220000000000001</v>
      </c>
      <c r="N123" s="107">
        <v>1.6220000000000001</v>
      </c>
      <c r="O123" s="107">
        <v>1.6220000000000001</v>
      </c>
      <c r="P123" s="107">
        <v>1.6220000000000001</v>
      </c>
      <c r="Q123" s="107" t="s">
        <v>115</v>
      </c>
      <c r="R123" s="107" t="s">
        <v>115</v>
      </c>
      <c r="S123" s="28">
        <f t="shared" si="0"/>
        <v>1.6220000000000001</v>
      </c>
      <c r="T123" s="107"/>
      <c r="U123" s="107"/>
    </row>
    <row r="124" spans="1:27" s="348" customFormat="1" ht="25.5">
      <c r="A124" s="261"/>
      <c r="B124" s="260" t="s">
        <v>4315</v>
      </c>
      <c r="C124" s="107"/>
      <c r="D124" s="260" t="s">
        <v>4314</v>
      </c>
      <c r="E124" s="107" t="s">
        <v>5225</v>
      </c>
      <c r="F124" s="156">
        <v>40909</v>
      </c>
      <c r="G124" s="257"/>
      <c r="H124" s="107"/>
      <c r="I124" s="107"/>
      <c r="J124" s="107"/>
      <c r="K124" s="252" t="s">
        <v>1089</v>
      </c>
      <c r="L124" s="261">
        <v>1</v>
      </c>
      <c r="M124" s="107">
        <v>1.6220000000000001</v>
      </c>
      <c r="N124" s="107">
        <v>1.6220000000000001</v>
      </c>
      <c r="O124" s="107">
        <v>1.6220000000000001</v>
      </c>
      <c r="P124" s="107">
        <v>1.6220000000000001</v>
      </c>
      <c r="Q124" s="107" t="s">
        <v>115</v>
      </c>
      <c r="R124" s="107" t="s">
        <v>115</v>
      </c>
      <c r="S124" s="28">
        <f t="shared" si="0"/>
        <v>1.6220000000000001</v>
      </c>
      <c r="T124" s="107"/>
      <c r="U124" s="107"/>
    </row>
    <row r="125" spans="1:27" s="348" customFormat="1" ht="25.5">
      <c r="A125" s="261"/>
      <c r="B125" s="260" t="s">
        <v>4069</v>
      </c>
      <c r="C125" s="107"/>
      <c r="D125" s="260" t="s">
        <v>4068</v>
      </c>
      <c r="E125" s="107" t="s">
        <v>5236</v>
      </c>
      <c r="F125" s="156">
        <v>40909</v>
      </c>
      <c r="G125" s="257"/>
      <c r="H125" s="107"/>
      <c r="I125" s="107"/>
      <c r="J125" s="107"/>
      <c r="K125" s="252" t="s">
        <v>1089</v>
      </c>
      <c r="L125" s="261">
        <v>3</v>
      </c>
      <c r="M125" s="107">
        <v>4.8650000000000002</v>
      </c>
      <c r="N125" s="107">
        <v>4.8650000000000002</v>
      </c>
      <c r="O125" s="107">
        <v>4.8650000000000002</v>
      </c>
      <c r="P125" s="107">
        <v>4.8650000000000002</v>
      </c>
      <c r="Q125" s="107" t="s">
        <v>115</v>
      </c>
      <c r="R125" s="107" t="s">
        <v>115</v>
      </c>
      <c r="S125" s="28">
        <f t="shared" si="0"/>
        <v>4.8650000000000002</v>
      </c>
      <c r="T125" s="107"/>
      <c r="U125" s="107"/>
    </row>
    <row r="126" spans="1:27" s="348" customFormat="1" ht="25.5">
      <c r="A126" s="261"/>
      <c r="B126" s="260" t="s">
        <v>4073</v>
      </c>
      <c r="C126" s="107"/>
      <c r="D126" s="260" t="s">
        <v>4072</v>
      </c>
      <c r="E126" s="107" t="s">
        <v>5236</v>
      </c>
      <c r="F126" s="156">
        <v>40909</v>
      </c>
      <c r="G126" s="257"/>
      <c r="H126" s="107"/>
      <c r="I126" s="107"/>
      <c r="J126" s="107"/>
      <c r="K126" s="252" t="s">
        <v>1089</v>
      </c>
      <c r="L126" s="261">
        <v>1</v>
      </c>
      <c r="M126" s="107">
        <v>1.6220000000000001</v>
      </c>
      <c r="N126" s="107">
        <v>1.6220000000000001</v>
      </c>
      <c r="O126" s="107">
        <v>1.6220000000000001</v>
      </c>
      <c r="P126" s="107">
        <v>1.6220000000000001</v>
      </c>
      <c r="Q126" s="107" t="s">
        <v>115</v>
      </c>
      <c r="R126" s="107" t="s">
        <v>115</v>
      </c>
      <c r="S126" s="28">
        <f t="shared" si="0"/>
        <v>1.6220000000000001</v>
      </c>
      <c r="T126" s="107"/>
      <c r="U126" s="107"/>
    </row>
    <row r="127" spans="1:27" s="348" customFormat="1" ht="25.5">
      <c r="A127" s="261"/>
      <c r="B127" s="260" t="s">
        <v>4075</v>
      </c>
      <c r="C127" s="107"/>
      <c r="D127" s="260" t="s">
        <v>4074</v>
      </c>
      <c r="E127" s="107" t="s">
        <v>5236</v>
      </c>
      <c r="F127" s="156">
        <v>40909</v>
      </c>
      <c r="G127" s="257"/>
      <c r="H127" s="107"/>
      <c r="I127" s="107"/>
      <c r="J127" s="107"/>
      <c r="K127" s="252" t="s">
        <v>1089</v>
      </c>
      <c r="L127" s="261">
        <v>1.3</v>
      </c>
      <c r="M127" s="107">
        <v>2.0270000000000001</v>
      </c>
      <c r="N127" s="107">
        <v>2.0270000000000001</v>
      </c>
      <c r="O127" s="107">
        <v>2.0270000000000001</v>
      </c>
      <c r="P127" s="107">
        <v>2.0270000000000001</v>
      </c>
      <c r="Q127" s="107" t="s">
        <v>115</v>
      </c>
      <c r="R127" s="107" t="s">
        <v>115</v>
      </c>
      <c r="S127" s="28">
        <f t="shared" si="0"/>
        <v>2.0270000000000001</v>
      </c>
      <c r="T127" s="107"/>
      <c r="U127" s="107"/>
    </row>
    <row r="128" spans="1:27" s="348" customFormat="1" ht="25.5">
      <c r="A128" s="261"/>
      <c r="B128" s="260" t="s">
        <v>4077</v>
      </c>
      <c r="C128" s="107"/>
      <c r="D128" s="260" t="s">
        <v>4076</v>
      </c>
      <c r="E128" s="107" t="s">
        <v>5236</v>
      </c>
      <c r="F128" s="156">
        <v>40909</v>
      </c>
      <c r="G128" s="257"/>
      <c r="H128" s="107"/>
      <c r="I128" s="107"/>
      <c r="J128" s="107"/>
      <c r="K128" s="252" t="s">
        <v>1089</v>
      </c>
      <c r="L128" s="261">
        <v>1</v>
      </c>
      <c r="M128" s="107">
        <v>1.6220000000000001</v>
      </c>
      <c r="N128" s="107">
        <v>1.6220000000000001</v>
      </c>
      <c r="O128" s="107">
        <v>1.6220000000000001</v>
      </c>
      <c r="P128" s="107">
        <v>1.6220000000000001</v>
      </c>
      <c r="Q128" s="107" t="s">
        <v>115</v>
      </c>
      <c r="R128" s="107" t="s">
        <v>115</v>
      </c>
      <c r="S128" s="28">
        <f t="shared" si="0"/>
        <v>1.6220000000000001</v>
      </c>
      <c r="T128" s="107"/>
      <c r="U128" s="107"/>
    </row>
    <row r="129" spans="1:21" s="348" customFormat="1" ht="25.5">
      <c r="A129" s="261"/>
      <c r="B129" s="260" t="s">
        <v>4079</v>
      </c>
      <c r="C129" s="107"/>
      <c r="D129" s="260" t="s">
        <v>4078</v>
      </c>
      <c r="E129" s="107" t="s">
        <v>5236</v>
      </c>
      <c r="F129" s="156">
        <v>40909</v>
      </c>
      <c r="G129" s="257"/>
      <c r="H129" s="107"/>
      <c r="I129" s="107"/>
      <c r="J129" s="107"/>
      <c r="K129" s="252" t="s">
        <v>1089</v>
      </c>
      <c r="L129" s="261">
        <v>1</v>
      </c>
      <c r="M129" s="107">
        <v>1.6220000000000001</v>
      </c>
      <c r="N129" s="107">
        <v>1.6220000000000001</v>
      </c>
      <c r="O129" s="107">
        <v>1.6220000000000001</v>
      </c>
      <c r="P129" s="107">
        <v>1.6220000000000001</v>
      </c>
      <c r="Q129" s="107" t="s">
        <v>115</v>
      </c>
      <c r="R129" s="107" t="s">
        <v>115</v>
      </c>
      <c r="S129" s="28">
        <f t="shared" si="0"/>
        <v>1.6220000000000001</v>
      </c>
      <c r="T129" s="107"/>
      <c r="U129" s="107"/>
    </row>
    <row r="130" spans="1:21" s="348" customFormat="1" ht="25.5">
      <c r="A130" s="261"/>
      <c r="B130" s="260" t="s">
        <v>4081</v>
      </c>
      <c r="C130" s="107"/>
      <c r="D130" s="260" t="s">
        <v>4080</v>
      </c>
      <c r="E130" s="107" t="s">
        <v>5236</v>
      </c>
      <c r="F130" s="156">
        <v>40909</v>
      </c>
      <c r="G130" s="257"/>
      <c r="H130" s="107"/>
      <c r="I130" s="107"/>
      <c r="J130" s="107"/>
      <c r="K130" s="252" t="s">
        <v>1089</v>
      </c>
      <c r="L130" s="261">
        <v>1.1000000000000001</v>
      </c>
      <c r="M130" s="107">
        <v>1.847</v>
      </c>
      <c r="N130" s="107">
        <v>1.847</v>
      </c>
      <c r="O130" s="107">
        <v>1.847</v>
      </c>
      <c r="P130" s="107">
        <v>1.847</v>
      </c>
      <c r="Q130" s="107" t="s">
        <v>115</v>
      </c>
      <c r="R130" s="107" t="s">
        <v>115</v>
      </c>
      <c r="S130" s="28">
        <f t="shared" si="0"/>
        <v>1.847</v>
      </c>
      <c r="T130" s="107"/>
      <c r="U130" s="107"/>
    </row>
    <row r="131" spans="1:21" s="348" customFormat="1" ht="25.5">
      <c r="A131" s="261"/>
      <c r="B131" s="260" t="s">
        <v>4085</v>
      </c>
      <c r="C131" s="107"/>
      <c r="D131" s="260" t="s">
        <v>4084</v>
      </c>
      <c r="E131" s="107" t="s">
        <v>5236</v>
      </c>
      <c r="F131" s="156">
        <v>40909</v>
      </c>
      <c r="G131" s="257"/>
      <c r="H131" s="107"/>
      <c r="I131" s="107"/>
      <c r="J131" s="107"/>
      <c r="K131" s="252" t="s">
        <v>1089</v>
      </c>
      <c r="L131" s="261">
        <v>1.8</v>
      </c>
      <c r="M131" s="107">
        <v>2.8380000000000001</v>
      </c>
      <c r="N131" s="107">
        <v>2.8380000000000001</v>
      </c>
      <c r="O131" s="107">
        <v>2.8380000000000001</v>
      </c>
      <c r="P131" s="107">
        <v>2.8380000000000001</v>
      </c>
      <c r="Q131" s="107" t="s">
        <v>115</v>
      </c>
      <c r="R131" s="107" t="s">
        <v>115</v>
      </c>
      <c r="S131" s="28">
        <f t="shared" si="0"/>
        <v>2.8380000000000001</v>
      </c>
      <c r="T131" s="107"/>
      <c r="U131" s="107"/>
    </row>
    <row r="132" spans="1:21" s="348" customFormat="1" ht="25.5">
      <c r="A132" s="261"/>
      <c r="B132" s="260" t="s">
        <v>4087</v>
      </c>
      <c r="C132" s="107"/>
      <c r="D132" s="260" t="s">
        <v>4086</v>
      </c>
      <c r="E132" s="107" t="s">
        <v>5236</v>
      </c>
      <c r="F132" s="156">
        <v>40909</v>
      </c>
      <c r="G132" s="257"/>
      <c r="H132" s="107"/>
      <c r="I132" s="107"/>
      <c r="J132" s="107"/>
      <c r="K132" s="252" t="s">
        <v>1089</v>
      </c>
      <c r="L132" s="261">
        <v>1</v>
      </c>
      <c r="M132" s="107">
        <v>1.6220000000000001</v>
      </c>
      <c r="N132" s="107">
        <v>1.6220000000000001</v>
      </c>
      <c r="O132" s="107">
        <v>1.6220000000000001</v>
      </c>
      <c r="P132" s="107">
        <v>1.6220000000000001</v>
      </c>
      <c r="Q132" s="107" t="s">
        <v>115</v>
      </c>
      <c r="R132" s="107" t="s">
        <v>115</v>
      </c>
      <c r="S132" s="28">
        <f t="shared" si="0"/>
        <v>1.6220000000000001</v>
      </c>
      <c r="T132" s="107"/>
      <c r="U132" s="107"/>
    </row>
    <row r="133" spans="1:21" s="348" customFormat="1" ht="25.5">
      <c r="A133" s="261"/>
      <c r="B133" s="260" t="s">
        <v>4089</v>
      </c>
      <c r="C133" s="107"/>
      <c r="D133" s="260" t="s">
        <v>4088</v>
      </c>
      <c r="E133" s="107" t="s">
        <v>5236</v>
      </c>
      <c r="F133" s="156">
        <v>40909</v>
      </c>
      <c r="G133" s="257"/>
      <c r="H133" s="107"/>
      <c r="I133" s="107"/>
      <c r="J133" s="107"/>
      <c r="K133" s="252" t="s">
        <v>1089</v>
      </c>
      <c r="L133" s="261">
        <v>2.5</v>
      </c>
      <c r="M133" s="107">
        <v>4.0540000000000003</v>
      </c>
      <c r="N133" s="107">
        <v>4.0540000000000003</v>
      </c>
      <c r="O133" s="107">
        <v>4.0540000000000003</v>
      </c>
      <c r="P133" s="107">
        <v>4.0540000000000003</v>
      </c>
      <c r="Q133" s="107" t="s">
        <v>115</v>
      </c>
      <c r="R133" s="107" t="s">
        <v>115</v>
      </c>
      <c r="S133" s="28">
        <f t="shared" si="0"/>
        <v>4.0540000000000003</v>
      </c>
      <c r="T133" s="107"/>
      <c r="U133" s="107"/>
    </row>
    <row r="134" spans="1:21" s="348" customFormat="1" ht="25.5">
      <c r="A134" s="261"/>
      <c r="B134" s="260" t="s">
        <v>4092</v>
      </c>
      <c r="C134" s="107"/>
      <c r="D134" s="260" t="s">
        <v>4091</v>
      </c>
      <c r="E134" s="107" t="s">
        <v>5236</v>
      </c>
      <c r="F134" s="156">
        <v>40909</v>
      </c>
      <c r="G134" s="257"/>
      <c r="H134" s="107"/>
      <c r="I134" s="107"/>
      <c r="J134" s="107"/>
      <c r="K134" s="252" t="s">
        <v>1089</v>
      </c>
      <c r="L134" s="261">
        <v>1</v>
      </c>
      <c r="M134" s="107">
        <v>1.6220000000000001</v>
      </c>
      <c r="N134" s="107">
        <v>1.6220000000000001</v>
      </c>
      <c r="O134" s="107">
        <v>1.6220000000000001</v>
      </c>
      <c r="P134" s="107">
        <v>1.6220000000000001</v>
      </c>
      <c r="Q134" s="107" t="s">
        <v>115</v>
      </c>
      <c r="R134" s="107" t="s">
        <v>115</v>
      </c>
      <c r="S134" s="28">
        <f t="shared" si="0"/>
        <v>1.6220000000000001</v>
      </c>
      <c r="T134" s="107"/>
      <c r="U134" s="107"/>
    </row>
    <row r="135" spans="1:21" s="348" customFormat="1" ht="25.5">
      <c r="A135" s="261"/>
      <c r="B135" s="260" t="s">
        <v>4094</v>
      </c>
      <c r="C135" s="107"/>
      <c r="D135" s="260" t="s">
        <v>4093</v>
      </c>
      <c r="E135" s="107" t="s">
        <v>5236</v>
      </c>
      <c r="F135" s="156">
        <v>40909</v>
      </c>
      <c r="G135" s="257"/>
      <c r="H135" s="107"/>
      <c r="I135" s="107"/>
      <c r="J135" s="107"/>
      <c r="K135" s="252" t="s">
        <v>1089</v>
      </c>
      <c r="L135" s="261">
        <v>1</v>
      </c>
      <c r="M135" s="107">
        <v>1.6220000000000001</v>
      </c>
      <c r="N135" s="107">
        <v>1.6220000000000001</v>
      </c>
      <c r="O135" s="107">
        <v>1.6220000000000001</v>
      </c>
      <c r="P135" s="107">
        <v>1.6220000000000001</v>
      </c>
      <c r="Q135" s="107" t="s">
        <v>115</v>
      </c>
      <c r="R135" s="107" t="s">
        <v>115</v>
      </c>
      <c r="S135" s="28">
        <f t="shared" si="0"/>
        <v>1.6220000000000001</v>
      </c>
      <c r="T135" s="107"/>
      <c r="U135" s="107"/>
    </row>
    <row r="136" spans="1:21" s="348" customFormat="1" ht="25.5">
      <c r="A136" s="261"/>
      <c r="B136" s="260" t="s">
        <v>4096</v>
      </c>
      <c r="C136" s="107"/>
      <c r="D136" s="260" t="s">
        <v>4095</v>
      </c>
      <c r="E136" s="107" t="s">
        <v>5236</v>
      </c>
      <c r="F136" s="156">
        <v>40909</v>
      </c>
      <c r="G136" s="257"/>
      <c r="H136" s="107"/>
      <c r="I136" s="107"/>
      <c r="J136" s="107"/>
      <c r="K136" s="252" t="s">
        <v>1089</v>
      </c>
      <c r="L136" s="261">
        <v>2.1</v>
      </c>
      <c r="M136" s="107">
        <v>3.4460000000000002</v>
      </c>
      <c r="N136" s="107">
        <v>3.4460000000000002</v>
      </c>
      <c r="O136" s="107">
        <v>3.4460000000000002</v>
      </c>
      <c r="P136" s="107">
        <v>3.4460000000000002</v>
      </c>
      <c r="Q136" s="107" t="s">
        <v>115</v>
      </c>
      <c r="R136" s="107" t="s">
        <v>115</v>
      </c>
      <c r="S136" s="28">
        <f t="shared" si="0"/>
        <v>3.4460000000000002</v>
      </c>
      <c r="T136" s="107"/>
      <c r="U136" s="107"/>
    </row>
    <row r="137" spans="1:21" s="348" customFormat="1" ht="25.5">
      <c r="A137" s="261"/>
      <c r="B137" s="260" t="s">
        <v>4103</v>
      </c>
      <c r="C137" s="107"/>
      <c r="D137" s="260" t="s">
        <v>4102</v>
      </c>
      <c r="E137" s="107" t="s">
        <v>5236</v>
      </c>
      <c r="F137" s="156">
        <v>40909</v>
      </c>
      <c r="G137" s="257"/>
      <c r="H137" s="107"/>
      <c r="I137" s="107"/>
      <c r="J137" s="107"/>
      <c r="K137" s="252" t="s">
        <v>1089</v>
      </c>
      <c r="L137" s="261">
        <v>1</v>
      </c>
      <c r="M137" s="107">
        <v>1.6220000000000001</v>
      </c>
      <c r="N137" s="107">
        <v>1.6220000000000001</v>
      </c>
      <c r="O137" s="107">
        <v>1.6220000000000001</v>
      </c>
      <c r="P137" s="107">
        <v>1.6220000000000001</v>
      </c>
      <c r="Q137" s="107" t="s">
        <v>115</v>
      </c>
      <c r="R137" s="107" t="s">
        <v>115</v>
      </c>
      <c r="S137" s="28">
        <f t="shared" si="0"/>
        <v>1.6220000000000001</v>
      </c>
      <c r="T137" s="107"/>
      <c r="U137" s="107"/>
    </row>
    <row r="138" spans="1:21" s="348" customFormat="1" ht="25.5">
      <c r="A138" s="261"/>
      <c r="B138" s="260" t="s">
        <v>4110</v>
      </c>
      <c r="C138" s="107"/>
      <c r="D138" s="260" t="s">
        <v>4109</v>
      </c>
      <c r="E138" s="107" t="s">
        <v>5236</v>
      </c>
      <c r="F138" s="156">
        <v>40961</v>
      </c>
      <c r="G138" s="257"/>
      <c r="H138" s="107"/>
      <c r="I138" s="107"/>
      <c r="J138" s="107"/>
      <c r="K138" s="252" t="s">
        <v>1089</v>
      </c>
      <c r="L138" s="261">
        <v>1</v>
      </c>
      <c r="M138" s="107">
        <v>2.452</v>
      </c>
      <c r="N138" s="107" t="s">
        <v>115</v>
      </c>
      <c r="O138" s="107" t="s">
        <v>115</v>
      </c>
      <c r="P138" s="107" t="s">
        <v>115</v>
      </c>
      <c r="Q138" s="107" t="s">
        <v>115</v>
      </c>
      <c r="R138" s="107" t="s">
        <v>115</v>
      </c>
      <c r="S138" s="28">
        <f t="shared" si="0"/>
        <v>2.452</v>
      </c>
      <c r="T138" s="107"/>
      <c r="U138" s="107"/>
    </row>
    <row r="139" spans="1:21" s="348" customFormat="1" ht="25.5">
      <c r="A139" s="261"/>
      <c r="B139" s="260" t="s">
        <v>4112</v>
      </c>
      <c r="C139" s="107"/>
      <c r="D139" s="260" t="s">
        <v>4111</v>
      </c>
      <c r="E139" s="107" t="s">
        <v>5236</v>
      </c>
      <c r="F139" s="156">
        <v>41449</v>
      </c>
      <c r="G139" s="257"/>
      <c r="H139" s="107"/>
      <c r="I139" s="107"/>
      <c r="J139" s="107"/>
      <c r="K139" s="252" t="s">
        <v>1089</v>
      </c>
      <c r="L139" s="261">
        <v>1.33</v>
      </c>
      <c r="M139" s="107">
        <v>3.3959999999999999</v>
      </c>
      <c r="N139" s="107" t="s">
        <v>115</v>
      </c>
      <c r="O139" s="107" t="s">
        <v>115</v>
      </c>
      <c r="P139" s="107" t="s">
        <v>115</v>
      </c>
      <c r="Q139" s="107" t="s">
        <v>115</v>
      </c>
      <c r="R139" s="107" t="s">
        <v>115</v>
      </c>
      <c r="S139" s="28">
        <f t="shared" si="0"/>
        <v>3.3959999999999999</v>
      </c>
      <c r="T139" s="107"/>
      <c r="U139" s="107"/>
    </row>
    <row r="140" spans="1:21" s="348" customFormat="1" ht="25.5">
      <c r="A140" s="261"/>
      <c r="B140" s="260" t="s">
        <v>4127</v>
      </c>
      <c r="C140" s="107"/>
      <c r="D140" s="260" t="s">
        <v>4126</v>
      </c>
      <c r="E140" s="107" t="s">
        <v>5236</v>
      </c>
      <c r="F140" s="156">
        <v>40909</v>
      </c>
      <c r="G140" s="257"/>
      <c r="H140" s="107"/>
      <c r="I140" s="107"/>
      <c r="J140" s="107"/>
      <c r="K140" s="252" t="s">
        <v>1089</v>
      </c>
      <c r="L140" s="261">
        <v>1</v>
      </c>
      <c r="M140" s="107">
        <v>1.6220000000000001</v>
      </c>
      <c r="N140" s="107">
        <v>1.6220000000000001</v>
      </c>
      <c r="O140" s="107">
        <v>1.6220000000000001</v>
      </c>
      <c r="P140" s="107">
        <v>1.6220000000000001</v>
      </c>
      <c r="Q140" s="107" t="s">
        <v>115</v>
      </c>
      <c r="R140" s="107" t="s">
        <v>115</v>
      </c>
      <c r="S140" s="28">
        <f t="shared" si="0"/>
        <v>1.6220000000000001</v>
      </c>
      <c r="T140" s="107"/>
      <c r="U140" s="107"/>
    </row>
    <row r="141" spans="1:21" s="348" customFormat="1" ht="25.5">
      <c r="A141" s="261"/>
      <c r="B141" s="260" t="s">
        <v>4135</v>
      </c>
      <c r="C141" s="107"/>
      <c r="D141" s="260" t="s">
        <v>4134</v>
      </c>
      <c r="E141" s="107" t="s">
        <v>5236</v>
      </c>
      <c r="F141" s="156">
        <v>40909</v>
      </c>
      <c r="G141" s="257"/>
      <c r="H141" s="107"/>
      <c r="I141" s="107"/>
      <c r="J141" s="107"/>
      <c r="K141" s="252" t="s">
        <v>1089</v>
      </c>
      <c r="L141" s="261">
        <v>1</v>
      </c>
      <c r="M141" s="107">
        <v>1.6220000000000001</v>
      </c>
      <c r="N141" s="107">
        <v>1.6220000000000001</v>
      </c>
      <c r="O141" s="107">
        <v>1.6220000000000001</v>
      </c>
      <c r="P141" s="107">
        <v>1.6220000000000001</v>
      </c>
      <c r="Q141" s="107" t="s">
        <v>115</v>
      </c>
      <c r="R141" s="107" t="s">
        <v>115</v>
      </c>
      <c r="S141" s="28">
        <f t="shared" si="0"/>
        <v>1.6220000000000001</v>
      </c>
      <c r="T141" s="107"/>
      <c r="U141" s="107"/>
    </row>
    <row r="142" spans="1:21" s="348" customFormat="1" ht="25.5">
      <c r="A142" s="261"/>
      <c r="B142" s="260" t="s">
        <v>4141</v>
      </c>
      <c r="C142" s="107"/>
      <c r="D142" s="260" t="s">
        <v>4140</v>
      </c>
      <c r="E142" s="107" t="s">
        <v>5236</v>
      </c>
      <c r="F142" s="156">
        <v>40909</v>
      </c>
      <c r="G142" s="257"/>
      <c r="H142" s="107"/>
      <c r="I142" s="107"/>
      <c r="J142" s="107"/>
      <c r="K142" s="252" t="s">
        <v>1089</v>
      </c>
      <c r="L142" s="261">
        <v>1</v>
      </c>
      <c r="M142" s="107">
        <v>1.6220000000000001</v>
      </c>
      <c r="N142" s="107">
        <v>1.6220000000000001</v>
      </c>
      <c r="O142" s="107">
        <v>1.6220000000000001</v>
      </c>
      <c r="P142" s="107">
        <v>1.6220000000000001</v>
      </c>
      <c r="Q142" s="107" t="s">
        <v>115</v>
      </c>
      <c r="R142" s="107" t="s">
        <v>115</v>
      </c>
      <c r="S142" s="28">
        <f t="shared" si="0"/>
        <v>1.6220000000000001</v>
      </c>
      <c r="T142" s="107"/>
      <c r="U142" s="107"/>
    </row>
    <row r="143" spans="1:21" s="348" customFormat="1" ht="25.5">
      <c r="A143" s="261"/>
      <c r="B143" s="260" t="s">
        <v>4145</v>
      </c>
      <c r="C143" s="107"/>
      <c r="D143" s="260" t="s">
        <v>4144</v>
      </c>
      <c r="E143" s="107" t="s">
        <v>5236</v>
      </c>
      <c r="F143" s="156">
        <v>40909</v>
      </c>
      <c r="G143" s="257"/>
      <c r="H143" s="107"/>
      <c r="I143" s="107"/>
      <c r="J143" s="107"/>
      <c r="K143" s="252" t="s">
        <v>1089</v>
      </c>
      <c r="L143" s="261">
        <v>1.5</v>
      </c>
      <c r="M143" s="107">
        <v>2.4319999999999999</v>
      </c>
      <c r="N143" s="107">
        <v>2.4319999999999999</v>
      </c>
      <c r="O143" s="107">
        <v>2.4319999999999999</v>
      </c>
      <c r="P143" s="107">
        <v>2.4319999999999999</v>
      </c>
      <c r="Q143" s="107" t="s">
        <v>115</v>
      </c>
      <c r="R143" s="107" t="s">
        <v>115</v>
      </c>
      <c r="S143" s="28">
        <f t="shared" si="0"/>
        <v>2.4319999999999999</v>
      </c>
      <c r="T143" s="107"/>
      <c r="U143" s="107"/>
    </row>
    <row r="144" spans="1:21" s="348" customFormat="1" ht="25.5">
      <c r="A144" s="261"/>
      <c r="B144" s="260" t="s">
        <v>4147</v>
      </c>
      <c r="C144" s="107"/>
      <c r="D144" s="260" t="s">
        <v>4146</v>
      </c>
      <c r="E144" s="107" t="s">
        <v>5236</v>
      </c>
      <c r="F144" s="156">
        <v>40909</v>
      </c>
      <c r="G144" s="257"/>
      <c r="H144" s="107"/>
      <c r="I144" s="107"/>
      <c r="J144" s="107"/>
      <c r="K144" s="252" t="s">
        <v>1089</v>
      </c>
      <c r="L144" s="261">
        <v>1.3</v>
      </c>
      <c r="M144" s="107">
        <v>2.0760000000000001</v>
      </c>
      <c r="N144" s="107">
        <v>2.0760000000000001</v>
      </c>
      <c r="O144" s="107">
        <v>2.0760000000000001</v>
      </c>
      <c r="P144" s="107">
        <v>2.0760000000000001</v>
      </c>
      <c r="Q144" s="107" t="s">
        <v>115</v>
      </c>
      <c r="R144" s="107" t="s">
        <v>115</v>
      </c>
      <c r="S144" s="28">
        <f t="shared" si="0"/>
        <v>2.0760000000000001</v>
      </c>
      <c r="T144" s="107"/>
      <c r="U144" s="107"/>
    </row>
    <row r="145" spans="1:21" s="348" customFormat="1" ht="25.5">
      <c r="A145" s="261"/>
      <c r="B145" s="260" t="s">
        <v>4149</v>
      </c>
      <c r="C145" s="107"/>
      <c r="D145" s="260" t="s">
        <v>4148</v>
      </c>
      <c r="E145" s="107" t="s">
        <v>5236</v>
      </c>
      <c r="F145" s="156">
        <v>40909</v>
      </c>
      <c r="G145" s="257"/>
      <c r="H145" s="107"/>
      <c r="I145" s="107"/>
      <c r="J145" s="107"/>
      <c r="K145" s="252" t="s">
        <v>1089</v>
      </c>
      <c r="L145" s="261">
        <v>2.2999999999999998</v>
      </c>
      <c r="M145" s="107">
        <v>3.786</v>
      </c>
      <c r="N145" s="107">
        <v>3.786</v>
      </c>
      <c r="O145" s="107">
        <v>3.786</v>
      </c>
      <c r="P145" s="107">
        <v>3.7829999999999999</v>
      </c>
      <c r="Q145" s="107" t="s">
        <v>115</v>
      </c>
      <c r="R145" s="107" t="s">
        <v>115</v>
      </c>
      <c r="S145" s="28">
        <f t="shared" si="0"/>
        <v>3.78525</v>
      </c>
      <c r="T145" s="107"/>
      <c r="U145" s="107"/>
    </row>
    <row r="146" spans="1:21" s="348" customFormat="1" ht="25.5">
      <c r="A146" s="261"/>
      <c r="B146" s="260" t="s">
        <v>4152</v>
      </c>
      <c r="C146" s="107"/>
      <c r="D146" s="260" t="s">
        <v>4151</v>
      </c>
      <c r="E146" s="107" t="s">
        <v>5236</v>
      </c>
      <c r="F146" s="156">
        <v>41639</v>
      </c>
      <c r="G146" s="257"/>
      <c r="H146" s="107"/>
      <c r="I146" s="107"/>
      <c r="J146" s="107"/>
      <c r="K146" s="252" t="s">
        <v>1089</v>
      </c>
      <c r="L146" s="261">
        <v>0.30499999999999999</v>
      </c>
      <c r="M146" s="107">
        <v>0.40100000000000002</v>
      </c>
      <c r="N146" s="107">
        <v>0.40100000000000002</v>
      </c>
      <c r="O146" s="107"/>
      <c r="P146" s="107" t="s">
        <v>115</v>
      </c>
      <c r="Q146" s="107" t="s">
        <v>115</v>
      </c>
      <c r="R146" s="107" t="s">
        <v>115</v>
      </c>
      <c r="S146" s="28">
        <f t="shared" si="0"/>
        <v>0.40100000000000002</v>
      </c>
      <c r="T146" s="107"/>
      <c r="U146" s="107"/>
    </row>
    <row r="147" spans="1:21" s="348" customFormat="1" ht="25.5">
      <c r="A147" s="261"/>
      <c r="B147" s="260" t="s">
        <v>4154</v>
      </c>
      <c r="C147" s="107"/>
      <c r="D147" s="260" t="s">
        <v>4153</v>
      </c>
      <c r="E147" s="107" t="s">
        <v>5236</v>
      </c>
      <c r="F147" s="156">
        <v>40909</v>
      </c>
      <c r="G147" s="257"/>
      <c r="H147" s="107"/>
      <c r="I147" s="107"/>
      <c r="J147" s="107"/>
      <c r="K147" s="252" t="s">
        <v>1089</v>
      </c>
      <c r="L147" s="261">
        <v>1</v>
      </c>
      <c r="M147" s="107">
        <v>1.6220000000000001</v>
      </c>
      <c r="N147" s="107">
        <v>1.6220000000000001</v>
      </c>
      <c r="O147" s="107">
        <v>1.6220000000000001</v>
      </c>
      <c r="P147" s="107">
        <v>1.6220000000000001</v>
      </c>
      <c r="Q147" s="107" t="s">
        <v>115</v>
      </c>
      <c r="R147" s="107" t="s">
        <v>115</v>
      </c>
      <c r="S147" s="28">
        <f t="shared" si="0"/>
        <v>1.6220000000000001</v>
      </c>
      <c r="T147" s="107"/>
      <c r="U147" s="107"/>
    </row>
    <row r="148" spans="1:21" s="348" customFormat="1" ht="25.5">
      <c r="A148" s="261"/>
      <c r="B148" s="260" t="s">
        <v>4156</v>
      </c>
      <c r="C148" s="107"/>
      <c r="D148" s="260" t="s">
        <v>4155</v>
      </c>
      <c r="E148" s="107" t="s">
        <v>5236</v>
      </c>
      <c r="F148" s="156">
        <v>40909</v>
      </c>
      <c r="G148" s="257"/>
      <c r="H148" s="107"/>
      <c r="I148" s="107"/>
      <c r="J148" s="107"/>
      <c r="K148" s="252" t="s">
        <v>1089</v>
      </c>
      <c r="L148" s="261">
        <v>1</v>
      </c>
      <c r="M148" s="107">
        <v>1.6220000000000001</v>
      </c>
      <c r="N148" s="107">
        <v>1.6220000000000001</v>
      </c>
      <c r="O148" s="107">
        <v>1.6220000000000001</v>
      </c>
      <c r="P148" s="107">
        <v>1.6220000000000001</v>
      </c>
      <c r="Q148" s="107" t="s">
        <v>115</v>
      </c>
      <c r="R148" s="107" t="s">
        <v>115</v>
      </c>
      <c r="S148" s="28">
        <f t="shared" si="0"/>
        <v>1.6220000000000001</v>
      </c>
      <c r="T148" s="107"/>
      <c r="U148" s="107"/>
    </row>
    <row r="149" spans="1:21" s="348" customFormat="1" ht="25.5">
      <c r="A149" s="261"/>
      <c r="B149" s="260" t="s">
        <v>4158</v>
      </c>
      <c r="C149" s="107"/>
      <c r="D149" s="260" t="s">
        <v>4157</v>
      </c>
      <c r="E149" s="107" t="s">
        <v>5236</v>
      </c>
      <c r="F149" s="156">
        <v>40909</v>
      </c>
      <c r="G149" s="257"/>
      <c r="H149" s="107"/>
      <c r="I149" s="107"/>
      <c r="J149" s="107"/>
      <c r="K149" s="252" t="s">
        <v>1089</v>
      </c>
      <c r="L149" s="261">
        <v>1</v>
      </c>
      <c r="M149" s="107">
        <v>1.6220000000000001</v>
      </c>
      <c r="N149" s="107">
        <v>1.6220000000000001</v>
      </c>
      <c r="O149" s="107">
        <v>1.6220000000000001</v>
      </c>
      <c r="P149" s="107">
        <v>1.6220000000000001</v>
      </c>
      <c r="Q149" s="107" t="s">
        <v>115</v>
      </c>
      <c r="R149" s="107" t="s">
        <v>115</v>
      </c>
      <c r="S149" s="28">
        <f t="shared" si="0"/>
        <v>1.6220000000000001</v>
      </c>
      <c r="T149" s="107"/>
      <c r="U149" s="107"/>
    </row>
    <row r="150" spans="1:21" s="348" customFormat="1" ht="25.5">
      <c r="A150" s="261"/>
      <c r="B150" s="260" t="s">
        <v>4160</v>
      </c>
      <c r="C150" s="107"/>
      <c r="D150" s="260" t="s">
        <v>4159</v>
      </c>
      <c r="E150" s="107" t="s">
        <v>5236</v>
      </c>
      <c r="F150" s="156">
        <v>40909</v>
      </c>
      <c r="G150" s="257"/>
      <c r="H150" s="107"/>
      <c r="I150" s="107"/>
      <c r="J150" s="107"/>
      <c r="K150" s="252" t="s">
        <v>1089</v>
      </c>
      <c r="L150" s="261">
        <v>1</v>
      </c>
      <c r="M150" s="107">
        <v>1.6220000000000001</v>
      </c>
      <c r="N150" s="107">
        <v>1.6220000000000001</v>
      </c>
      <c r="O150" s="107">
        <v>1.6220000000000001</v>
      </c>
      <c r="P150" s="107">
        <v>1.6220000000000001</v>
      </c>
      <c r="Q150" s="107" t="s">
        <v>115</v>
      </c>
      <c r="R150" s="107" t="s">
        <v>115</v>
      </c>
      <c r="S150" s="28">
        <f t="shared" si="0"/>
        <v>1.6220000000000001</v>
      </c>
      <c r="T150" s="107"/>
      <c r="U150" s="107"/>
    </row>
    <row r="151" spans="1:21" s="348" customFormat="1" ht="25.5">
      <c r="A151" s="261"/>
      <c r="B151" s="260" t="s">
        <v>4162</v>
      </c>
      <c r="C151" s="107"/>
      <c r="D151" s="260" t="s">
        <v>4161</v>
      </c>
      <c r="E151" s="107" t="s">
        <v>5236</v>
      </c>
      <c r="F151" s="156">
        <v>40909</v>
      </c>
      <c r="G151" s="257"/>
      <c r="H151" s="107"/>
      <c r="I151" s="107"/>
      <c r="J151" s="107"/>
      <c r="K151" s="252" t="s">
        <v>1089</v>
      </c>
      <c r="L151" s="261">
        <v>2.2999999999999998</v>
      </c>
      <c r="M151" s="107">
        <v>3.649</v>
      </c>
      <c r="N151" s="107">
        <v>3.649</v>
      </c>
      <c r="O151" s="107">
        <v>3.649</v>
      </c>
      <c r="P151" s="107">
        <v>3.649</v>
      </c>
      <c r="Q151" s="107" t="s">
        <v>115</v>
      </c>
      <c r="R151" s="107" t="s">
        <v>115</v>
      </c>
      <c r="S151" s="28">
        <f t="shared" si="0"/>
        <v>3.649</v>
      </c>
      <c r="T151" s="107"/>
      <c r="U151" s="107"/>
    </row>
    <row r="152" spans="1:21" s="348" customFormat="1" ht="25.5">
      <c r="A152" s="261"/>
      <c r="B152" s="260" t="s">
        <v>4164</v>
      </c>
      <c r="C152" s="107"/>
      <c r="D152" s="260" t="s">
        <v>4163</v>
      </c>
      <c r="E152" s="107" t="s">
        <v>5236</v>
      </c>
      <c r="F152" s="156">
        <v>40909</v>
      </c>
      <c r="G152" s="257"/>
      <c r="H152" s="107"/>
      <c r="I152" s="107"/>
      <c r="J152" s="107"/>
      <c r="K152" s="252" t="s">
        <v>1089</v>
      </c>
      <c r="L152" s="261">
        <v>1</v>
      </c>
      <c r="M152" s="107">
        <v>1.6220000000000001</v>
      </c>
      <c r="N152" s="107">
        <v>1.6220000000000001</v>
      </c>
      <c r="O152" s="107">
        <v>1.6220000000000001</v>
      </c>
      <c r="P152" s="107">
        <v>1.6220000000000001</v>
      </c>
      <c r="Q152" s="107" t="s">
        <v>115</v>
      </c>
      <c r="R152" s="107" t="s">
        <v>115</v>
      </c>
      <c r="S152" s="28">
        <f t="shared" si="0"/>
        <v>1.6220000000000001</v>
      </c>
      <c r="T152" s="107"/>
      <c r="U152" s="107"/>
    </row>
    <row r="153" spans="1:21" s="348" customFormat="1" ht="25.5">
      <c r="A153" s="261"/>
      <c r="B153" s="260" t="s">
        <v>4166</v>
      </c>
      <c r="C153" s="107"/>
      <c r="D153" s="260" t="s">
        <v>4165</v>
      </c>
      <c r="E153" s="107" t="s">
        <v>5236</v>
      </c>
      <c r="F153" s="156">
        <v>40909</v>
      </c>
      <c r="G153" s="257"/>
      <c r="H153" s="107"/>
      <c r="I153" s="107"/>
      <c r="J153" s="107"/>
      <c r="K153" s="252" t="s">
        <v>1089</v>
      </c>
      <c r="L153" s="261">
        <v>1</v>
      </c>
      <c r="M153" s="107">
        <v>1.6220000000000001</v>
      </c>
      <c r="N153" s="107">
        <v>1.6220000000000001</v>
      </c>
      <c r="O153" s="107">
        <v>1.6220000000000001</v>
      </c>
      <c r="P153" s="107">
        <v>1.6220000000000001</v>
      </c>
      <c r="Q153" s="107" t="s">
        <v>115</v>
      </c>
      <c r="R153" s="107" t="s">
        <v>115</v>
      </c>
      <c r="S153" s="28">
        <f t="shared" si="0"/>
        <v>1.6220000000000001</v>
      </c>
      <c r="T153" s="107"/>
      <c r="U153" s="107"/>
    </row>
    <row r="154" spans="1:21" s="348" customFormat="1" ht="25.5">
      <c r="A154" s="261"/>
      <c r="B154" s="260" t="s">
        <v>4168</v>
      </c>
      <c r="C154" s="107"/>
      <c r="D154" s="260" t="s">
        <v>4167</v>
      </c>
      <c r="E154" s="107" t="s">
        <v>5236</v>
      </c>
      <c r="F154" s="156">
        <v>40909</v>
      </c>
      <c r="G154" s="257"/>
      <c r="H154" s="107"/>
      <c r="I154" s="107"/>
      <c r="J154" s="107"/>
      <c r="K154" s="252" t="s">
        <v>1089</v>
      </c>
      <c r="L154" s="261">
        <v>1</v>
      </c>
      <c r="M154" s="107">
        <v>1.6379999999999999</v>
      </c>
      <c r="N154" s="107">
        <v>1.6379999999999999</v>
      </c>
      <c r="O154" s="107">
        <v>1.6379999999999999</v>
      </c>
      <c r="P154" s="107">
        <v>1.6379999999999999</v>
      </c>
      <c r="Q154" s="107" t="s">
        <v>115</v>
      </c>
      <c r="R154" s="107" t="s">
        <v>115</v>
      </c>
      <c r="S154" s="28">
        <f t="shared" ref="S154:S185" si="1">AVERAGE(M154:R154)</f>
        <v>1.6379999999999999</v>
      </c>
      <c r="T154" s="107"/>
      <c r="U154" s="107"/>
    </row>
    <row r="155" spans="1:21" s="348" customFormat="1" ht="25.5">
      <c r="A155" s="261"/>
      <c r="B155" s="260" t="s">
        <v>4170</v>
      </c>
      <c r="C155" s="107"/>
      <c r="D155" s="260" t="s">
        <v>4169</v>
      </c>
      <c r="E155" s="107" t="s">
        <v>5236</v>
      </c>
      <c r="F155" s="156">
        <v>40909</v>
      </c>
      <c r="G155" s="257"/>
      <c r="H155" s="107"/>
      <c r="I155" s="107"/>
      <c r="J155" s="107"/>
      <c r="K155" s="252" t="s">
        <v>1089</v>
      </c>
      <c r="L155" s="261">
        <v>1</v>
      </c>
      <c r="M155" s="107">
        <v>1.6459999999999999</v>
      </c>
      <c r="N155" s="107">
        <v>1.6459999999999999</v>
      </c>
      <c r="O155" s="107">
        <v>1.6459999999999999</v>
      </c>
      <c r="P155" s="107">
        <v>1.6459999999999999</v>
      </c>
      <c r="Q155" s="107" t="s">
        <v>115</v>
      </c>
      <c r="R155" s="107" t="s">
        <v>115</v>
      </c>
      <c r="S155" s="28">
        <f t="shared" si="1"/>
        <v>1.6459999999999999</v>
      </c>
      <c r="T155" s="107"/>
      <c r="U155" s="107"/>
    </row>
    <row r="156" spans="1:21" s="348" customFormat="1" ht="25.5">
      <c r="A156" s="261"/>
      <c r="B156" s="260" t="s">
        <v>4172</v>
      </c>
      <c r="C156" s="107"/>
      <c r="D156" s="260" t="s">
        <v>4171</v>
      </c>
      <c r="E156" s="107" t="s">
        <v>5236</v>
      </c>
      <c r="F156" s="156">
        <v>40909</v>
      </c>
      <c r="G156" s="257"/>
      <c r="H156" s="107"/>
      <c r="I156" s="107"/>
      <c r="J156" s="107"/>
      <c r="K156" s="252" t="s">
        <v>1089</v>
      </c>
      <c r="L156" s="261">
        <v>1.3</v>
      </c>
      <c r="M156" s="107">
        <v>2.1080000000000001</v>
      </c>
      <c r="N156" s="107">
        <v>2.1080000000000001</v>
      </c>
      <c r="O156" s="107">
        <v>2.1080000000000001</v>
      </c>
      <c r="P156" s="107">
        <v>2.1080000000000001</v>
      </c>
      <c r="Q156" s="107" t="s">
        <v>115</v>
      </c>
      <c r="R156" s="107" t="s">
        <v>115</v>
      </c>
      <c r="S156" s="28">
        <f t="shared" si="1"/>
        <v>2.1080000000000001</v>
      </c>
      <c r="T156" s="107"/>
      <c r="U156" s="107"/>
    </row>
    <row r="157" spans="1:21" s="348" customFormat="1" ht="25.5">
      <c r="A157" s="261"/>
      <c r="B157" s="260" t="s">
        <v>4174</v>
      </c>
      <c r="C157" s="107"/>
      <c r="D157" s="260" t="s">
        <v>4173</v>
      </c>
      <c r="E157" s="107" t="s">
        <v>5236</v>
      </c>
      <c r="F157" s="156">
        <v>40909</v>
      </c>
      <c r="G157" s="257"/>
      <c r="H157" s="107"/>
      <c r="I157" s="107"/>
      <c r="J157" s="107"/>
      <c r="K157" s="252" t="s">
        <v>1089</v>
      </c>
      <c r="L157" s="261">
        <v>3</v>
      </c>
      <c r="M157" s="107">
        <v>4.8650000000000002</v>
      </c>
      <c r="N157" s="107">
        <v>4.8650000000000002</v>
      </c>
      <c r="O157" s="107">
        <v>4.8650000000000002</v>
      </c>
      <c r="P157" s="107">
        <v>4.8650000000000002</v>
      </c>
      <c r="Q157" s="107" t="s">
        <v>115</v>
      </c>
      <c r="R157" s="107" t="s">
        <v>115</v>
      </c>
      <c r="S157" s="28">
        <f t="shared" si="1"/>
        <v>4.8650000000000002</v>
      </c>
      <c r="T157" s="107"/>
      <c r="U157" s="107"/>
    </row>
    <row r="158" spans="1:21" s="348" customFormat="1" ht="25.5">
      <c r="A158" s="261"/>
      <c r="B158" s="260" t="s">
        <v>4176</v>
      </c>
      <c r="C158" s="107"/>
      <c r="D158" s="260" t="s">
        <v>4175</v>
      </c>
      <c r="E158" s="107" t="s">
        <v>5236</v>
      </c>
      <c r="F158" s="156">
        <v>40909</v>
      </c>
      <c r="G158" s="257"/>
      <c r="H158" s="107"/>
      <c r="I158" s="107"/>
      <c r="J158" s="107"/>
      <c r="K158" s="252" t="s">
        <v>1089</v>
      </c>
      <c r="L158" s="261">
        <v>1.6</v>
      </c>
      <c r="M158" s="107">
        <v>2.5950000000000002</v>
      </c>
      <c r="N158" s="107">
        <v>2.5950000000000002</v>
      </c>
      <c r="O158" s="107">
        <v>2.5950000000000002</v>
      </c>
      <c r="P158" s="107">
        <v>2.5950000000000002</v>
      </c>
      <c r="Q158" s="107" t="s">
        <v>115</v>
      </c>
      <c r="R158" s="107" t="s">
        <v>115</v>
      </c>
      <c r="S158" s="28">
        <f t="shared" si="1"/>
        <v>2.5950000000000002</v>
      </c>
      <c r="T158" s="107"/>
      <c r="U158" s="107"/>
    </row>
    <row r="159" spans="1:21" s="348" customFormat="1" ht="25.5">
      <c r="A159" s="261"/>
      <c r="B159" s="260" t="s">
        <v>4178</v>
      </c>
      <c r="C159" s="107"/>
      <c r="D159" s="260" t="s">
        <v>4177</v>
      </c>
      <c r="E159" s="107" t="s">
        <v>5236</v>
      </c>
      <c r="F159" s="156">
        <v>40909</v>
      </c>
      <c r="G159" s="257"/>
      <c r="H159" s="107"/>
      <c r="I159" s="107"/>
      <c r="J159" s="107"/>
      <c r="K159" s="252" t="s">
        <v>1089</v>
      </c>
      <c r="L159" s="261">
        <v>1</v>
      </c>
      <c r="M159" s="107">
        <v>1.6619999999999999</v>
      </c>
      <c r="N159" s="107">
        <v>1.6619999999999999</v>
      </c>
      <c r="O159" s="107">
        <v>1.6619999999999999</v>
      </c>
      <c r="P159" s="107">
        <v>1.6619999999999999</v>
      </c>
      <c r="Q159" s="107" t="s">
        <v>115</v>
      </c>
      <c r="R159" s="107" t="s">
        <v>115</v>
      </c>
      <c r="S159" s="28">
        <f t="shared" si="1"/>
        <v>1.6619999999999999</v>
      </c>
      <c r="T159" s="107"/>
      <c r="U159" s="107"/>
    </row>
    <row r="160" spans="1:21" s="348" customFormat="1" ht="25.5">
      <c r="A160" s="261"/>
      <c r="B160" s="260" t="s">
        <v>4180</v>
      </c>
      <c r="C160" s="107"/>
      <c r="D160" s="260" t="s">
        <v>4179</v>
      </c>
      <c r="E160" s="107" t="s">
        <v>5236</v>
      </c>
      <c r="F160" s="156">
        <v>40909</v>
      </c>
      <c r="G160" s="257"/>
      <c r="H160" s="107"/>
      <c r="I160" s="107"/>
      <c r="J160" s="107"/>
      <c r="K160" s="252" t="s">
        <v>1089</v>
      </c>
      <c r="L160" s="261">
        <v>1</v>
      </c>
      <c r="M160" s="107">
        <v>1.6220000000000001</v>
      </c>
      <c r="N160" s="107">
        <v>1.6220000000000001</v>
      </c>
      <c r="O160" s="107">
        <v>1.6220000000000001</v>
      </c>
      <c r="P160" s="107">
        <v>1.6220000000000001</v>
      </c>
      <c r="Q160" s="107" t="s">
        <v>115</v>
      </c>
      <c r="R160" s="107" t="s">
        <v>115</v>
      </c>
      <c r="S160" s="28">
        <f t="shared" si="1"/>
        <v>1.6220000000000001</v>
      </c>
      <c r="T160" s="107"/>
      <c r="U160" s="107"/>
    </row>
    <row r="161" spans="1:21" s="348" customFormat="1" ht="25.5">
      <c r="A161" s="261"/>
      <c r="B161" s="260" t="s">
        <v>4184</v>
      </c>
      <c r="C161" s="107"/>
      <c r="D161" s="260" t="s">
        <v>4183</v>
      </c>
      <c r="E161" s="107" t="s">
        <v>5236</v>
      </c>
      <c r="F161" s="156">
        <v>41639</v>
      </c>
      <c r="G161" s="257"/>
      <c r="H161" s="107"/>
      <c r="I161" s="107"/>
      <c r="J161" s="107"/>
      <c r="K161" s="252" t="s">
        <v>1089</v>
      </c>
      <c r="L161" s="261">
        <v>1.5</v>
      </c>
      <c r="M161" s="107">
        <v>1.9710000000000001</v>
      </c>
      <c r="N161" s="107">
        <v>1.9710000000000001</v>
      </c>
      <c r="O161" s="107"/>
      <c r="P161" s="107" t="s">
        <v>115</v>
      </c>
      <c r="Q161" s="107" t="s">
        <v>115</v>
      </c>
      <c r="R161" s="107" t="s">
        <v>115</v>
      </c>
      <c r="S161" s="28">
        <f t="shared" si="1"/>
        <v>1.9710000000000001</v>
      </c>
      <c r="T161" s="107"/>
      <c r="U161" s="107"/>
    </row>
    <row r="162" spans="1:21" s="348" customFormat="1" ht="25.5">
      <c r="A162" s="261"/>
      <c r="B162" s="260" t="s">
        <v>4186</v>
      </c>
      <c r="C162" s="107"/>
      <c r="D162" s="260" t="s">
        <v>4185</v>
      </c>
      <c r="E162" s="107" t="s">
        <v>5236</v>
      </c>
      <c r="F162" s="156">
        <v>40909</v>
      </c>
      <c r="G162" s="257"/>
      <c r="H162" s="107"/>
      <c r="I162" s="107"/>
      <c r="J162" s="107"/>
      <c r="K162" s="252" t="s">
        <v>1089</v>
      </c>
      <c r="L162" s="261">
        <v>1</v>
      </c>
      <c r="M162" s="107">
        <v>1.6220000000000001</v>
      </c>
      <c r="N162" s="107">
        <v>1.6220000000000001</v>
      </c>
      <c r="O162" s="107">
        <v>1.6220000000000001</v>
      </c>
      <c r="P162" s="107">
        <v>1.6220000000000001</v>
      </c>
      <c r="Q162" s="107" t="s">
        <v>115</v>
      </c>
      <c r="R162" s="107" t="s">
        <v>115</v>
      </c>
      <c r="S162" s="28">
        <f t="shared" si="1"/>
        <v>1.6220000000000001</v>
      </c>
      <c r="T162" s="107"/>
      <c r="U162" s="107"/>
    </row>
    <row r="163" spans="1:21" s="348" customFormat="1" ht="25.5">
      <c r="A163" s="261"/>
      <c r="B163" s="260" t="s">
        <v>4188</v>
      </c>
      <c r="C163" s="107"/>
      <c r="D163" s="260" t="s">
        <v>4187</v>
      </c>
      <c r="E163" s="107" t="s">
        <v>5236</v>
      </c>
      <c r="F163" s="156">
        <v>41842</v>
      </c>
      <c r="G163" s="257"/>
      <c r="H163" s="107"/>
      <c r="I163" s="107"/>
      <c r="J163" s="107"/>
      <c r="K163" s="252" t="s">
        <v>1089</v>
      </c>
      <c r="L163" s="261">
        <v>2</v>
      </c>
      <c r="M163" s="107">
        <v>4.9580000000000002</v>
      </c>
      <c r="N163" s="107" t="s">
        <v>115</v>
      </c>
      <c r="O163" s="107" t="s">
        <v>115</v>
      </c>
      <c r="P163" s="107" t="s">
        <v>115</v>
      </c>
      <c r="Q163" s="107" t="s">
        <v>115</v>
      </c>
      <c r="R163" s="107" t="s">
        <v>115</v>
      </c>
      <c r="S163" s="28">
        <f t="shared" si="1"/>
        <v>4.9580000000000002</v>
      </c>
      <c r="T163" s="107"/>
      <c r="U163" s="107"/>
    </row>
    <row r="164" spans="1:21" s="348" customFormat="1" ht="25.5">
      <c r="A164" s="261"/>
      <c r="B164" s="260" t="s">
        <v>4190</v>
      </c>
      <c r="C164" s="107"/>
      <c r="D164" s="260" t="s">
        <v>4189</v>
      </c>
      <c r="E164" s="107" t="s">
        <v>5236</v>
      </c>
      <c r="F164" s="156">
        <v>40909</v>
      </c>
      <c r="G164" s="257"/>
      <c r="H164" s="107"/>
      <c r="I164" s="107"/>
      <c r="J164" s="107"/>
      <c r="K164" s="252" t="s">
        <v>1089</v>
      </c>
      <c r="L164" s="261">
        <v>1</v>
      </c>
      <c r="M164" s="107">
        <v>1.6220000000000001</v>
      </c>
      <c r="N164" s="107">
        <v>1.6220000000000001</v>
      </c>
      <c r="O164" s="107">
        <v>1.6220000000000001</v>
      </c>
      <c r="P164" s="107">
        <v>1.6220000000000001</v>
      </c>
      <c r="Q164" s="107" t="s">
        <v>115</v>
      </c>
      <c r="R164" s="107" t="s">
        <v>115</v>
      </c>
      <c r="S164" s="28">
        <f t="shared" si="1"/>
        <v>1.6220000000000001</v>
      </c>
      <c r="T164" s="107"/>
      <c r="U164" s="107"/>
    </row>
    <row r="165" spans="1:21" s="348" customFormat="1" ht="25.5">
      <c r="A165" s="261"/>
      <c r="B165" s="260" t="s">
        <v>4192</v>
      </c>
      <c r="C165" s="107"/>
      <c r="D165" s="260" t="s">
        <v>4191</v>
      </c>
      <c r="E165" s="107" t="s">
        <v>5236</v>
      </c>
      <c r="F165" s="156">
        <v>40909</v>
      </c>
      <c r="G165" s="257"/>
      <c r="H165" s="107"/>
      <c r="I165" s="107"/>
      <c r="J165" s="107"/>
      <c r="K165" s="252" t="s">
        <v>1089</v>
      </c>
      <c r="L165" s="261">
        <v>1</v>
      </c>
      <c r="M165" s="107">
        <v>1.6220000000000001</v>
      </c>
      <c r="N165" s="107">
        <v>1.6220000000000001</v>
      </c>
      <c r="O165" s="107">
        <v>1.6220000000000001</v>
      </c>
      <c r="P165" s="107">
        <v>1.6220000000000001</v>
      </c>
      <c r="Q165" s="107" t="s">
        <v>115</v>
      </c>
      <c r="R165" s="107" t="s">
        <v>115</v>
      </c>
      <c r="S165" s="28">
        <f t="shared" si="1"/>
        <v>1.6220000000000001</v>
      </c>
      <c r="T165" s="107"/>
      <c r="U165" s="107"/>
    </row>
    <row r="166" spans="1:21" s="348" customFormat="1" ht="25.5">
      <c r="A166" s="261"/>
      <c r="B166" s="260" t="s">
        <v>4194</v>
      </c>
      <c r="C166" s="107"/>
      <c r="D166" s="260" t="s">
        <v>4193</v>
      </c>
      <c r="E166" s="107" t="s">
        <v>5236</v>
      </c>
      <c r="F166" s="156">
        <v>40909</v>
      </c>
      <c r="G166" s="257"/>
      <c r="H166" s="107"/>
      <c r="I166" s="107"/>
      <c r="J166" s="107"/>
      <c r="K166" s="252" t="s">
        <v>1089</v>
      </c>
      <c r="L166" s="261">
        <v>1</v>
      </c>
      <c r="M166" s="107">
        <v>1.6220000000000001</v>
      </c>
      <c r="N166" s="107">
        <v>1.6220000000000001</v>
      </c>
      <c r="O166" s="107">
        <v>1.6220000000000001</v>
      </c>
      <c r="P166" s="107">
        <v>1.6220000000000001</v>
      </c>
      <c r="Q166" s="107" t="s">
        <v>115</v>
      </c>
      <c r="R166" s="107" t="s">
        <v>115</v>
      </c>
      <c r="S166" s="28">
        <f t="shared" si="1"/>
        <v>1.6220000000000001</v>
      </c>
      <c r="T166" s="107"/>
      <c r="U166" s="107"/>
    </row>
    <row r="167" spans="1:21" s="348" customFormat="1" ht="25.5">
      <c r="A167" s="261"/>
      <c r="B167" s="260" t="s">
        <v>4196</v>
      </c>
      <c r="C167" s="107"/>
      <c r="D167" s="260" t="s">
        <v>4195</v>
      </c>
      <c r="E167" s="107" t="s">
        <v>5236</v>
      </c>
      <c r="F167" s="156">
        <v>40909</v>
      </c>
      <c r="G167" s="257"/>
      <c r="H167" s="107"/>
      <c r="I167" s="107"/>
      <c r="J167" s="107"/>
      <c r="K167" s="252" t="s">
        <v>1089</v>
      </c>
      <c r="L167" s="261">
        <v>1</v>
      </c>
      <c r="M167" s="107">
        <v>1.6220000000000001</v>
      </c>
      <c r="N167" s="107">
        <v>1.6220000000000001</v>
      </c>
      <c r="O167" s="107">
        <v>1.6220000000000001</v>
      </c>
      <c r="P167" s="107">
        <v>1.6220000000000001</v>
      </c>
      <c r="Q167" s="107" t="s">
        <v>115</v>
      </c>
      <c r="R167" s="107" t="s">
        <v>115</v>
      </c>
      <c r="S167" s="28">
        <f t="shared" si="1"/>
        <v>1.6220000000000001</v>
      </c>
      <c r="T167" s="107"/>
      <c r="U167" s="107"/>
    </row>
    <row r="168" spans="1:21" s="348" customFormat="1" ht="25.5">
      <c r="A168" s="261"/>
      <c r="B168" s="260" t="s">
        <v>4198</v>
      </c>
      <c r="C168" s="107"/>
      <c r="D168" s="260" t="s">
        <v>4197</v>
      </c>
      <c r="E168" s="107" t="s">
        <v>5236</v>
      </c>
      <c r="F168" s="156">
        <v>40909</v>
      </c>
      <c r="G168" s="257"/>
      <c r="H168" s="107"/>
      <c r="I168" s="107"/>
      <c r="J168" s="107"/>
      <c r="K168" s="252" t="s">
        <v>1089</v>
      </c>
      <c r="L168" s="261">
        <v>1</v>
      </c>
      <c r="M168" s="107">
        <v>1.6220000000000001</v>
      </c>
      <c r="N168" s="107">
        <v>1.6220000000000001</v>
      </c>
      <c r="O168" s="107">
        <v>1.6220000000000001</v>
      </c>
      <c r="P168" s="107">
        <v>1.6220000000000001</v>
      </c>
      <c r="Q168" s="107" t="s">
        <v>115</v>
      </c>
      <c r="R168" s="107" t="s">
        <v>115</v>
      </c>
      <c r="S168" s="28">
        <f t="shared" si="1"/>
        <v>1.6220000000000001</v>
      </c>
      <c r="T168" s="107"/>
      <c r="U168" s="107"/>
    </row>
    <row r="169" spans="1:21" s="348" customFormat="1" ht="25.5">
      <c r="A169" s="261"/>
      <c r="B169" s="260" t="s">
        <v>4201</v>
      </c>
      <c r="C169" s="107"/>
      <c r="D169" s="260" t="s">
        <v>4200</v>
      </c>
      <c r="E169" s="107" t="s">
        <v>5236</v>
      </c>
      <c r="F169" s="156">
        <v>40909</v>
      </c>
      <c r="G169" s="257"/>
      <c r="H169" s="107"/>
      <c r="I169" s="107"/>
      <c r="J169" s="107"/>
      <c r="K169" s="252" t="s">
        <v>1089</v>
      </c>
      <c r="L169" s="261">
        <v>1</v>
      </c>
      <c r="M169" s="107">
        <v>1.6220000000000001</v>
      </c>
      <c r="N169" s="107">
        <v>1.6220000000000001</v>
      </c>
      <c r="O169" s="107">
        <v>1.6220000000000001</v>
      </c>
      <c r="P169" s="107">
        <v>1.6220000000000001</v>
      </c>
      <c r="Q169" s="107" t="s">
        <v>115</v>
      </c>
      <c r="R169" s="107" t="s">
        <v>115</v>
      </c>
      <c r="S169" s="28">
        <f t="shared" si="1"/>
        <v>1.6220000000000001</v>
      </c>
      <c r="T169" s="107"/>
      <c r="U169" s="107"/>
    </row>
    <row r="170" spans="1:21" s="348" customFormat="1" ht="25.5">
      <c r="A170" s="261"/>
      <c r="B170" s="260" t="s">
        <v>4203</v>
      </c>
      <c r="C170" s="107"/>
      <c r="D170" s="260" t="s">
        <v>4202</v>
      </c>
      <c r="E170" s="107" t="s">
        <v>5236</v>
      </c>
      <c r="F170" s="156">
        <v>40909</v>
      </c>
      <c r="G170" s="257"/>
      <c r="H170" s="107"/>
      <c r="I170" s="107"/>
      <c r="J170" s="107"/>
      <c r="K170" s="252" t="s">
        <v>1089</v>
      </c>
      <c r="L170" s="261">
        <v>1</v>
      </c>
      <c r="M170" s="107">
        <v>1.6220000000000001</v>
      </c>
      <c r="N170" s="107">
        <v>1.6220000000000001</v>
      </c>
      <c r="O170" s="107">
        <v>1.6220000000000001</v>
      </c>
      <c r="P170" s="107">
        <v>1.6220000000000001</v>
      </c>
      <c r="Q170" s="107" t="s">
        <v>115</v>
      </c>
      <c r="R170" s="107" t="s">
        <v>115</v>
      </c>
      <c r="S170" s="28">
        <f t="shared" si="1"/>
        <v>1.6220000000000001</v>
      </c>
      <c r="T170" s="107"/>
      <c r="U170" s="107"/>
    </row>
    <row r="171" spans="1:21" s="348" customFormat="1" ht="25.5">
      <c r="A171" s="261"/>
      <c r="B171" s="260" t="s">
        <v>4205</v>
      </c>
      <c r="C171" s="107"/>
      <c r="D171" s="260" t="s">
        <v>4204</v>
      </c>
      <c r="E171" s="107" t="s">
        <v>5236</v>
      </c>
      <c r="F171" s="156">
        <v>40909</v>
      </c>
      <c r="G171" s="257"/>
      <c r="H171" s="107"/>
      <c r="I171" s="107"/>
      <c r="J171" s="107"/>
      <c r="K171" s="252" t="s">
        <v>1089</v>
      </c>
      <c r="L171" s="261">
        <v>1</v>
      </c>
      <c r="M171" s="107">
        <v>1.6220000000000001</v>
      </c>
      <c r="N171" s="107">
        <v>1.6220000000000001</v>
      </c>
      <c r="O171" s="107">
        <v>1.6220000000000001</v>
      </c>
      <c r="P171" s="107">
        <v>1.6220000000000001</v>
      </c>
      <c r="Q171" s="107" t="s">
        <v>115</v>
      </c>
      <c r="R171" s="107" t="s">
        <v>115</v>
      </c>
      <c r="S171" s="28">
        <f t="shared" si="1"/>
        <v>1.6220000000000001</v>
      </c>
      <c r="T171" s="107"/>
      <c r="U171" s="107"/>
    </row>
    <row r="172" spans="1:21" s="348" customFormat="1" ht="25.5">
      <c r="A172" s="261"/>
      <c r="B172" s="260" t="s">
        <v>4207</v>
      </c>
      <c r="C172" s="107"/>
      <c r="D172" s="260" t="s">
        <v>4206</v>
      </c>
      <c r="E172" s="107" t="s">
        <v>5236</v>
      </c>
      <c r="F172" s="156">
        <v>40909</v>
      </c>
      <c r="G172" s="257"/>
      <c r="H172" s="107"/>
      <c r="I172" s="107"/>
      <c r="J172" s="107"/>
      <c r="K172" s="252" t="s">
        <v>1089</v>
      </c>
      <c r="L172" s="261">
        <v>1.2</v>
      </c>
      <c r="M172" s="107">
        <v>1.9870000000000001</v>
      </c>
      <c r="N172" s="107">
        <v>1.9870000000000001</v>
      </c>
      <c r="O172" s="107">
        <v>1.9870000000000001</v>
      </c>
      <c r="P172" s="107">
        <v>1.9870000000000001</v>
      </c>
      <c r="Q172" s="107" t="s">
        <v>115</v>
      </c>
      <c r="R172" s="107" t="s">
        <v>115</v>
      </c>
      <c r="S172" s="28">
        <f t="shared" si="1"/>
        <v>1.9870000000000001</v>
      </c>
      <c r="T172" s="107"/>
      <c r="U172" s="107"/>
    </row>
    <row r="173" spans="1:21" s="348" customFormat="1" ht="25.5">
      <c r="A173" s="261"/>
      <c r="B173" s="260" t="s">
        <v>4209</v>
      </c>
      <c r="C173" s="107"/>
      <c r="D173" s="260" t="s">
        <v>4208</v>
      </c>
      <c r="E173" s="107" t="s">
        <v>5236</v>
      </c>
      <c r="F173" s="156">
        <v>40909</v>
      </c>
      <c r="G173" s="257"/>
      <c r="H173" s="107"/>
      <c r="I173" s="107"/>
      <c r="J173" s="107"/>
      <c r="K173" s="252" t="s">
        <v>1089</v>
      </c>
      <c r="L173" s="261">
        <v>1.2</v>
      </c>
      <c r="M173" s="107">
        <v>2.0030000000000001</v>
      </c>
      <c r="N173" s="107">
        <v>2.0030000000000001</v>
      </c>
      <c r="O173" s="107">
        <v>2.0030000000000001</v>
      </c>
      <c r="P173" s="107">
        <v>2.0030000000000001</v>
      </c>
      <c r="Q173" s="107" t="s">
        <v>115</v>
      </c>
      <c r="R173" s="107" t="s">
        <v>115</v>
      </c>
      <c r="S173" s="28">
        <f t="shared" si="1"/>
        <v>2.0030000000000001</v>
      </c>
      <c r="T173" s="107"/>
      <c r="U173" s="107"/>
    </row>
    <row r="174" spans="1:21" s="348" customFormat="1" ht="25.5">
      <c r="A174" s="261"/>
      <c r="B174" s="260" t="s">
        <v>4229</v>
      </c>
      <c r="C174" s="107"/>
      <c r="D174" s="260" t="s">
        <v>4228</v>
      </c>
      <c r="E174" s="107" t="s">
        <v>5236</v>
      </c>
      <c r="F174" s="156">
        <v>40909</v>
      </c>
      <c r="G174" s="257"/>
      <c r="H174" s="107"/>
      <c r="I174" s="107"/>
      <c r="J174" s="107"/>
      <c r="K174" s="252" t="s">
        <v>1089</v>
      </c>
      <c r="L174" s="261">
        <v>1</v>
      </c>
      <c r="M174" s="107">
        <v>1.6220000000000001</v>
      </c>
      <c r="N174" s="107">
        <v>1.6220000000000001</v>
      </c>
      <c r="O174" s="107">
        <v>1.6220000000000001</v>
      </c>
      <c r="P174" s="107">
        <v>1.6220000000000001</v>
      </c>
      <c r="Q174" s="107" t="s">
        <v>115</v>
      </c>
      <c r="R174" s="107" t="s">
        <v>115</v>
      </c>
      <c r="S174" s="28">
        <f t="shared" si="1"/>
        <v>1.6220000000000001</v>
      </c>
      <c r="T174" s="107"/>
      <c r="U174" s="107"/>
    </row>
    <row r="175" spans="1:21" s="348" customFormat="1" ht="25.5">
      <c r="A175" s="261"/>
      <c r="B175" s="260" t="s">
        <v>4231</v>
      </c>
      <c r="C175" s="107"/>
      <c r="D175" s="260" t="s">
        <v>4230</v>
      </c>
      <c r="E175" s="107" t="s">
        <v>5236</v>
      </c>
      <c r="F175" s="156">
        <v>40909</v>
      </c>
      <c r="G175" s="257"/>
      <c r="H175" s="107"/>
      <c r="I175" s="107"/>
      <c r="J175" s="107"/>
      <c r="K175" s="252" t="s">
        <v>1089</v>
      </c>
      <c r="L175" s="261">
        <v>1</v>
      </c>
      <c r="M175" s="107">
        <v>1.6220000000000001</v>
      </c>
      <c r="N175" s="107">
        <v>1.6220000000000001</v>
      </c>
      <c r="O175" s="107">
        <v>1.6220000000000001</v>
      </c>
      <c r="P175" s="107">
        <v>1.6220000000000001</v>
      </c>
      <c r="Q175" s="107" t="s">
        <v>115</v>
      </c>
      <c r="R175" s="107" t="s">
        <v>115</v>
      </c>
      <c r="S175" s="28">
        <f t="shared" si="1"/>
        <v>1.6220000000000001</v>
      </c>
      <c r="T175" s="107"/>
      <c r="U175" s="107"/>
    </row>
    <row r="176" spans="1:21" s="348" customFormat="1" ht="25.5">
      <c r="A176" s="261"/>
      <c r="B176" s="260" t="s">
        <v>4233</v>
      </c>
      <c r="C176" s="107"/>
      <c r="D176" s="260" t="s">
        <v>4232</v>
      </c>
      <c r="E176" s="107" t="s">
        <v>5236</v>
      </c>
      <c r="F176" s="156">
        <v>40909</v>
      </c>
      <c r="G176" s="257"/>
      <c r="H176" s="107"/>
      <c r="I176" s="107"/>
      <c r="J176" s="107"/>
      <c r="K176" s="252" t="s">
        <v>1089</v>
      </c>
      <c r="L176" s="261">
        <v>1</v>
      </c>
      <c r="M176" s="107">
        <v>1.6870000000000001</v>
      </c>
      <c r="N176" s="107">
        <v>1.6870000000000001</v>
      </c>
      <c r="O176" s="107">
        <v>1.6870000000000001</v>
      </c>
      <c r="P176" s="107">
        <v>1.6870000000000001</v>
      </c>
      <c r="Q176" s="107" t="s">
        <v>115</v>
      </c>
      <c r="R176" s="107" t="s">
        <v>115</v>
      </c>
      <c r="S176" s="28">
        <f t="shared" si="1"/>
        <v>1.6870000000000001</v>
      </c>
      <c r="T176" s="107"/>
      <c r="U176" s="107"/>
    </row>
    <row r="177" spans="1:21" s="348" customFormat="1" ht="25.5">
      <c r="A177" s="261"/>
      <c r="B177" s="260" t="s">
        <v>4233</v>
      </c>
      <c r="C177" s="107"/>
      <c r="D177" s="260" t="s">
        <v>4234</v>
      </c>
      <c r="E177" s="107" t="s">
        <v>5236</v>
      </c>
      <c r="F177" s="156">
        <v>40909</v>
      </c>
      <c r="G177" s="257"/>
      <c r="H177" s="107"/>
      <c r="I177" s="107"/>
      <c r="J177" s="107"/>
      <c r="K177" s="252" t="s">
        <v>1089</v>
      </c>
      <c r="L177" s="261">
        <v>1.1000000000000001</v>
      </c>
      <c r="M177" s="107">
        <v>1.7110000000000001</v>
      </c>
      <c r="N177" s="107">
        <v>1.7110000000000001</v>
      </c>
      <c r="O177" s="107">
        <v>1.7110000000000001</v>
      </c>
      <c r="P177" s="107">
        <v>1.7110000000000001</v>
      </c>
      <c r="Q177" s="107" t="s">
        <v>115</v>
      </c>
      <c r="R177" s="107" t="s">
        <v>115</v>
      </c>
      <c r="S177" s="28">
        <f t="shared" si="1"/>
        <v>1.7110000000000001</v>
      </c>
      <c r="T177" s="107"/>
      <c r="U177" s="107"/>
    </row>
    <row r="178" spans="1:21" s="348" customFormat="1" ht="25.5">
      <c r="A178" s="261"/>
      <c r="B178" s="260" t="s">
        <v>1133</v>
      </c>
      <c r="C178" s="107"/>
      <c r="D178" s="260" t="s">
        <v>4235</v>
      </c>
      <c r="E178" s="107" t="s">
        <v>5236</v>
      </c>
      <c r="F178" s="156">
        <v>40909</v>
      </c>
      <c r="G178" s="257"/>
      <c r="H178" s="107"/>
      <c r="I178" s="107"/>
      <c r="J178" s="107"/>
      <c r="K178" s="252" t="s">
        <v>1089</v>
      </c>
      <c r="L178" s="261">
        <v>1.3</v>
      </c>
      <c r="M178" s="107">
        <v>2.1259999999999999</v>
      </c>
      <c r="N178" s="107">
        <v>2.1259999999999999</v>
      </c>
      <c r="O178" s="107">
        <v>2.1259999999999999</v>
      </c>
      <c r="P178" s="107">
        <v>2.1259999999999999</v>
      </c>
      <c r="Q178" s="107" t="s">
        <v>115</v>
      </c>
      <c r="R178" s="107" t="s">
        <v>115</v>
      </c>
      <c r="S178" s="28">
        <f t="shared" si="1"/>
        <v>2.1259999999999999</v>
      </c>
      <c r="T178" s="107"/>
      <c r="U178" s="107"/>
    </row>
    <row r="179" spans="1:21" s="348" customFormat="1" ht="25.5">
      <c r="A179" s="261"/>
      <c r="B179" s="260" t="s">
        <v>4243</v>
      </c>
      <c r="C179" s="107"/>
      <c r="D179" s="260" t="s">
        <v>4242</v>
      </c>
      <c r="E179" s="107" t="s">
        <v>5236</v>
      </c>
      <c r="F179" s="156">
        <v>40909</v>
      </c>
      <c r="G179" s="257"/>
      <c r="H179" s="107"/>
      <c r="I179" s="107"/>
      <c r="J179" s="107"/>
      <c r="K179" s="252" t="s">
        <v>1089</v>
      </c>
      <c r="L179" s="261">
        <v>1</v>
      </c>
      <c r="M179" s="107">
        <v>1.5569999999999999</v>
      </c>
      <c r="N179" s="107">
        <v>1.6220000000000001</v>
      </c>
      <c r="O179" s="107">
        <v>1.6220000000000001</v>
      </c>
      <c r="P179" s="107">
        <v>1.6220000000000001</v>
      </c>
      <c r="Q179" s="107" t="s">
        <v>115</v>
      </c>
      <c r="R179" s="107" t="s">
        <v>115</v>
      </c>
      <c r="S179" s="28">
        <f t="shared" si="1"/>
        <v>1.60575</v>
      </c>
      <c r="T179" s="107"/>
      <c r="U179" s="107"/>
    </row>
    <row r="180" spans="1:21" s="348" customFormat="1" ht="25.5">
      <c r="A180" s="261"/>
      <c r="B180" s="260" t="s">
        <v>4245</v>
      </c>
      <c r="C180" s="107"/>
      <c r="D180" s="260" t="s">
        <v>4244</v>
      </c>
      <c r="E180" s="107" t="s">
        <v>5236</v>
      </c>
      <c r="F180" s="156">
        <v>40909</v>
      </c>
      <c r="G180" s="257"/>
      <c r="H180" s="107"/>
      <c r="I180" s="107"/>
      <c r="J180" s="107"/>
      <c r="K180" s="252" t="s">
        <v>1089</v>
      </c>
      <c r="L180" s="261">
        <v>1</v>
      </c>
      <c r="M180" s="107">
        <v>1.6220000000000001</v>
      </c>
      <c r="N180" s="107">
        <v>1.6220000000000001</v>
      </c>
      <c r="O180" s="107">
        <v>1.6220000000000001</v>
      </c>
      <c r="P180" s="107">
        <v>1.6220000000000001</v>
      </c>
      <c r="Q180" s="107" t="s">
        <v>115</v>
      </c>
      <c r="R180" s="107" t="s">
        <v>115</v>
      </c>
      <c r="S180" s="28">
        <f t="shared" si="1"/>
        <v>1.6220000000000001</v>
      </c>
      <c r="T180" s="107"/>
      <c r="U180" s="107"/>
    </row>
    <row r="181" spans="1:21" s="348" customFormat="1" ht="25.5">
      <c r="A181" s="261"/>
      <c r="B181" s="260" t="s">
        <v>4255</v>
      </c>
      <c r="C181" s="107"/>
      <c r="D181" s="260" t="s">
        <v>4254</v>
      </c>
      <c r="E181" s="107" t="s">
        <v>5236</v>
      </c>
      <c r="F181" s="156">
        <v>40909</v>
      </c>
      <c r="G181" s="257"/>
      <c r="H181" s="107"/>
      <c r="I181" s="107"/>
      <c r="J181" s="107"/>
      <c r="K181" s="252" t="s">
        <v>1089</v>
      </c>
      <c r="L181" s="261">
        <v>1.2</v>
      </c>
      <c r="M181" s="107">
        <v>1.974</v>
      </c>
      <c r="N181" s="107">
        <v>1.974</v>
      </c>
      <c r="O181" s="107">
        <v>1.974</v>
      </c>
      <c r="P181" s="107">
        <v>1.974</v>
      </c>
      <c r="Q181" s="107" t="s">
        <v>115</v>
      </c>
      <c r="R181" s="107" t="s">
        <v>115</v>
      </c>
      <c r="S181" s="28">
        <f t="shared" si="1"/>
        <v>1.974</v>
      </c>
      <c r="T181" s="107"/>
      <c r="U181" s="107"/>
    </row>
    <row r="182" spans="1:21" s="348" customFormat="1" ht="25.5">
      <c r="A182" s="261"/>
      <c r="B182" s="260" t="s">
        <v>4257</v>
      </c>
      <c r="C182" s="107"/>
      <c r="D182" s="260" t="s">
        <v>4256</v>
      </c>
      <c r="E182" s="107" t="s">
        <v>5236</v>
      </c>
      <c r="F182" s="156">
        <v>41639</v>
      </c>
      <c r="G182" s="257"/>
      <c r="H182" s="107"/>
      <c r="I182" s="107"/>
      <c r="J182" s="107"/>
      <c r="K182" s="252" t="s">
        <v>1089</v>
      </c>
      <c r="L182" s="261">
        <v>1.5</v>
      </c>
      <c r="M182" s="107">
        <v>1.9710000000000001</v>
      </c>
      <c r="N182" s="107">
        <v>1.9710000000000001</v>
      </c>
      <c r="O182" s="107"/>
      <c r="P182" s="107" t="s">
        <v>115</v>
      </c>
      <c r="Q182" s="107" t="s">
        <v>115</v>
      </c>
      <c r="R182" s="107" t="s">
        <v>115</v>
      </c>
      <c r="S182" s="28">
        <f t="shared" si="1"/>
        <v>1.9710000000000001</v>
      </c>
      <c r="T182" s="107"/>
      <c r="U182" s="107"/>
    </row>
    <row r="183" spans="1:21" s="348" customFormat="1" ht="25.5">
      <c r="A183" s="261"/>
      <c r="B183" s="260" t="s">
        <v>4265</v>
      </c>
      <c r="C183" s="107"/>
      <c r="D183" s="260" t="s">
        <v>4264</v>
      </c>
      <c r="E183" s="107" t="s">
        <v>5236</v>
      </c>
      <c r="F183" s="156">
        <v>40909</v>
      </c>
      <c r="G183" s="257"/>
      <c r="H183" s="107"/>
      <c r="I183" s="107"/>
      <c r="J183" s="107"/>
      <c r="K183" s="252" t="s">
        <v>1089</v>
      </c>
      <c r="L183" s="261">
        <v>1</v>
      </c>
      <c r="M183" s="107">
        <v>1.6220000000000001</v>
      </c>
      <c r="N183" s="107">
        <v>1.6220000000000001</v>
      </c>
      <c r="O183" s="107">
        <v>1.6220000000000001</v>
      </c>
      <c r="P183" s="107">
        <v>1.6220000000000001</v>
      </c>
      <c r="Q183" s="107" t="s">
        <v>115</v>
      </c>
      <c r="R183" s="107" t="s">
        <v>115</v>
      </c>
      <c r="S183" s="28">
        <f t="shared" si="1"/>
        <v>1.6220000000000001</v>
      </c>
      <c r="T183" s="107"/>
      <c r="U183" s="107"/>
    </row>
    <row r="184" spans="1:21" s="348" customFormat="1" ht="25.5">
      <c r="A184" s="261"/>
      <c r="B184" s="260" t="s">
        <v>4267</v>
      </c>
      <c r="C184" s="107"/>
      <c r="D184" s="260" t="s">
        <v>4266</v>
      </c>
      <c r="E184" s="107" t="s">
        <v>5236</v>
      </c>
      <c r="F184" s="156">
        <v>40909</v>
      </c>
      <c r="G184" s="257"/>
      <c r="H184" s="107"/>
      <c r="I184" s="107"/>
      <c r="J184" s="107"/>
      <c r="K184" s="252" t="s">
        <v>1089</v>
      </c>
      <c r="L184" s="261">
        <v>1</v>
      </c>
      <c r="M184" s="107">
        <v>1.6220000000000001</v>
      </c>
      <c r="N184" s="107">
        <v>1.6220000000000001</v>
      </c>
      <c r="O184" s="107">
        <v>1.6220000000000001</v>
      </c>
      <c r="P184" s="107">
        <v>1.6220000000000001</v>
      </c>
      <c r="Q184" s="107" t="s">
        <v>115</v>
      </c>
      <c r="R184" s="107" t="s">
        <v>115</v>
      </c>
      <c r="S184" s="28">
        <f t="shared" si="1"/>
        <v>1.6220000000000001</v>
      </c>
      <c r="T184" s="107"/>
      <c r="U184" s="107"/>
    </row>
    <row r="185" spans="1:21" s="348" customFormat="1" ht="25.5">
      <c r="A185" s="261"/>
      <c r="B185" s="260" t="s">
        <v>4271</v>
      </c>
      <c r="C185" s="107"/>
      <c r="D185" s="260" t="s">
        <v>4270</v>
      </c>
      <c r="E185" s="107" t="s">
        <v>5236</v>
      </c>
      <c r="F185" s="156">
        <v>39534</v>
      </c>
      <c r="G185" s="257"/>
      <c r="H185" s="107"/>
      <c r="I185" s="107"/>
      <c r="J185" s="107"/>
      <c r="K185" s="252" t="s">
        <v>1089</v>
      </c>
      <c r="L185" s="261">
        <v>1</v>
      </c>
      <c r="M185" s="107"/>
      <c r="N185" s="107"/>
      <c r="O185" s="107"/>
      <c r="P185" s="107"/>
      <c r="Q185" s="107"/>
      <c r="R185" s="107"/>
      <c r="S185" s="28" t="e">
        <f t="shared" si="1"/>
        <v>#DIV/0!</v>
      </c>
      <c r="T185" s="266"/>
      <c r="U185" s="107"/>
    </row>
    <row r="186" spans="1:21" s="348" customFormat="1" ht="25.5">
      <c r="A186" s="261"/>
      <c r="B186" s="260" t="s">
        <v>4273</v>
      </c>
      <c r="C186" s="107"/>
      <c r="D186" s="260" t="s">
        <v>4272</v>
      </c>
      <c r="E186" s="107" t="s">
        <v>5236</v>
      </c>
      <c r="F186" s="156">
        <v>40909</v>
      </c>
      <c r="G186" s="257"/>
      <c r="H186" s="107"/>
      <c r="I186" s="107"/>
      <c r="J186" s="107"/>
      <c r="K186" s="252" t="s">
        <v>1089</v>
      </c>
      <c r="L186" s="261">
        <v>1.5</v>
      </c>
      <c r="M186" s="107">
        <v>2.4319999999999999</v>
      </c>
      <c r="N186" s="107">
        <v>2.4319999999999999</v>
      </c>
      <c r="O186" s="107">
        <v>2.4319999999999999</v>
      </c>
      <c r="P186" s="107">
        <v>2.4319999999999999</v>
      </c>
      <c r="Q186" s="107" t="s">
        <v>115</v>
      </c>
      <c r="R186" s="107" t="s">
        <v>115</v>
      </c>
      <c r="S186" s="28">
        <f t="shared" ref="S186:S217" si="2">AVERAGE(M186:R186)</f>
        <v>2.4319999999999999</v>
      </c>
      <c r="T186" s="107"/>
      <c r="U186" s="107"/>
    </row>
    <row r="187" spans="1:21" s="348" customFormat="1" ht="25.5">
      <c r="A187" s="261"/>
      <c r="B187" s="260" t="s">
        <v>4279</v>
      </c>
      <c r="C187" s="107"/>
      <c r="D187" s="260" t="s">
        <v>4278</v>
      </c>
      <c r="E187" s="107" t="s">
        <v>5236</v>
      </c>
      <c r="F187" s="156">
        <v>40170</v>
      </c>
      <c r="G187" s="257"/>
      <c r="H187" s="107"/>
      <c r="I187" s="107"/>
      <c r="J187" s="107"/>
      <c r="K187" s="252" t="s">
        <v>1089</v>
      </c>
      <c r="L187" s="261">
        <v>1</v>
      </c>
      <c r="M187" s="107">
        <v>2.2959999999999998</v>
      </c>
      <c r="N187" s="107" t="s">
        <v>115</v>
      </c>
      <c r="O187" s="107" t="s">
        <v>115</v>
      </c>
      <c r="P187" s="107" t="s">
        <v>115</v>
      </c>
      <c r="Q187" s="107" t="s">
        <v>115</v>
      </c>
      <c r="R187" s="107" t="s">
        <v>115</v>
      </c>
      <c r="S187" s="28">
        <f t="shared" si="2"/>
        <v>2.2959999999999998</v>
      </c>
      <c r="T187" s="107"/>
      <c r="U187" s="107"/>
    </row>
    <row r="188" spans="1:21" s="348" customFormat="1" ht="25.5">
      <c r="A188" s="261"/>
      <c r="B188" s="260" t="s">
        <v>4282</v>
      </c>
      <c r="C188" s="107"/>
      <c r="D188" s="260" t="s">
        <v>4281</v>
      </c>
      <c r="E188" s="107" t="s">
        <v>5236</v>
      </c>
      <c r="F188" s="156">
        <v>40909</v>
      </c>
      <c r="G188" s="257"/>
      <c r="H188" s="107"/>
      <c r="I188" s="107"/>
      <c r="J188" s="107"/>
      <c r="K188" s="252" t="s">
        <v>1089</v>
      </c>
      <c r="L188" s="261">
        <v>1</v>
      </c>
      <c r="M188" s="107">
        <v>1.621</v>
      </c>
      <c r="N188" s="107">
        <v>1.621</v>
      </c>
      <c r="O188" s="107">
        <v>1.621</v>
      </c>
      <c r="P188" s="107">
        <v>1.621</v>
      </c>
      <c r="Q188" s="107" t="s">
        <v>115</v>
      </c>
      <c r="R188" s="107" t="s">
        <v>115</v>
      </c>
      <c r="S188" s="28">
        <f t="shared" si="2"/>
        <v>1.621</v>
      </c>
      <c r="T188" s="107"/>
      <c r="U188" s="107"/>
    </row>
    <row r="189" spans="1:21" s="348" customFormat="1" ht="25.5">
      <c r="A189" s="261"/>
      <c r="B189" s="260" t="s">
        <v>4284</v>
      </c>
      <c r="C189" s="107"/>
      <c r="D189" s="260" t="s">
        <v>4283</v>
      </c>
      <c r="E189" s="107" t="s">
        <v>5236</v>
      </c>
      <c r="F189" s="156">
        <v>40909</v>
      </c>
      <c r="G189" s="257"/>
      <c r="H189" s="107"/>
      <c r="I189" s="107"/>
      <c r="J189" s="107"/>
      <c r="K189" s="252" t="s">
        <v>1089</v>
      </c>
      <c r="L189" s="261">
        <v>1</v>
      </c>
      <c r="M189" s="107">
        <v>1.6220000000000001</v>
      </c>
      <c r="N189" s="107">
        <v>1.6220000000000001</v>
      </c>
      <c r="O189" s="107">
        <v>1.6220000000000001</v>
      </c>
      <c r="P189" s="107">
        <v>1.6220000000000001</v>
      </c>
      <c r="Q189" s="107" t="s">
        <v>115</v>
      </c>
      <c r="R189" s="107" t="s">
        <v>115</v>
      </c>
      <c r="S189" s="28">
        <f t="shared" si="2"/>
        <v>1.6220000000000001</v>
      </c>
      <c r="T189" s="107"/>
      <c r="U189" s="107"/>
    </row>
    <row r="190" spans="1:21" s="348" customFormat="1" ht="25.5">
      <c r="A190" s="261"/>
      <c r="B190" s="260" t="s">
        <v>4286</v>
      </c>
      <c r="C190" s="107"/>
      <c r="D190" s="260" t="s">
        <v>4285</v>
      </c>
      <c r="E190" s="107" t="s">
        <v>5236</v>
      </c>
      <c r="F190" s="156">
        <v>40909</v>
      </c>
      <c r="G190" s="257"/>
      <c r="H190" s="107"/>
      <c r="I190" s="107"/>
      <c r="J190" s="107"/>
      <c r="K190" s="252" t="s">
        <v>1089</v>
      </c>
      <c r="L190" s="261">
        <v>1.6</v>
      </c>
      <c r="M190" s="107">
        <v>2.6040000000000001</v>
      </c>
      <c r="N190" s="107">
        <v>2.6040000000000001</v>
      </c>
      <c r="O190" s="107">
        <v>2.6040000000000001</v>
      </c>
      <c r="P190" s="107">
        <v>2.6040000000000001</v>
      </c>
      <c r="Q190" s="107" t="s">
        <v>115</v>
      </c>
      <c r="R190" s="107" t="s">
        <v>115</v>
      </c>
      <c r="S190" s="28">
        <f t="shared" si="2"/>
        <v>2.6040000000000001</v>
      </c>
      <c r="T190" s="107"/>
      <c r="U190" s="107"/>
    </row>
    <row r="191" spans="1:21" s="348" customFormat="1" ht="25.5">
      <c r="A191" s="261"/>
      <c r="B191" s="260" t="s">
        <v>4288</v>
      </c>
      <c r="C191" s="107"/>
      <c r="D191" s="260" t="s">
        <v>4287</v>
      </c>
      <c r="E191" s="107" t="s">
        <v>5236</v>
      </c>
      <c r="F191" s="156">
        <v>40909</v>
      </c>
      <c r="G191" s="257"/>
      <c r="H191" s="107"/>
      <c r="I191" s="107"/>
      <c r="J191" s="107"/>
      <c r="K191" s="252" t="s">
        <v>1089</v>
      </c>
      <c r="L191" s="261">
        <v>1.7</v>
      </c>
      <c r="M191" s="107">
        <v>2.7810000000000001</v>
      </c>
      <c r="N191" s="107">
        <v>2.7810000000000001</v>
      </c>
      <c r="O191" s="107">
        <v>2.7810000000000001</v>
      </c>
      <c r="P191" s="107">
        <v>2.7810000000000001</v>
      </c>
      <c r="Q191" s="107" t="s">
        <v>115</v>
      </c>
      <c r="R191" s="107" t="s">
        <v>115</v>
      </c>
      <c r="S191" s="28">
        <f t="shared" si="2"/>
        <v>2.7810000000000001</v>
      </c>
      <c r="T191" s="107"/>
      <c r="U191" s="107"/>
    </row>
    <row r="192" spans="1:21" s="348" customFormat="1" ht="25.5">
      <c r="A192" s="261"/>
      <c r="B192" s="260" t="s">
        <v>4294</v>
      </c>
      <c r="C192" s="107"/>
      <c r="D192" s="260" t="s">
        <v>4293</v>
      </c>
      <c r="E192" s="107" t="s">
        <v>5236</v>
      </c>
      <c r="F192" s="156">
        <v>40909</v>
      </c>
      <c r="G192" s="257"/>
      <c r="H192" s="107"/>
      <c r="I192" s="107"/>
      <c r="J192" s="107"/>
      <c r="K192" s="252" t="s">
        <v>1089</v>
      </c>
      <c r="L192" s="261">
        <v>1</v>
      </c>
      <c r="M192" s="107">
        <v>1.6220000000000001</v>
      </c>
      <c r="N192" s="107">
        <v>1.6220000000000001</v>
      </c>
      <c r="O192" s="107">
        <v>1.6220000000000001</v>
      </c>
      <c r="P192" s="107">
        <v>1.6220000000000001</v>
      </c>
      <c r="Q192" s="107" t="s">
        <v>115</v>
      </c>
      <c r="R192" s="107" t="s">
        <v>115</v>
      </c>
      <c r="S192" s="28">
        <f t="shared" si="2"/>
        <v>1.6220000000000001</v>
      </c>
      <c r="T192" s="107"/>
      <c r="U192" s="107"/>
    </row>
    <row r="193" spans="1:21" s="348" customFormat="1" ht="25.5">
      <c r="A193" s="261"/>
      <c r="B193" s="260" t="s">
        <v>4298</v>
      </c>
      <c r="C193" s="107"/>
      <c r="D193" s="260" t="s">
        <v>4297</v>
      </c>
      <c r="E193" s="107" t="s">
        <v>5236</v>
      </c>
      <c r="F193" s="156">
        <v>40909</v>
      </c>
      <c r="G193" s="257"/>
      <c r="H193" s="107"/>
      <c r="I193" s="107"/>
      <c r="J193" s="107"/>
      <c r="K193" s="252" t="s">
        <v>1089</v>
      </c>
      <c r="L193" s="261">
        <v>1</v>
      </c>
      <c r="M193" s="107">
        <v>1.6220000000000001</v>
      </c>
      <c r="N193" s="107">
        <v>1.6220000000000001</v>
      </c>
      <c r="O193" s="107">
        <v>1.6220000000000001</v>
      </c>
      <c r="P193" s="107">
        <v>1.6220000000000001</v>
      </c>
      <c r="Q193" s="107" t="s">
        <v>115</v>
      </c>
      <c r="R193" s="107" t="s">
        <v>115</v>
      </c>
      <c r="S193" s="28">
        <f t="shared" si="2"/>
        <v>1.6220000000000001</v>
      </c>
      <c r="T193" s="107"/>
      <c r="U193" s="107"/>
    </row>
    <row r="194" spans="1:21" s="348" customFormat="1" ht="25.5">
      <c r="A194" s="261"/>
      <c r="B194" s="260" t="s">
        <v>4298</v>
      </c>
      <c r="C194" s="107"/>
      <c r="D194" s="260" t="s">
        <v>4299</v>
      </c>
      <c r="E194" s="107" t="s">
        <v>5236</v>
      </c>
      <c r="F194" s="156">
        <v>40909</v>
      </c>
      <c r="G194" s="257"/>
      <c r="H194" s="107"/>
      <c r="I194" s="107"/>
      <c r="J194" s="107"/>
      <c r="K194" s="252" t="s">
        <v>1089</v>
      </c>
      <c r="L194" s="261">
        <v>1</v>
      </c>
      <c r="M194" s="107">
        <v>1.6220000000000001</v>
      </c>
      <c r="N194" s="107">
        <v>1.6220000000000001</v>
      </c>
      <c r="O194" s="107">
        <v>1.6220000000000001</v>
      </c>
      <c r="P194" s="107">
        <v>1.6220000000000001</v>
      </c>
      <c r="Q194" s="107" t="s">
        <v>115</v>
      </c>
      <c r="R194" s="107" t="s">
        <v>115</v>
      </c>
      <c r="S194" s="28">
        <f t="shared" si="2"/>
        <v>1.6220000000000001</v>
      </c>
      <c r="T194" s="107"/>
      <c r="U194" s="107"/>
    </row>
    <row r="195" spans="1:21" s="348" customFormat="1" ht="25.5">
      <c r="A195" s="261"/>
      <c r="B195" s="260" t="s">
        <v>4301</v>
      </c>
      <c r="C195" s="107"/>
      <c r="D195" s="260" t="s">
        <v>4300</v>
      </c>
      <c r="E195" s="107" t="s">
        <v>5236</v>
      </c>
      <c r="F195" s="156">
        <v>40909</v>
      </c>
      <c r="G195" s="257"/>
      <c r="H195" s="107"/>
      <c r="I195" s="107"/>
      <c r="J195" s="107"/>
      <c r="K195" s="252" t="s">
        <v>1089</v>
      </c>
      <c r="L195" s="261">
        <v>1</v>
      </c>
      <c r="M195" s="107">
        <v>1.619</v>
      </c>
      <c r="N195" s="107">
        <v>1.619</v>
      </c>
      <c r="O195" s="107">
        <v>1.619</v>
      </c>
      <c r="P195" s="107">
        <v>1.619</v>
      </c>
      <c r="Q195" s="107" t="s">
        <v>115</v>
      </c>
      <c r="R195" s="107" t="s">
        <v>115</v>
      </c>
      <c r="S195" s="28">
        <f t="shared" si="2"/>
        <v>1.619</v>
      </c>
      <c r="T195" s="107"/>
      <c r="U195" s="107"/>
    </row>
    <row r="196" spans="1:21" s="348" customFormat="1" ht="25.5">
      <c r="A196" s="261"/>
      <c r="B196" s="260" t="s">
        <v>4303</v>
      </c>
      <c r="C196" s="107"/>
      <c r="D196" s="260" t="s">
        <v>4302</v>
      </c>
      <c r="E196" s="107" t="s">
        <v>5236</v>
      </c>
      <c r="F196" s="156">
        <v>40909</v>
      </c>
      <c r="G196" s="257"/>
      <c r="H196" s="107"/>
      <c r="I196" s="107"/>
      <c r="J196" s="107"/>
      <c r="K196" s="252" t="s">
        <v>1089</v>
      </c>
      <c r="L196" s="261">
        <v>1</v>
      </c>
      <c r="M196" s="107">
        <v>1.6220000000000001</v>
      </c>
      <c r="N196" s="107">
        <v>1.6220000000000001</v>
      </c>
      <c r="O196" s="107">
        <v>1.6220000000000001</v>
      </c>
      <c r="P196" s="107">
        <v>1.6220000000000001</v>
      </c>
      <c r="Q196" s="107" t="s">
        <v>115</v>
      </c>
      <c r="R196" s="107" t="s">
        <v>115</v>
      </c>
      <c r="S196" s="28">
        <f t="shared" si="2"/>
        <v>1.6220000000000001</v>
      </c>
      <c r="T196" s="107"/>
      <c r="U196" s="107"/>
    </row>
    <row r="197" spans="1:21" s="348" customFormat="1" ht="25.5">
      <c r="A197" s="261"/>
      <c r="B197" s="260" t="s">
        <v>4305</v>
      </c>
      <c r="C197" s="107"/>
      <c r="D197" s="260" t="s">
        <v>4304</v>
      </c>
      <c r="E197" s="107" t="s">
        <v>5236</v>
      </c>
      <c r="F197" s="156">
        <v>40909</v>
      </c>
      <c r="G197" s="257"/>
      <c r="H197" s="107"/>
      <c r="I197" s="107"/>
      <c r="J197" s="107"/>
      <c r="K197" s="252" t="s">
        <v>1089</v>
      </c>
      <c r="L197" s="261">
        <v>1.2</v>
      </c>
      <c r="M197" s="107">
        <v>1.897</v>
      </c>
      <c r="N197" s="107">
        <v>1.897</v>
      </c>
      <c r="O197" s="107">
        <v>1.897</v>
      </c>
      <c r="P197" s="107">
        <v>1.897</v>
      </c>
      <c r="Q197" s="107" t="s">
        <v>115</v>
      </c>
      <c r="R197" s="107" t="s">
        <v>115</v>
      </c>
      <c r="S197" s="28">
        <f t="shared" si="2"/>
        <v>1.897</v>
      </c>
      <c r="T197" s="107"/>
      <c r="U197" s="107"/>
    </row>
    <row r="198" spans="1:21" s="348" customFormat="1" ht="25.5">
      <c r="A198" s="261"/>
      <c r="B198" s="260" t="s">
        <v>4307</v>
      </c>
      <c r="C198" s="107"/>
      <c r="D198" s="260" t="s">
        <v>4306</v>
      </c>
      <c r="E198" s="107" t="s">
        <v>5236</v>
      </c>
      <c r="F198" s="156">
        <v>41639</v>
      </c>
      <c r="G198" s="257"/>
      <c r="H198" s="107"/>
      <c r="I198" s="107"/>
      <c r="J198" s="107"/>
      <c r="K198" s="252" t="s">
        <v>1089</v>
      </c>
      <c r="L198" s="261">
        <v>1.5</v>
      </c>
      <c r="M198" s="107">
        <v>1.9710000000000001</v>
      </c>
      <c r="N198" s="107">
        <v>1.9710000000000001</v>
      </c>
      <c r="O198" s="107"/>
      <c r="P198" s="107" t="s">
        <v>115</v>
      </c>
      <c r="Q198" s="107" t="s">
        <v>115</v>
      </c>
      <c r="R198" s="107" t="s">
        <v>115</v>
      </c>
      <c r="S198" s="28">
        <f t="shared" si="2"/>
        <v>1.9710000000000001</v>
      </c>
      <c r="T198" s="107"/>
      <c r="U198" s="107"/>
    </row>
    <row r="199" spans="1:21" s="348" customFormat="1" ht="25.5">
      <c r="A199" s="261"/>
      <c r="B199" s="260" t="s">
        <v>4317</v>
      </c>
      <c r="C199" s="107"/>
      <c r="D199" s="260" t="s">
        <v>4316</v>
      </c>
      <c r="E199" s="107" t="s">
        <v>5236</v>
      </c>
      <c r="F199" s="156">
        <v>40909</v>
      </c>
      <c r="G199" s="257"/>
      <c r="H199" s="107"/>
      <c r="I199" s="107"/>
      <c r="J199" s="107"/>
      <c r="K199" s="252" t="s">
        <v>1089</v>
      </c>
      <c r="L199" s="261">
        <v>1</v>
      </c>
      <c r="M199" s="107">
        <v>1.6220000000000001</v>
      </c>
      <c r="N199" s="107">
        <v>1.6220000000000001</v>
      </c>
      <c r="O199" s="107">
        <v>1.6220000000000001</v>
      </c>
      <c r="P199" s="107">
        <v>1.6220000000000001</v>
      </c>
      <c r="Q199" s="107" t="s">
        <v>115</v>
      </c>
      <c r="R199" s="107" t="s">
        <v>115</v>
      </c>
      <c r="S199" s="28">
        <f t="shared" si="2"/>
        <v>1.6220000000000001</v>
      </c>
      <c r="T199" s="107"/>
      <c r="U199" s="107"/>
    </row>
    <row r="200" spans="1:21" s="348" customFormat="1" ht="25.5">
      <c r="A200" s="261"/>
      <c r="B200" s="260" t="s">
        <v>4319</v>
      </c>
      <c r="C200" s="107"/>
      <c r="D200" s="260" t="s">
        <v>4318</v>
      </c>
      <c r="E200" s="107" t="s">
        <v>5236</v>
      </c>
      <c r="F200" s="156">
        <v>40909</v>
      </c>
      <c r="G200" s="257"/>
      <c r="H200" s="107"/>
      <c r="I200" s="107"/>
      <c r="J200" s="107"/>
      <c r="K200" s="252" t="s">
        <v>1089</v>
      </c>
      <c r="L200" s="261">
        <v>1</v>
      </c>
      <c r="M200" s="107">
        <v>1.6220000000000001</v>
      </c>
      <c r="N200" s="107">
        <v>1.6220000000000001</v>
      </c>
      <c r="O200" s="107">
        <v>1.6220000000000001</v>
      </c>
      <c r="P200" s="107">
        <v>1.6220000000000001</v>
      </c>
      <c r="Q200" s="107" t="s">
        <v>115</v>
      </c>
      <c r="R200" s="107" t="s">
        <v>115</v>
      </c>
      <c r="S200" s="28">
        <f t="shared" si="2"/>
        <v>1.6220000000000001</v>
      </c>
      <c r="T200" s="107"/>
      <c r="U200" s="107"/>
    </row>
    <row r="201" spans="1:21" s="348" customFormat="1" ht="25.5">
      <c r="A201" s="261"/>
      <c r="B201" s="260" t="s">
        <v>4321</v>
      </c>
      <c r="C201" s="107"/>
      <c r="D201" s="260" t="s">
        <v>4320</v>
      </c>
      <c r="E201" s="107" t="s">
        <v>5236</v>
      </c>
      <c r="F201" s="156">
        <v>40909</v>
      </c>
      <c r="G201" s="257"/>
      <c r="H201" s="107"/>
      <c r="I201" s="107"/>
      <c r="J201" s="107"/>
      <c r="K201" s="252" t="s">
        <v>1089</v>
      </c>
      <c r="L201" s="261">
        <v>1</v>
      </c>
      <c r="M201" s="107">
        <v>1.6220000000000001</v>
      </c>
      <c r="N201" s="107">
        <v>1.6220000000000001</v>
      </c>
      <c r="O201" s="107">
        <v>1.6220000000000001</v>
      </c>
      <c r="P201" s="107">
        <v>1.6220000000000001</v>
      </c>
      <c r="Q201" s="107" t="s">
        <v>115</v>
      </c>
      <c r="R201" s="107" t="s">
        <v>115</v>
      </c>
      <c r="S201" s="28">
        <f t="shared" si="2"/>
        <v>1.6220000000000001</v>
      </c>
      <c r="T201" s="107"/>
      <c r="U201" s="107"/>
    </row>
    <row r="202" spans="1:21" s="348" customFormat="1" ht="25.5">
      <c r="A202" s="261"/>
      <c r="B202" s="260" t="s">
        <v>4325</v>
      </c>
      <c r="C202" s="107"/>
      <c r="D202" s="260" t="s">
        <v>4324</v>
      </c>
      <c r="E202" s="107" t="s">
        <v>5236</v>
      </c>
      <c r="F202" s="156">
        <v>40909</v>
      </c>
      <c r="G202" s="257"/>
      <c r="H202" s="107"/>
      <c r="I202" s="107"/>
      <c r="J202" s="107"/>
      <c r="K202" s="252" t="s">
        <v>1089</v>
      </c>
      <c r="L202" s="261">
        <v>1</v>
      </c>
      <c r="M202" s="107">
        <v>1.6220000000000001</v>
      </c>
      <c r="N202" s="107">
        <v>1.6220000000000001</v>
      </c>
      <c r="O202" s="107">
        <v>1.6220000000000001</v>
      </c>
      <c r="P202" s="107">
        <v>1.6220000000000001</v>
      </c>
      <c r="Q202" s="107" t="s">
        <v>115</v>
      </c>
      <c r="R202" s="107" t="s">
        <v>115</v>
      </c>
      <c r="S202" s="28">
        <f t="shared" si="2"/>
        <v>1.6220000000000001</v>
      </c>
      <c r="T202" s="107"/>
      <c r="U202" s="107"/>
    </row>
    <row r="203" spans="1:21" s="348" customFormat="1" ht="25.5">
      <c r="A203" s="261"/>
      <c r="B203" s="260" t="s">
        <v>4325</v>
      </c>
      <c r="C203" s="107"/>
      <c r="D203" s="260" t="s">
        <v>4326</v>
      </c>
      <c r="E203" s="107" t="s">
        <v>5236</v>
      </c>
      <c r="F203" s="156">
        <v>40909</v>
      </c>
      <c r="G203" s="257"/>
      <c r="H203" s="107"/>
      <c r="I203" s="107"/>
      <c r="J203" s="107"/>
      <c r="K203" s="252" t="s">
        <v>1089</v>
      </c>
      <c r="L203" s="261">
        <v>1</v>
      </c>
      <c r="M203" s="107">
        <v>1.6220000000000001</v>
      </c>
      <c r="N203" s="107">
        <v>1.6220000000000001</v>
      </c>
      <c r="O203" s="107">
        <v>1.6220000000000001</v>
      </c>
      <c r="P203" s="107">
        <v>1.6220000000000001</v>
      </c>
      <c r="Q203" s="107" t="s">
        <v>115</v>
      </c>
      <c r="R203" s="107" t="s">
        <v>115</v>
      </c>
      <c r="S203" s="28">
        <f t="shared" si="2"/>
        <v>1.6220000000000001</v>
      </c>
      <c r="T203" s="107"/>
      <c r="U203" s="107"/>
    </row>
    <row r="204" spans="1:21" s="348" customFormat="1" ht="25.5">
      <c r="A204" s="261"/>
      <c r="B204" s="260" t="s">
        <v>4328</v>
      </c>
      <c r="C204" s="107"/>
      <c r="D204" s="260" t="s">
        <v>4327</v>
      </c>
      <c r="E204" s="107" t="s">
        <v>5236</v>
      </c>
      <c r="F204" s="156">
        <v>40909</v>
      </c>
      <c r="G204" s="257"/>
      <c r="H204" s="107"/>
      <c r="I204" s="107"/>
      <c r="J204" s="107"/>
      <c r="K204" s="252" t="s">
        <v>1089</v>
      </c>
      <c r="L204" s="261">
        <v>1.1000000000000001</v>
      </c>
      <c r="M204" s="107">
        <v>1.7030000000000001</v>
      </c>
      <c r="N204" s="107">
        <v>1.7030000000000001</v>
      </c>
      <c r="O204" s="107">
        <v>1.7030000000000001</v>
      </c>
      <c r="P204" s="107">
        <v>1.7030000000000001</v>
      </c>
      <c r="Q204" s="107" t="s">
        <v>115</v>
      </c>
      <c r="R204" s="107" t="s">
        <v>115</v>
      </c>
      <c r="S204" s="28">
        <f t="shared" si="2"/>
        <v>1.7030000000000001</v>
      </c>
      <c r="T204" s="107"/>
      <c r="U204" s="107"/>
    </row>
    <row r="205" spans="1:21" s="348" customFormat="1" ht="25.5">
      <c r="A205" s="261"/>
      <c r="B205" s="260" t="s">
        <v>4330</v>
      </c>
      <c r="C205" s="107"/>
      <c r="D205" s="260" t="s">
        <v>4329</v>
      </c>
      <c r="E205" s="107" t="s">
        <v>5236</v>
      </c>
      <c r="F205" s="156">
        <v>40909</v>
      </c>
      <c r="G205" s="257"/>
      <c r="H205" s="107"/>
      <c r="I205" s="107"/>
      <c r="J205" s="107"/>
      <c r="K205" s="252" t="s">
        <v>1089</v>
      </c>
      <c r="L205" s="261">
        <v>1</v>
      </c>
      <c r="M205" s="107">
        <v>1.6220000000000001</v>
      </c>
      <c r="N205" s="107">
        <v>1.6220000000000001</v>
      </c>
      <c r="O205" s="107">
        <v>1.6220000000000001</v>
      </c>
      <c r="P205" s="107">
        <v>1.6220000000000001</v>
      </c>
      <c r="Q205" s="107" t="s">
        <v>115</v>
      </c>
      <c r="R205" s="107" t="s">
        <v>115</v>
      </c>
      <c r="S205" s="28">
        <f t="shared" si="2"/>
        <v>1.6220000000000001</v>
      </c>
      <c r="T205" s="107"/>
      <c r="U205" s="107"/>
    </row>
    <row r="206" spans="1:21" s="348" customFormat="1" ht="25.5">
      <c r="A206" s="261"/>
      <c r="B206" s="260" t="s">
        <v>4330</v>
      </c>
      <c r="C206" s="107"/>
      <c r="D206" s="260" t="s">
        <v>4331</v>
      </c>
      <c r="E206" s="107" t="s">
        <v>5236</v>
      </c>
      <c r="F206" s="156">
        <v>40909</v>
      </c>
      <c r="G206" s="257"/>
      <c r="H206" s="107"/>
      <c r="I206" s="107"/>
      <c r="J206" s="107"/>
      <c r="K206" s="252" t="s">
        <v>1089</v>
      </c>
      <c r="L206" s="261">
        <v>1</v>
      </c>
      <c r="M206" s="107">
        <v>1.6220000000000001</v>
      </c>
      <c r="N206" s="107">
        <v>1.6220000000000001</v>
      </c>
      <c r="O206" s="107">
        <v>1.6220000000000001</v>
      </c>
      <c r="P206" s="107">
        <v>1.6220000000000001</v>
      </c>
      <c r="Q206" s="107" t="s">
        <v>115</v>
      </c>
      <c r="R206" s="107" t="s">
        <v>115</v>
      </c>
      <c r="S206" s="28">
        <f t="shared" si="2"/>
        <v>1.6220000000000001</v>
      </c>
      <c r="T206" s="107"/>
      <c r="U206" s="107"/>
    </row>
    <row r="207" spans="1:21" s="348" customFormat="1" ht="25.5">
      <c r="A207" s="261"/>
      <c r="B207" s="260" t="s">
        <v>4333</v>
      </c>
      <c r="C207" s="107"/>
      <c r="D207" s="260" t="s">
        <v>4332</v>
      </c>
      <c r="E207" s="107" t="s">
        <v>5236</v>
      </c>
      <c r="F207" s="156">
        <v>40909</v>
      </c>
      <c r="G207" s="257"/>
      <c r="H207" s="107"/>
      <c r="I207" s="107"/>
      <c r="J207" s="107"/>
      <c r="K207" s="252" t="s">
        <v>1089</v>
      </c>
      <c r="L207" s="261">
        <v>1</v>
      </c>
      <c r="M207" s="107">
        <v>1.6220000000000001</v>
      </c>
      <c r="N207" s="107">
        <v>1.6220000000000001</v>
      </c>
      <c r="O207" s="107">
        <v>1.6220000000000001</v>
      </c>
      <c r="P207" s="107">
        <v>1.6220000000000001</v>
      </c>
      <c r="Q207" s="107" t="s">
        <v>115</v>
      </c>
      <c r="R207" s="107" t="s">
        <v>115</v>
      </c>
      <c r="S207" s="28">
        <f t="shared" si="2"/>
        <v>1.6220000000000001</v>
      </c>
      <c r="T207" s="107"/>
      <c r="U207" s="107"/>
    </row>
    <row r="208" spans="1:21" s="348" customFormat="1" ht="25.5">
      <c r="A208" s="261"/>
      <c r="B208" s="260" t="s">
        <v>4335</v>
      </c>
      <c r="C208" s="107"/>
      <c r="D208" s="260" t="s">
        <v>4334</v>
      </c>
      <c r="E208" s="107" t="s">
        <v>5236</v>
      </c>
      <c r="F208" s="156">
        <v>40909</v>
      </c>
      <c r="G208" s="257"/>
      <c r="H208" s="107"/>
      <c r="I208" s="107"/>
      <c r="J208" s="107"/>
      <c r="K208" s="252" t="s">
        <v>1089</v>
      </c>
      <c r="L208" s="261">
        <v>1</v>
      </c>
      <c r="M208" s="107">
        <v>1.6220000000000001</v>
      </c>
      <c r="N208" s="107">
        <v>1.6220000000000001</v>
      </c>
      <c r="O208" s="107">
        <v>1.6220000000000001</v>
      </c>
      <c r="P208" s="107">
        <v>1.6220000000000001</v>
      </c>
      <c r="Q208" s="107" t="s">
        <v>115</v>
      </c>
      <c r="R208" s="107" t="s">
        <v>115</v>
      </c>
      <c r="S208" s="28">
        <f t="shared" si="2"/>
        <v>1.6220000000000001</v>
      </c>
      <c r="T208" s="107"/>
      <c r="U208" s="107"/>
    </row>
    <row r="209" spans="1:21" s="348" customFormat="1" ht="25.5">
      <c r="A209" s="261"/>
      <c r="B209" s="260" t="s">
        <v>4339</v>
      </c>
      <c r="C209" s="107"/>
      <c r="D209" s="260" t="s">
        <v>4338</v>
      </c>
      <c r="E209" s="107" t="s">
        <v>5236</v>
      </c>
      <c r="F209" s="156">
        <v>40909</v>
      </c>
      <c r="G209" s="257"/>
      <c r="H209" s="107"/>
      <c r="I209" s="107"/>
      <c r="J209" s="107"/>
      <c r="K209" s="252" t="s">
        <v>1089</v>
      </c>
      <c r="L209" s="261">
        <v>1</v>
      </c>
      <c r="M209" s="107">
        <v>1.6220000000000001</v>
      </c>
      <c r="N209" s="107">
        <v>1.6220000000000001</v>
      </c>
      <c r="O209" s="107">
        <v>1.6220000000000001</v>
      </c>
      <c r="P209" s="107">
        <v>1.6220000000000001</v>
      </c>
      <c r="Q209" s="107" t="s">
        <v>115</v>
      </c>
      <c r="R209" s="107" t="s">
        <v>115</v>
      </c>
      <c r="S209" s="28">
        <f t="shared" si="2"/>
        <v>1.6220000000000001</v>
      </c>
      <c r="T209" s="107"/>
      <c r="U209" s="107"/>
    </row>
    <row r="210" spans="1:21" s="348" customFormat="1" ht="25.5">
      <c r="A210" s="261"/>
      <c r="B210" s="260" t="s">
        <v>4339</v>
      </c>
      <c r="C210" s="107"/>
      <c r="D210" s="260" t="s">
        <v>4340</v>
      </c>
      <c r="E210" s="107" t="s">
        <v>5236</v>
      </c>
      <c r="F210" s="156">
        <v>40909</v>
      </c>
      <c r="G210" s="257"/>
      <c r="H210" s="107"/>
      <c r="I210" s="107"/>
      <c r="J210" s="107"/>
      <c r="K210" s="252" t="s">
        <v>1089</v>
      </c>
      <c r="L210" s="261">
        <v>1</v>
      </c>
      <c r="M210" s="107">
        <v>1.6220000000000001</v>
      </c>
      <c r="N210" s="107">
        <v>1.6220000000000001</v>
      </c>
      <c r="O210" s="107">
        <v>1.6220000000000001</v>
      </c>
      <c r="P210" s="107">
        <v>1.6220000000000001</v>
      </c>
      <c r="Q210" s="107" t="s">
        <v>115</v>
      </c>
      <c r="R210" s="107" t="s">
        <v>115</v>
      </c>
      <c r="S210" s="28">
        <f t="shared" si="2"/>
        <v>1.6220000000000001</v>
      </c>
      <c r="T210" s="107"/>
      <c r="U210" s="107"/>
    </row>
    <row r="211" spans="1:21" s="348" customFormat="1" ht="25.5">
      <c r="A211" s="261"/>
      <c r="B211" s="260" t="s">
        <v>4343</v>
      </c>
      <c r="C211" s="107"/>
      <c r="D211" s="260" t="s">
        <v>4342</v>
      </c>
      <c r="E211" s="107" t="s">
        <v>5236</v>
      </c>
      <c r="F211" s="156">
        <v>40909</v>
      </c>
      <c r="G211" s="257"/>
      <c r="H211" s="107"/>
      <c r="I211" s="107"/>
      <c r="J211" s="107"/>
      <c r="K211" s="252" t="s">
        <v>1089</v>
      </c>
      <c r="L211" s="261">
        <v>1</v>
      </c>
      <c r="M211" s="107">
        <v>1.62</v>
      </c>
      <c r="N211" s="107">
        <v>1.62</v>
      </c>
      <c r="O211" s="107">
        <v>1.62</v>
      </c>
      <c r="P211" s="107">
        <v>1.62</v>
      </c>
      <c r="Q211" s="107" t="s">
        <v>115</v>
      </c>
      <c r="R211" s="107" t="s">
        <v>115</v>
      </c>
      <c r="S211" s="28">
        <f t="shared" si="2"/>
        <v>1.62</v>
      </c>
      <c r="T211" s="107"/>
      <c r="U211" s="107"/>
    </row>
    <row r="212" spans="1:21" s="170" customFormat="1" ht="27" customHeight="1">
      <c r="A212" s="261"/>
      <c r="B212" s="260" t="s">
        <v>4347</v>
      </c>
      <c r="C212" s="107"/>
      <c r="D212" s="260" t="s">
        <v>4346</v>
      </c>
      <c r="E212" s="107"/>
      <c r="F212" s="156">
        <v>41639</v>
      </c>
      <c r="G212" s="257"/>
      <c r="H212" s="107"/>
      <c r="I212" s="107"/>
      <c r="J212" s="107" t="s">
        <v>5240</v>
      </c>
      <c r="K212" s="252" t="s">
        <v>1089</v>
      </c>
      <c r="L212" s="261">
        <v>1.5</v>
      </c>
      <c r="M212" s="107">
        <v>1.9710000000000001</v>
      </c>
      <c r="N212" s="107">
        <v>1.9710000000000001</v>
      </c>
      <c r="O212" s="107"/>
      <c r="P212" s="107" t="s">
        <v>115</v>
      </c>
      <c r="Q212" s="107" t="s">
        <v>115</v>
      </c>
      <c r="R212" s="107" t="s">
        <v>115</v>
      </c>
      <c r="S212" s="28">
        <f t="shared" si="2"/>
        <v>1.9710000000000001</v>
      </c>
      <c r="T212" s="107"/>
      <c r="U212" s="107"/>
    </row>
    <row r="213" spans="1:21" s="170" customFormat="1" ht="27" customHeight="1">
      <c r="A213" s="261"/>
      <c r="B213" s="260" t="s">
        <v>4349</v>
      </c>
      <c r="C213" s="107"/>
      <c r="D213" s="260" t="s">
        <v>4348</v>
      </c>
      <c r="E213" s="107"/>
      <c r="F213" s="156">
        <v>41639</v>
      </c>
      <c r="G213" s="257"/>
      <c r="H213" s="107"/>
      <c r="I213" s="107"/>
      <c r="J213" s="107" t="s">
        <v>5240</v>
      </c>
      <c r="K213" s="252" t="s">
        <v>1089</v>
      </c>
      <c r="L213" s="261">
        <v>1.5</v>
      </c>
      <c r="M213" s="107">
        <v>1.9710000000000001</v>
      </c>
      <c r="N213" s="107">
        <v>1.9710000000000001</v>
      </c>
      <c r="O213" s="107"/>
      <c r="P213" s="107" t="s">
        <v>115</v>
      </c>
      <c r="Q213" s="107" t="s">
        <v>115</v>
      </c>
      <c r="R213" s="107" t="s">
        <v>115</v>
      </c>
      <c r="S213" s="28">
        <f t="shared" si="2"/>
        <v>1.9710000000000001</v>
      </c>
      <c r="T213" s="107"/>
      <c r="U213" s="107"/>
    </row>
    <row r="214" spans="1:21" s="170" customFormat="1" ht="27" customHeight="1">
      <c r="A214" s="261"/>
      <c r="B214" s="260" t="s">
        <v>4351</v>
      </c>
      <c r="C214" s="107"/>
      <c r="D214" s="260" t="s">
        <v>4350</v>
      </c>
      <c r="E214" s="107" t="s">
        <v>5236</v>
      </c>
      <c r="F214" s="156">
        <v>41639</v>
      </c>
      <c r="G214" s="257"/>
      <c r="H214" s="107"/>
      <c r="I214" s="107"/>
      <c r="J214" s="107"/>
      <c r="K214" s="252" t="s">
        <v>1089</v>
      </c>
      <c r="L214" s="261">
        <v>1.5</v>
      </c>
      <c r="M214" s="107">
        <v>1.9710000000000001</v>
      </c>
      <c r="N214" s="107">
        <v>1.9710000000000001</v>
      </c>
      <c r="O214" s="107"/>
      <c r="P214" s="107" t="s">
        <v>115</v>
      </c>
      <c r="Q214" s="107" t="s">
        <v>115</v>
      </c>
      <c r="R214" s="107" t="s">
        <v>115</v>
      </c>
      <c r="S214" s="28">
        <f t="shared" si="2"/>
        <v>1.9710000000000001</v>
      </c>
      <c r="T214" s="107"/>
      <c r="U214" s="107"/>
    </row>
    <row r="215" spans="1:21" s="170" customFormat="1" ht="27" customHeight="1">
      <c r="A215" s="261"/>
      <c r="B215" s="260" t="s">
        <v>4353</v>
      </c>
      <c r="C215" s="107"/>
      <c r="D215" s="260" t="s">
        <v>4352</v>
      </c>
      <c r="E215" s="107" t="s">
        <v>5236</v>
      </c>
      <c r="F215" s="156">
        <v>41639</v>
      </c>
      <c r="G215" s="257"/>
      <c r="H215" s="107"/>
      <c r="I215" s="107"/>
      <c r="J215" s="107"/>
      <c r="K215" s="252" t="s">
        <v>1089</v>
      </c>
      <c r="L215" s="261">
        <v>1.5</v>
      </c>
      <c r="M215" s="107">
        <v>1.9710000000000001</v>
      </c>
      <c r="N215" s="107">
        <v>1.9710000000000001</v>
      </c>
      <c r="O215" s="107"/>
      <c r="P215" s="107" t="s">
        <v>115</v>
      </c>
      <c r="Q215" s="107" t="s">
        <v>115</v>
      </c>
      <c r="R215" s="107" t="s">
        <v>115</v>
      </c>
      <c r="S215" s="28">
        <f t="shared" si="2"/>
        <v>1.9710000000000001</v>
      </c>
      <c r="T215" s="107"/>
      <c r="U215" s="107"/>
    </row>
    <row r="216" spans="1:21" s="170" customFormat="1" ht="27" customHeight="1">
      <c r="A216" s="261"/>
      <c r="B216" s="260" t="s">
        <v>4355</v>
      </c>
      <c r="C216" s="107"/>
      <c r="D216" s="260" t="s">
        <v>4354</v>
      </c>
      <c r="E216" s="107" t="s">
        <v>5236</v>
      </c>
      <c r="F216" s="156">
        <v>41639</v>
      </c>
      <c r="G216" s="257"/>
      <c r="H216" s="107"/>
      <c r="I216" s="107"/>
      <c r="J216" s="107"/>
      <c r="K216" s="252" t="s">
        <v>1089</v>
      </c>
      <c r="L216" s="261">
        <v>1.5</v>
      </c>
      <c r="M216" s="107">
        <v>1.9710000000000001</v>
      </c>
      <c r="N216" s="107">
        <v>1.9710000000000001</v>
      </c>
      <c r="O216" s="107"/>
      <c r="P216" s="107" t="s">
        <v>115</v>
      </c>
      <c r="Q216" s="107" t="s">
        <v>115</v>
      </c>
      <c r="R216" s="107" t="s">
        <v>115</v>
      </c>
      <c r="S216" s="28">
        <f t="shared" si="2"/>
        <v>1.9710000000000001</v>
      </c>
      <c r="T216" s="107"/>
      <c r="U216" s="107"/>
    </row>
    <row r="217" spans="1:21" s="170" customFormat="1" ht="27" customHeight="1">
      <c r="A217" s="261"/>
      <c r="B217" s="260" t="s">
        <v>4357</v>
      </c>
      <c r="C217" s="107"/>
      <c r="D217" s="260" t="s">
        <v>4356</v>
      </c>
      <c r="E217" s="107" t="s">
        <v>5236</v>
      </c>
      <c r="F217" s="156">
        <v>41639</v>
      </c>
      <c r="G217" s="257"/>
      <c r="H217" s="107"/>
      <c r="I217" s="107"/>
      <c r="J217" s="107"/>
      <c r="K217" s="252" t="s">
        <v>1089</v>
      </c>
      <c r="L217" s="261">
        <v>1.5</v>
      </c>
      <c r="M217" s="107">
        <v>1.9710000000000001</v>
      </c>
      <c r="N217" s="107">
        <v>1.9710000000000001</v>
      </c>
      <c r="O217" s="107"/>
      <c r="P217" s="107" t="s">
        <v>115</v>
      </c>
      <c r="Q217" s="107" t="s">
        <v>115</v>
      </c>
      <c r="R217" s="107" t="s">
        <v>115</v>
      </c>
      <c r="S217" s="28">
        <f t="shared" si="2"/>
        <v>1.9710000000000001</v>
      </c>
      <c r="T217" s="107"/>
      <c r="U217" s="107"/>
    </row>
    <row r="218" spans="1:21" s="170" customFormat="1" ht="27" customHeight="1">
      <c r="A218" s="261"/>
      <c r="B218" s="260" t="s">
        <v>4359</v>
      </c>
      <c r="C218" s="107"/>
      <c r="D218" s="260" t="s">
        <v>4358</v>
      </c>
      <c r="E218" s="107" t="s">
        <v>5201</v>
      </c>
      <c r="F218" s="156">
        <v>41639</v>
      </c>
      <c r="G218" s="257"/>
      <c r="H218" s="107"/>
      <c r="I218" s="107"/>
      <c r="J218" s="107"/>
      <c r="K218" s="252" t="s">
        <v>1089</v>
      </c>
      <c r="L218" s="261">
        <v>1.5</v>
      </c>
      <c r="M218" s="107">
        <v>1.9710000000000001</v>
      </c>
      <c r="N218" s="107">
        <v>1.9710000000000001</v>
      </c>
      <c r="O218" s="107"/>
      <c r="P218" s="107" t="s">
        <v>115</v>
      </c>
      <c r="Q218" s="107" t="s">
        <v>115</v>
      </c>
      <c r="R218" s="107" t="s">
        <v>115</v>
      </c>
      <c r="S218" s="28">
        <f t="shared" ref="S218:S249" si="3">AVERAGE(M218:R218)</f>
        <v>1.9710000000000001</v>
      </c>
      <c r="T218" s="107"/>
      <c r="U218" s="107"/>
    </row>
    <row r="219" spans="1:21" s="170" customFormat="1" ht="27" customHeight="1">
      <c r="A219" s="261"/>
      <c r="B219" s="260" t="s">
        <v>4361</v>
      </c>
      <c r="C219" s="107"/>
      <c r="D219" s="260" t="s">
        <v>4360</v>
      </c>
      <c r="E219" s="107" t="s">
        <v>5201</v>
      </c>
      <c r="F219" s="156">
        <v>41639</v>
      </c>
      <c r="G219" s="257"/>
      <c r="H219" s="107"/>
      <c r="I219" s="107"/>
      <c r="J219" s="107"/>
      <c r="K219" s="252" t="s">
        <v>1089</v>
      </c>
      <c r="L219" s="261">
        <v>1.5</v>
      </c>
      <c r="M219" s="107">
        <v>1.9710000000000001</v>
      </c>
      <c r="N219" s="107">
        <v>1.9710000000000001</v>
      </c>
      <c r="O219" s="107"/>
      <c r="P219" s="107" t="s">
        <v>115</v>
      </c>
      <c r="Q219" s="107" t="s">
        <v>115</v>
      </c>
      <c r="R219" s="107" t="s">
        <v>115</v>
      </c>
      <c r="S219" s="28">
        <f t="shared" si="3"/>
        <v>1.9710000000000001</v>
      </c>
      <c r="T219" s="107"/>
      <c r="U219" s="107"/>
    </row>
    <row r="220" spans="1:21" s="170" customFormat="1" ht="27" customHeight="1">
      <c r="A220" s="261"/>
      <c r="B220" s="260" t="s">
        <v>4363</v>
      </c>
      <c r="C220" s="107"/>
      <c r="D220" s="260" t="s">
        <v>4362</v>
      </c>
      <c r="E220" s="107" t="s">
        <v>5201</v>
      </c>
      <c r="F220" s="156">
        <v>41639</v>
      </c>
      <c r="G220" s="257"/>
      <c r="H220" s="107"/>
      <c r="I220" s="107"/>
      <c r="J220" s="107"/>
      <c r="K220" s="252" t="s">
        <v>1089</v>
      </c>
      <c r="L220" s="261">
        <v>1.5</v>
      </c>
      <c r="M220" s="107">
        <v>1.9710000000000001</v>
      </c>
      <c r="N220" s="107">
        <v>1.9710000000000001</v>
      </c>
      <c r="O220" s="107"/>
      <c r="P220" s="107" t="s">
        <v>115</v>
      </c>
      <c r="Q220" s="107" t="s">
        <v>115</v>
      </c>
      <c r="R220" s="107" t="s">
        <v>115</v>
      </c>
      <c r="S220" s="28">
        <f t="shared" si="3"/>
        <v>1.9710000000000001</v>
      </c>
      <c r="T220" s="107"/>
      <c r="U220" s="107"/>
    </row>
    <row r="221" spans="1:21" s="170" customFormat="1" ht="27" customHeight="1">
      <c r="A221" s="261"/>
      <c r="B221" s="260" t="s">
        <v>4365</v>
      </c>
      <c r="C221" s="107"/>
      <c r="D221" s="260" t="s">
        <v>4364</v>
      </c>
      <c r="E221" s="107" t="s">
        <v>5201</v>
      </c>
      <c r="F221" s="156">
        <v>41639</v>
      </c>
      <c r="G221" s="257"/>
      <c r="H221" s="107"/>
      <c r="I221" s="107"/>
      <c r="J221" s="107"/>
      <c r="K221" s="252" t="s">
        <v>1089</v>
      </c>
      <c r="L221" s="261">
        <v>1.5</v>
      </c>
      <c r="M221" s="107">
        <v>1.9710000000000001</v>
      </c>
      <c r="N221" s="107">
        <v>1.9710000000000001</v>
      </c>
      <c r="O221" s="107"/>
      <c r="P221" s="107" t="s">
        <v>115</v>
      </c>
      <c r="Q221" s="107" t="s">
        <v>115</v>
      </c>
      <c r="R221" s="107" t="s">
        <v>115</v>
      </c>
      <c r="S221" s="28">
        <f t="shared" si="3"/>
        <v>1.9710000000000001</v>
      </c>
      <c r="T221" s="107"/>
      <c r="U221" s="107"/>
    </row>
    <row r="222" spans="1:21" s="170" customFormat="1" ht="27" customHeight="1">
      <c r="A222" s="261"/>
      <c r="B222" s="260" t="s">
        <v>4367</v>
      </c>
      <c r="C222" s="107"/>
      <c r="D222" s="260" t="s">
        <v>4366</v>
      </c>
      <c r="E222" s="107" t="s">
        <v>5201</v>
      </c>
      <c r="F222" s="156">
        <v>41639</v>
      </c>
      <c r="G222" s="257"/>
      <c r="H222" s="107"/>
      <c r="I222" s="107"/>
      <c r="J222" s="107"/>
      <c r="K222" s="252" t="s">
        <v>1089</v>
      </c>
      <c r="L222" s="261">
        <v>1.5</v>
      </c>
      <c r="M222" s="107">
        <v>1.9710000000000001</v>
      </c>
      <c r="N222" s="107">
        <v>1.9710000000000001</v>
      </c>
      <c r="O222" s="107"/>
      <c r="P222" s="107" t="s">
        <v>115</v>
      </c>
      <c r="Q222" s="107" t="s">
        <v>115</v>
      </c>
      <c r="R222" s="107" t="s">
        <v>115</v>
      </c>
      <c r="S222" s="28">
        <f t="shared" si="3"/>
        <v>1.9710000000000001</v>
      </c>
      <c r="T222" s="107"/>
      <c r="U222" s="107"/>
    </row>
    <row r="223" spans="1:21" s="170" customFormat="1" ht="27" customHeight="1">
      <c r="A223" s="261"/>
      <c r="B223" s="260" t="s">
        <v>4369</v>
      </c>
      <c r="C223" s="107"/>
      <c r="D223" s="260" t="s">
        <v>4368</v>
      </c>
      <c r="E223" s="107" t="s">
        <v>5201</v>
      </c>
      <c r="F223" s="156">
        <v>41639</v>
      </c>
      <c r="G223" s="257"/>
      <c r="H223" s="107"/>
      <c r="I223" s="107"/>
      <c r="J223" s="107"/>
      <c r="K223" s="252" t="s">
        <v>1089</v>
      </c>
      <c r="L223" s="261">
        <v>1.5</v>
      </c>
      <c r="M223" s="107">
        <v>1.9710000000000001</v>
      </c>
      <c r="N223" s="107">
        <v>1.9710000000000001</v>
      </c>
      <c r="O223" s="107"/>
      <c r="P223" s="107" t="s">
        <v>115</v>
      </c>
      <c r="Q223" s="107" t="s">
        <v>115</v>
      </c>
      <c r="R223" s="107" t="s">
        <v>115</v>
      </c>
      <c r="S223" s="28">
        <f t="shared" si="3"/>
        <v>1.9710000000000001</v>
      </c>
      <c r="T223" s="107"/>
      <c r="U223" s="107"/>
    </row>
    <row r="224" spans="1:21" s="170" customFormat="1" ht="27" customHeight="1">
      <c r="A224" s="261"/>
      <c r="B224" s="260" t="s">
        <v>4371</v>
      </c>
      <c r="C224" s="107"/>
      <c r="D224" s="260" t="s">
        <v>4370</v>
      </c>
      <c r="E224" s="107" t="s">
        <v>5201</v>
      </c>
      <c r="F224" s="156">
        <v>41639</v>
      </c>
      <c r="G224" s="257"/>
      <c r="H224" s="107"/>
      <c r="I224" s="107"/>
      <c r="J224" s="107"/>
      <c r="K224" s="252" t="s">
        <v>1089</v>
      </c>
      <c r="L224" s="261">
        <v>1.5</v>
      </c>
      <c r="M224" s="107">
        <v>1.9710000000000001</v>
      </c>
      <c r="N224" s="107">
        <v>1.9710000000000001</v>
      </c>
      <c r="O224" s="107"/>
      <c r="P224" s="107" t="s">
        <v>115</v>
      </c>
      <c r="Q224" s="107" t="s">
        <v>115</v>
      </c>
      <c r="R224" s="107" t="s">
        <v>115</v>
      </c>
      <c r="S224" s="28">
        <f t="shared" si="3"/>
        <v>1.9710000000000001</v>
      </c>
      <c r="T224" s="107"/>
      <c r="U224" s="107"/>
    </row>
    <row r="225" spans="1:21" s="170" customFormat="1" ht="27" customHeight="1">
      <c r="A225" s="261"/>
      <c r="B225" s="260" t="s">
        <v>4373</v>
      </c>
      <c r="C225" s="107"/>
      <c r="D225" s="260" t="s">
        <v>4372</v>
      </c>
      <c r="E225" s="107" t="s">
        <v>5201</v>
      </c>
      <c r="F225" s="156">
        <v>41639</v>
      </c>
      <c r="G225" s="257"/>
      <c r="H225" s="107"/>
      <c r="I225" s="107"/>
      <c r="J225" s="107"/>
      <c r="K225" s="252" t="s">
        <v>1089</v>
      </c>
      <c r="L225" s="261">
        <v>1.5</v>
      </c>
      <c r="M225" s="107">
        <v>1.9710000000000001</v>
      </c>
      <c r="N225" s="107">
        <v>1.9710000000000001</v>
      </c>
      <c r="O225" s="107"/>
      <c r="P225" s="107" t="s">
        <v>115</v>
      </c>
      <c r="Q225" s="107" t="s">
        <v>115</v>
      </c>
      <c r="R225" s="107" t="s">
        <v>115</v>
      </c>
      <c r="S225" s="28">
        <f t="shared" si="3"/>
        <v>1.9710000000000001</v>
      </c>
      <c r="T225" s="107"/>
      <c r="U225" s="107"/>
    </row>
    <row r="226" spans="1:21" s="348" customFormat="1" ht="25.5">
      <c r="A226" s="261"/>
      <c r="B226" s="260" t="s">
        <v>4548</v>
      </c>
      <c r="C226" s="107"/>
      <c r="D226" s="260" t="s">
        <v>4547</v>
      </c>
      <c r="E226" s="107"/>
      <c r="F226" s="156">
        <v>40909</v>
      </c>
      <c r="G226" s="257"/>
      <c r="H226" s="107"/>
      <c r="I226" s="107"/>
      <c r="J226" s="107"/>
      <c r="K226" s="252" t="s">
        <v>1089</v>
      </c>
      <c r="L226" s="261">
        <v>1</v>
      </c>
      <c r="M226" s="107">
        <v>1.6180000000000001</v>
      </c>
      <c r="N226" s="107">
        <v>1.6180000000000001</v>
      </c>
      <c r="O226" s="107">
        <v>1.6180000000000001</v>
      </c>
      <c r="P226" s="107">
        <v>1.6180000000000001</v>
      </c>
      <c r="Q226" s="107" t="s">
        <v>115</v>
      </c>
      <c r="R226" s="107" t="s">
        <v>115</v>
      </c>
      <c r="S226" s="28">
        <f t="shared" si="3"/>
        <v>1.6180000000000001</v>
      </c>
      <c r="T226" s="107"/>
      <c r="U226" s="107"/>
    </row>
    <row r="227" spans="1:21" s="348" customFormat="1" ht="15.75" customHeight="1">
      <c r="A227" s="261"/>
      <c r="B227" s="260" t="s">
        <v>4577</v>
      </c>
      <c r="C227" s="107"/>
      <c r="D227" s="260" t="s">
        <v>4576</v>
      </c>
      <c r="E227" s="107"/>
      <c r="F227" s="156">
        <v>40909</v>
      </c>
      <c r="G227" s="257"/>
      <c r="H227" s="107"/>
      <c r="I227" s="107"/>
      <c r="J227" s="107"/>
      <c r="K227" s="252" t="s">
        <v>1089</v>
      </c>
      <c r="L227" s="261">
        <v>1</v>
      </c>
      <c r="M227" s="107">
        <v>1.62</v>
      </c>
      <c r="N227" s="107">
        <v>1.62</v>
      </c>
      <c r="O227" s="107">
        <v>1.62</v>
      </c>
      <c r="P227" s="107">
        <v>1.62</v>
      </c>
      <c r="Q227" s="107" t="s">
        <v>115</v>
      </c>
      <c r="R227" s="107" t="s">
        <v>115</v>
      </c>
      <c r="S227" s="28">
        <f t="shared" si="3"/>
        <v>1.62</v>
      </c>
      <c r="T227" s="107"/>
      <c r="U227" s="107"/>
    </row>
    <row r="228" spans="1:21" s="348" customFormat="1" ht="25.5">
      <c r="A228" s="261"/>
      <c r="B228" s="260" t="s">
        <v>4538</v>
      </c>
      <c r="C228" s="107"/>
      <c r="D228" s="260" t="s">
        <v>4537</v>
      </c>
      <c r="E228" s="107"/>
      <c r="F228" s="156">
        <v>40909</v>
      </c>
      <c r="G228" s="257"/>
      <c r="H228" s="107"/>
      <c r="I228" s="107"/>
      <c r="J228" s="107"/>
      <c r="K228" s="252" t="s">
        <v>1089</v>
      </c>
      <c r="L228" s="261">
        <v>1</v>
      </c>
      <c r="M228" s="107">
        <v>1.6220000000000001</v>
      </c>
      <c r="N228" s="107">
        <v>1.6220000000000001</v>
      </c>
      <c r="O228" s="107">
        <v>1.6220000000000001</v>
      </c>
      <c r="P228" s="107">
        <v>1.6220000000000001</v>
      </c>
      <c r="Q228" s="107" t="s">
        <v>115</v>
      </c>
      <c r="R228" s="107" t="s">
        <v>115</v>
      </c>
      <c r="S228" s="28">
        <f t="shared" si="3"/>
        <v>1.6220000000000001</v>
      </c>
      <c r="T228" s="107"/>
      <c r="U228" s="107"/>
    </row>
    <row r="229" spans="1:21" s="348" customFormat="1" ht="25.5">
      <c r="A229" s="261"/>
      <c r="B229" s="260" t="s">
        <v>4428</v>
      </c>
      <c r="C229" s="107"/>
      <c r="D229" s="260" t="s">
        <v>4427</v>
      </c>
      <c r="E229" s="107"/>
      <c r="F229" s="156">
        <v>40909</v>
      </c>
      <c r="G229" s="257"/>
      <c r="H229" s="107"/>
      <c r="I229" s="107"/>
      <c r="J229" s="107"/>
      <c r="K229" s="252" t="s">
        <v>1089</v>
      </c>
      <c r="L229" s="261">
        <v>1</v>
      </c>
      <c r="M229" s="107">
        <v>1.6220000000000001</v>
      </c>
      <c r="N229" s="107">
        <v>1.6220000000000001</v>
      </c>
      <c r="O229" s="107">
        <v>1.6220000000000001</v>
      </c>
      <c r="P229" s="107">
        <v>1.6220000000000001</v>
      </c>
      <c r="Q229" s="107" t="s">
        <v>115</v>
      </c>
      <c r="R229" s="107" t="s">
        <v>115</v>
      </c>
      <c r="S229" s="28">
        <f t="shared" si="3"/>
        <v>1.6220000000000001</v>
      </c>
      <c r="T229" s="107"/>
      <c r="U229" s="107"/>
    </row>
    <row r="230" spans="1:21" s="348" customFormat="1" ht="25.5">
      <c r="A230" s="261"/>
      <c r="B230" s="260" t="s">
        <v>4482</v>
      </c>
      <c r="C230" s="107"/>
      <c r="D230" s="260" t="s">
        <v>4481</v>
      </c>
      <c r="E230" s="107"/>
      <c r="F230" s="156">
        <v>40909</v>
      </c>
      <c r="G230" s="257"/>
      <c r="H230" s="107"/>
      <c r="I230" s="107"/>
      <c r="J230" s="107"/>
      <c r="K230" s="252" t="s">
        <v>1089</v>
      </c>
      <c r="L230" s="261">
        <v>1</v>
      </c>
      <c r="M230" s="107">
        <v>1.6220000000000001</v>
      </c>
      <c r="N230" s="107">
        <v>1.6220000000000001</v>
      </c>
      <c r="O230" s="107">
        <v>1.6220000000000001</v>
      </c>
      <c r="P230" s="107">
        <v>1.6220000000000001</v>
      </c>
      <c r="Q230" s="107" t="s">
        <v>115</v>
      </c>
      <c r="R230" s="107" t="s">
        <v>115</v>
      </c>
      <c r="S230" s="28">
        <f t="shared" si="3"/>
        <v>1.6220000000000001</v>
      </c>
      <c r="T230" s="107"/>
      <c r="U230" s="107"/>
    </row>
    <row r="231" spans="1:21" s="348" customFormat="1" ht="25.5">
      <c r="A231" s="261"/>
      <c r="B231" s="260" t="s">
        <v>4658</v>
      </c>
      <c r="C231" s="107"/>
      <c r="D231" s="260" t="s">
        <v>4657</v>
      </c>
      <c r="E231" s="107"/>
      <c r="F231" s="156">
        <v>40909</v>
      </c>
      <c r="G231" s="257"/>
      <c r="H231" s="107"/>
      <c r="I231" s="107"/>
      <c r="J231" s="107"/>
      <c r="K231" s="252" t="s">
        <v>1089</v>
      </c>
      <c r="L231" s="261">
        <v>1</v>
      </c>
      <c r="M231" s="107">
        <v>1.6220000000000001</v>
      </c>
      <c r="N231" s="107">
        <v>1.6220000000000001</v>
      </c>
      <c r="O231" s="107">
        <v>1.6220000000000001</v>
      </c>
      <c r="P231" s="107">
        <v>1.6220000000000001</v>
      </c>
      <c r="Q231" s="107" t="s">
        <v>115</v>
      </c>
      <c r="R231" s="107" t="s">
        <v>115</v>
      </c>
      <c r="S231" s="28">
        <f t="shared" si="3"/>
        <v>1.6220000000000001</v>
      </c>
      <c r="T231" s="107"/>
      <c r="U231" s="107"/>
    </row>
    <row r="232" spans="1:21" s="348" customFormat="1" ht="25.5">
      <c r="A232" s="261"/>
      <c r="B232" s="260" t="s">
        <v>4502</v>
      </c>
      <c r="C232" s="107"/>
      <c r="D232" s="260" t="s">
        <v>4501</v>
      </c>
      <c r="E232" s="107"/>
      <c r="F232" s="156">
        <v>40909</v>
      </c>
      <c r="G232" s="257"/>
      <c r="H232" s="107"/>
      <c r="I232" s="107"/>
      <c r="J232" s="107"/>
      <c r="K232" s="252" t="s">
        <v>1089</v>
      </c>
      <c r="L232" s="261">
        <v>1</v>
      </c>
      <c r="M232" s="107">
        <v>1.6220000000000001</v>
      </c>
      <c r="N232" s="107">
        <v>1.6220000000000001</v>
      </c>
      <c r="O232" s="107">
        <v>1.6220000000000001</v>
      </c>
      <c r="P232" s="107">
        <v>1.6220000000000001</v>
      </c>
      <c r="Q232" s="107" t="s">
        <v>115</v>
      </c>
      <c r="R232" s="107" t="s">
        <v>115</v>
      </c>
      <c r="S232" s="28">
        <f t="shared" si="3"/>
        <v>1.6220000000000001</v>
      </c>
      <c r="T232" s="107"/>
      <c r="U232" s="107"/>
    </row>
    <row r="233" spans="1:21" s="348" customFormat="1" ht="25.5">
      <c r="A233" s="261"/>
      <c r="B233" s="260" t="s">
        <v>4614</v>
      </c>
      <c r="C233" s="107"/>
      <c r="D233" s="260" t="s">
        <v>4613</v>
      </c>
      <c r="E233" s="107"/>
      <c r="F233" s="156">
        <v>40909</v>
      </c>
      <c r="G233" s="257"/>
      <c r="H233" s="107"/>
      <c r="I233" s="107"/>
      <c r="J233" s="107"/>
      <c r="K233" s="252" t="s">
        <v>1089</v>
      </c>
      <c r="L233" s="261">
        <v>1</v>
      </c>
      <c r="M233" s="107">
        <v>1.6220000000000001</v>
      </c>
      <c r="N233" s="107">
        <v>1.6220000000000001</v>
      </c>
      <c r="O233" s="107">
        <v>1.6220000000000001</v>
      </c>
      <c r="P233" s="107">
        <v>1.6220000000000001</v>
      </c>
      <c r="Q233" s="107" t="s">
        <v>115</v>
      </c>
      <c r="R233" s="107" t="s">
        <v>115</v>
      </c>
      <c r="S233" s="28">
        <f t="shared" si="3"/>
        <v>1.6220000000000001</v>
      </c>
      <c r="T233" s="107"/>
      <c r="U233" s="107"/>
    </row>
    <row r="234" spans="1:21" s="348" customFormat="1" ht="25.5">
      <c r="A234" s="261"/>
      <c r="B234" s="260" t="s">
        <v>4618</v>
      </c>
      <c r="C234" s="107"/>
      <c r="D234" s="260" t="s">
        <v>4617</v>
      </c>
      <c r="E234" s="107"/>
      <c r="F234" s="156">
        <v>40909</v>
      </c>
      <c r="G234" s="257"/>
      <c r="H234" s="107"/>
      <c r="I234" s="107"/>
      <c r="J234" s="107"/>
      <c r="K234" s="252" t="s">
        <v>1089</v>
      </c>
      <c r="L234" s="261">
        <v>1</v>
      </c>
      <c r="M234" s="107">
        <v>1.6220000000000001</v>
      </c>
      <c r="N234" s="107">
        <v>1.6220000000000001</v>
      </c>
      <c r="O234" s="107">
        <v>1.6220000000000001</v>
      </c>
      <c r="P234" s="107">
        <v>1.6220000000000001</v>
      </c>
      <c r="Q234" s="107" t="s">
        <v>115</v>
      </c>
      <c r="R234" s="107" t="s">
        <v>115</v>
      </c>
      <c r="S234" s="28">
        <f t="shared" si="3"/>
        <v>1.6220000000000001</v>
      </c>
      <c r="T234" s="107"/>
      <c r="U234" s="107"/>
    </row>
    <row r="235" spans="1:21" s="348" customFormat="1" ht="25.5">
      <c r="A235" s="261"/>
      <c r="B235" s="260" t="s">
        <v>4441</v>
      </c>
      <c r="C235" s="107"/>
      <c r="D235" s="260" t="s">
        <v>4440</v>
      </c>
      <c r="E235" s="107"/>
      <c r="F235" s="156">
        <v>40909</v>
      </c>
      <c r="G235" s="257"/>
      <c r="H235" s="107"/>
      <c r="I235" s="107"/>
      <c r="J235" s="107"/>
      <c r="K235" s="252" t="s">
        <v>1089</v>
      </c>
      <c r="L235" s="261">
        <v>1</v>
      </c>
      <c r="M235" s="107">
        <v>1.6220000000000001</v>
      </c>
      <c r="N235" s="107">
        <v>1.6220000000000001</v>
      </c>
      <c r="O235" s="107">
        <v>1.6220000000000001</v>
      </c>
      <c r="P235" s="107">
        <v>1.6220000000000001</v>
      </c>
      <c r="Q235" s="107" t="s">
        <v>115</v>
      </c>
      <c r="R235" s="107" t="s">
        <v>115</v>
      </c>
      <c r="S235" s="28">
        <f t="shared" si="3"/>
        <v>1.6220000000000001</v>
      </c>
      <c r="T235" s="107"/>
      <c r="U235" s="107"/>
    </row>
    <row r="236" spans="1:21" s="348" customFormat="1" ht="25.5">
      <c r="A236" s="261"/>
      <c r="B236" s="260" t="s">
        <v>4630</v>
      </c>
      <c r="C236" s="107"/>
      <c r="D236" s="260" t="s">
        <v>4629</v>
      </c>
      <c r="E236" s="107"/>
      <c r="F236" s="156">
        <v>40909</v>
      </c>
      <c r="G236" s="257"/>
      <c r="H236" s="107"/>
      <c r="I236" s="107"/>
      <c r="J236" s="107"/>
      <c r="K236" s="252" t="s">
        <v>1089</v>
      </c>
      <c r="L236" s="261">
        <v>1</v>
      </c>
      <c r="M236" s="107">
        <v>1.6220000000000001</v>
      </c>
      <c r="N236" s="107">
        <v>1.6220000000000001</v>
      </c>
      <c r="O236" s="107">
        <v>1.6220000000000001</v>
      </c>
      <c r="P236" s="107">
        <v>1.6220000000000001</v>
      </c>
      <c r="Q236" s="107" t="s">
        <v>115</v>
      </c>
      <c r="R236" s="107" t="s">
        <v>115</v>
      </c>
      <c r="S236" s="28">
        <f t="shared" si="3"/>
        <v>1.6220000000000001</v>
      </c>
      <c r="T236" s="107"/>
      <c r="U236" s="107"/>
    </row>
    <row r="237" spans="1:21" s="348" customFormat="1" ht="25.5">
      <c r="A237" s="261"/>
      <c r="B237" s="260" t="s">
        <v>4500</v>
      </c>
      <c r="C237" s="107"/>
      <c r="D237" s="260" t="s">
        <v>4499</v>
      </c>
      <c r="E237" s="107"/>
      <c r="F237" s="156">
        <v>40909</v>
      </c>
      <c r="G237" s="257"/>
      <c r="H237" s="107"/>
      <c r="I237" s="107"/>
      <c r="J237" s="107"/>
      <c r="K237" s="252" t="s">
        <v>1089</v>
      </c>
      <c r="L237" s="261">
        <v>1</v>
      </c>
      <c r="M237" s="107">
        <v>1.6220000000000001</v>
      </c>
      <c r="N237" s="107">
        <v>1.6220000000000001</v>
      </c>
      <c r="O237" s="107">
        <v>1.6220000000000001</v>
      </c>
      <c r="P237" s="107">
        <v>1.6220000000000001</v>
      </c>
      <c r="Q237" s="107" t="s">
        <v>115</v>
      </c>
      <c r="R237" s="107" t="s">
        <v>115</v>
      </c>
      <c r="S237" s="28">
        <f t="shared" si="3"/>
        <v>1.6220000000000001</v>
      </c>
      <c r="T237" s="107"/>
      <c r="U237" s="107"/>
    </row>
    <row r="238" spans="1:21" s="348" customFormat="1" ht="25.5">
      <c r="A238" s="261"/>
      <c r="B238" s="260" t="s">
        <v>4420</v>
      </c>
      <c r="C238" s="107"/>
      <c r="D238" s="260" t="s">
        <v>4419</v>
      </c>
      <c r="E238" s="107"/>
      <c r="F238" s="156">
        <v>40909</v>
      </c>
      <c r="G238" s="257"/>
      <c r="H238" s="107"/>
      <c r="I238" s="107"/>
      <c r="J238" s="107"/>
      <c r="K238" s="252" t="s">
        <v>1089</v>
      </c>
      <c r="L238" s="261">
        <v>1</v>
      </c>
      <c r="M238" s="107">
        <v>1.6220000000000001</v>
      </c>
      <c r="N238" s="107">
        <v>1.6220000000000001</v>
      </c>
      <c r="O238" s="107">
        <v>1.6220000000000001</v>
      </c>
      <c r="P238" s="107">
        <v>1.6220000000000001</v>
      </c>
      <c r="Q238" s="107" t="s">
        <v>115</v>
      </c>
      <c r="R238" s="107" t="s">
        <v>115</v>
      </c>
      <c r="S238" s="28">
        <f t="shared" si="3"/>
        <v>1.6220000000000001</v>
      </c>
      <c r="T238" s="107"/>
      <c r="U238" s="107"/>
    </row>
    <row r="239" spans="1:21" s="348" customFormat="1" ht="25.5">
      <c r="A239" s="261"/>
      <c r="B239" s="260" t="s">
        <v>4433</v>
      </c>
      <c r="C239" s="107"/>
      <c r="D239" s="260" t="s">
        <v>4432</v>
      </c>
      <c r="E239" s="107"/>
      <c r="F239" s="156">
        <v>40909</v>
      </c>
      <c r="G239" s="257"/>
      <c r="H239" s="107"/>
      <c r="I239" s="107"/>
      <c r="J239" s="107"/>
      <c r="K239" s="252" t="s">
        <v>1089</v>
      </c>
      <c r="L239" s="261">
        <v>1</v>
      </c>
      <c r="M239" s="107">
        <v>1.6220000000000001</v>
      </c>
      <c r="N239" s="107">
        <v>1.6220000000000001</v>
      </c>
      <c r="O239" s="107">
        <v>1.6220000000000001</v>
      </c>
      <c r="P239" s="107">
        <v>1.6220000000000001</v>
      </c>
      <c r="Q239" s="107" t="s">
        <v>115</v>
      </c>
      <c r="R239" s="107" t="s">
        <v>115</v>
      </c>
      <c r="S239" s="28">
        <f t="shared" si="3"/>
        <v>1.6220000000000001</v>
      </c>
      <c r="T239" s="107"/>
      <c r="U239" s="107"/>
    </row>
    <row r="240" spans="1:21" s="348" customFormat="1" ht="25.5">
      <c r="A240" s="261"/>
      <c r="B240" s="260" t="s">
        <v>4575</v>
      </c>
      <c r="C240" s="107"/>
      <c r="D240" s="260" t="s">
        <v>1126</v>
      </c>
      <c r="E240" s="107"/>
      <c r="F240" s="156">
        <v>40909</v>
      </c>
      <c r="G240" s="257"/>
      <c r="H240" s="107"/>
      <c r="I240" s="107"/>
      <c r="J240" s="107"/>
      <c r="K240" s="252" t="s">
        <v>1089</v>
      </c>
      <c r="L240" s="261">
        <v>1</v>
      </c>
      <c r="M240" s="107">
        <v>1.6220000000000001</v>
      </c>
      <c r="N240" s="107">
        <v>1.6220000000000001</v>
      </c>
      <c r="O240" s="107">
        <v>1.6220000000000001</v>
      </c>
      <c r="P240" s="107">
        <v>1.6220000000000001</v>
      </c>
      <c r="Q240" s="107" t="s">
        <v>115</v>
      </c>
      <c r="R240" s="107" t="s">
        <v>115</v>
      </c>
      <c r="S240" s="28">
        <f t="shared" si="3"/>
        <v>1.6220000000000001</v>
      </c>
      <c r="T240" s="107"/>
      <c r="U240" s="107"/>
    </row>
    <row r="241" spans="1:21" s="348" customFormat="1" ht="25.5">
      <c r="A241" s="261"/>
      <c r="B241" s="260" t="s">
        <v>4673</v>
      </c>
      <c r="C241" s="107"/>
      <c r="D241" s="260" t="s">
        <v>4672</v>
      </c>
      <c r="E241" s="107"/>
      <c r="F241" s="156">
        <v>40909</v>
      </c>
      <c r="G241" s="257"/>
      <c r="H241" s="107"/>
      <c r="I241" s="107"/>
      <c r="J241" s="107"/>
      <c r="K241" s="252" t="s">
        <v>1089</v>
      </c>
      <c r="L241" s="261">
        <v>1</v>
      </c>
      <c r="M241" s="107">
        <v>1.6220000000000001</v>
      </c>
      <c r="N241" s="107">
        <v>1.6220000000000001</v>
      </c>
      <c r="O241" s="107">
        <v>1.6220000000000001</v>
      </c>
      <c r="P241" s="107">
        <v>1.6220000000000001</v>
      </c>
      <c r="Q241" s="107" t="s">
        <v>115</v>
      </c>
      <c r="R241" s="107" t="s">
        <v>115</v>
      </c>
      <c r="S241" s="28">
        <f t="shared" si="3"/>
        <v>1.6220000000000001</v>
      </c>
      <c r="T241" s="107"/>
      <c r="U241" s="107"/>
    </row>
    <row r="242" spans="1:21" s="348" customFormat="1" ht="25.5">
      <c r="A242" s="261"/>
      <c r="B242" s="260" t="s">
        <v>4634</v>
      </c>
      <c r="C242" s="107"/>
      <c r="D242" s="260" t="s">
        <v>4633</v>
      </c>
      <c r="E242" s="107"/>
      <c r="F242" s="156">
        <v>40909</v>
      </c>
      <c r="G242" s="257"/>
      <c r="H242" s="107"/>
      <c r="I242" s="107"/>
      <c r="J242" s="107"/>
      <c r="K242" s="252" t="s">
        <v>1089</v>
      </c>
      <c r="L242" s="261">
        <v>1</v>
      </c>
      <c r="M242" s="107">
        <v>1.6220000000000001</v>
      </c>
      <c r="N242" s="107">
        <v>1.6220000000000001</v>
      </c>
      <c r="O242" s="107">
        <v>1.6220000000000001</v>
      </c>
      <c r="P242" s="107">
        <v>1.6220000000000001</v>
      </c>
      <c r="Q242" s="107" t="s">
        <v>115</v>
      </c>
      <c r="R242" s="107" t="s">
        <v>115</v>
      </c>
      <c r="S242" s="28">
        <f t="shared" si="3"/>
        <v>1.6220000000000001</v>
      </c>
      <c r="T242" s="107"/>
      <c r="U242" s="107"/>
    </row>
    <row r="243" spans="1:21" s="348" customFormat="1" ht="25.5">
      <c r="A243" s="261"/>
      <c r="B243" s="260" t="s">
        <v>4486</v>
      </c>
      <c r="C243" s="107"/>
      <c r="D243" s="260" t="s">
        <v>4485</v>
      </c>
      <c r="E243" s="107"/>
      <c r="F243" s="156">
        <v>40909</v>
      </c>
      <c r="G243" s="257"/>
      <c r="H243" s="107"/>
      <c r="I243" s="107"/>
      <c r="J243" s="107"/>
      <c r="K243" s="252" t="s">
        <v>1089</v>
      </c>
      <c r="L243" s="261">
        <v>1</v>
      </c>
      <c r="M243" s="107">
        <v>1.6220000000000001</v>
      </c>
      <c r="N243" s="107">
        <v>1.6220000000000001</v>
      </c>
      <c r="O243" s="107">
        <v>1.6220000000000001</v>
      </c>
      <c r="P243" s="107">
        <v>1.6220000000000001</v>
      </c>
      <c r="Q243" s="107" t="s">
        <v>115</v>
      </c>
      <c r="R243" s="107" t="s">
        <v>115</v>
      </c>
      <c r="S243" s="28">
        <f t="shared" si="3"/>
        <v>1.6220000000000001</v>
      </c>
      <c r="T243" s="107"/>
      <c r="U243" s="107"/>
    </row>
    <row r="244" spans="1:21" s="348" customFormat="1" ht="25.5">
      <c r="A244" s="261"/>
      <c r="B244" s="260" t="s">
        <v>4507</v>
      </c>
      <c r="C244" s="107"/>
      <c r="D244" s="260" t="s">
        <v>4506</v>
      </c>
      <c r="E244" s="107"/>
      <c r="F244" s="156">
        <v>40909</v>
      </c>
      <c r="G244" s="257"/>
      <c r="H244" s="107"/>
      <c r="I244" s="107"/>
      <c r="J244" s="107"/>
      <c r="K244" s="252" t="s">
        <v>1089</v>
      </c>
      <c r="L244" s="261">
        <v>1</v>
      </c>
      <c r="M244" s="107">
        <v>1.6220000000000001</v>
      </c>
      <c r="N244" s="107">
        <v>1.6220000000000001</v>
      </c>
      <c r="O244" s="107">
        <v>1.6220000000000001</v>
      </c>
      <c r="P244" s="107">
        <v>1.6220000000000001</v>
      </c>
      <c r="Q244" s="107" t="s">
        <v>115</v>
      </c>
      <c r="R244" s="107" t="s">
        <v>115</v>
      </c>
      <c r="S244" s="28">
        <f t="shared" si="3"/>
        <v>1.6220000000000001</v>
      </c>
      <c r="T244" s="107"/>
      <c r="U244" s="107"/>
    </row>
    <row r="245" spans="1:21" s="348" customFormat="1" ht="25.5">
      <c r="A245" s="261"/>
      <c r="B245" s="260" t="s">
        <v>4504</v>
      </c>
      <c r="C245" s="107"/>
      <c r="D245" s="260" t="s">
        <v>4503</v>
      </c>
      <c r="E245" s="107"/>
      <c r="F245" s="156">
        <v>40909</v>
      </c>
      <c r="G245" s="257"/>
      <c r="H245" s="107"/>
      <c r="I245" s="107"/>
      <c r="J245" s="107"/>
      <c r="K245" s="252" t="s">
        <v>1089</v>
      </c>
      <c r="L245" s="261">
        <v>1</v>
      </c>
      <c r="M245" s="107">
        <v>1.6220000000000001</v>
      </c>
      <c r="N245" s="107">
        <v>1.6220000000000001</v>
      </c>
      <c r="O245" s="107">
        <v>1.6220000000000001</v>
      </c>
      <c r="P245" s="107">
        <v>1.6220000000000001</v>
      </c>
      <c r="Q245" s="107" t="s">
        <v>115</v>
      </c>
      <c r="R245" s="107" t="s">
        <v>115</v>
      </c>
      <c r="S245" s="28">
        <f t="shared" si="3"/>
        <v>1.6220000000000001</v>
      </c>
      <c r="T245" s="107"/>
      <c r="U245" s="107"/>
    </row>
    <row r="246" spans="1:21" s="348" customFormat="1" ht="25.5">
      <c r="A246" s="261"/>
      <c r="B246" s="260" t="s">
        <v>4424</v>
      </c>
      <c r="C246" s="107"/>
      <c r="D246" s="260" t="s">
        <v>4423</v>
      </c>
      <c r="E246" s="107"/>
      <c r="F246" s="156">
        <v>40909</v>
      </c>
      <c r="G246" s="257"/>
      <c r="H246" s="107"/>
      <c r="I246" s="107"/>
      <c r="J246" s="107"/>
      <c r="K246" s="252" t="s">
        <v>1089</v>
      </c>
      <c r="L246" s="261">
        <v>1</v>
      </c>
      <c r="M246" s="107">
        <v>1.6220000000000001</v>
      </c>
      <c r="N246" s="107">
        <v>1.6220000000000001</v>
      </c>
      <c r="O246" s="107">
        <v>1.6220000000000001</v>
      </c>
      <c r="P246" s="107">
        <v>1.6220000000000001</v>
      </c>
      <c r="Q246" s="107" t="s">
        <v>115</v>
      </c>
      <c r="R246" s="107" t="s">
        <v>115</v>
      </c>
      <c r="S246" s="28">
        <f t="shared" si="3"/>
        <v>1.6220000000000001</v>
      </c>
      <c r="T246" s="107"/>
      <c r="U246" s="107"/>
    </row>
    <row r="247" spans="1:21" s="348" customFormat="1" ht="25.5">
      <c r="A247" s="261"/>
      <c r="B247" s="260" t="s">
        <v>4558</v>
      </c>
      <c r="C247" s="107"/>
      <c r="D247" s="260" t="s">
        <v>4557</v>
      </c>
      <c r="E247" s="107"/>
      <c r="F247" s="156">
        <v>40909</v>
      </c>
      <c r="G247" s="257"/>
      <c r="H247" s="107"/>
      <c r="I247" s="107"/>
      <c r="J247" s="107"/>
      <c r="K247" s="252" t="s">
        <v>1089</v>
      </c>
      <c r="L247" s="261">
        <v>1</v>
      </c>
      <c r="M247" s="107">
        <v>1.6220000000000001</v>
      </c>
      <c r="N247" s="107">
        <v>1.6220000000000001</v>
      </c>
      <c r="O247" s="107">
        <v>1.6220000000000001</v>
      </c>
      <c r="P247" s="107">
        <v>1.6220000000000001</v>
      </c>
      <c r="Q247" s="107" t="s">
        <v>115</v>
      </c>
      <c r="R247" s="107" t="s">
        <v>115</v>
      </c>
      <c r="S247" s="28">
        <f t="shared" si="3"/>
        <v>1.6220000000000001</v>
      </c>
      <c r="T247" s="107"/>
      <c r="U247" s="107"/>
    </row>
    <row r="248" spans="1:21" s="348" customFormat="1" ht="25.5">
      <c r="A248" s="261"/>
      <c r="B248" s="260" t="s">
        <v>4668</v>
      </c>
      <c r="C248" s="107"/>
      <c r="D248" s="260" t="s">
        <v>4667</v>
      </c>
      <c r="E248" s="107"/>
      <c r="F248" s="156">
        <v>40909</v>
      </c>
      <c r="G248" s="257"/>
      <c r="H248" s="107"/>
      <c r="I248" s="107"/>
      <c r="J248" s="107"/>
      <c r="K248" s="252" t="s">
        <v>1089</v>
      </c>
      <c r="L248" s="261">
        <v>1</v>
      </c>
      <c r="M248" s="107">
        <v>1.6220000000000001</v>
      </c>
      <c r="N248" s="107">
        <v>1.6220000000000001</v>
      </c>
      <c r="O248" s="107">
        <v>1.6220000000000001</v>
      </c>
      <c r="P248" s="107">
        <v>1.6220000000000001</v>
      </c>
      <c r="Q248" s="107" t="s">
        <v>115</v>
      </c>
      <c r="R248" s="107" t="s">
        <v>115</v>
      </c>
      <c r="S248" s="28">
        <f t="shared" si="3"/>
        <v>1.6220000000000001</v>
      </c>
      <c r="T248" s="107"/>
      <c r="U248" s="107"/>
    </row>
    <row r="249" spans="1:21" s="348" customFormat="1" ht="25.5">
      <c r="A249" s="261"/>
      <c r="B249" s="260" t="s">
        <v>4426</v>
      </c>
      <c r="C249" s="107"/>
      <c r="D249" s="260" t="s">
        <v>4425</v>
      </c>
      <c r="E249" s="107"/>
      <c r="F249" s="156">
        <v>40909</v>
      </c>
      <c r="G249" s="257"/>
      <c r="H249" s="107"/>
      <c r="I249" s="107"/>
      <c r="J249" s="107"/>
      <c r="K249" s="252" t="s">
        <v>1089</v>
      </c>
      <c r="L249" s="261">
        <v>1</v>
      </c>
      <c r="M249" s="107">
        <v>1.6220000000000001</v>
      </c>
      <c r="N249" s="107">
        <v>1.6220000000000001</v>
      </c>
      <c r="O249" s="107">
        <v>1.6220000000000001</v>
      </c>
      <c r="P249" s="107">
        <v>1.6220000000000001</v>
      </c>
      <c r="Q249" s="107" t="s">
        <v>115</v>
      </c>
      <c r="R249" s="107" t="s">
        <v>115</v>
      </c>
      <c r="S249" s="28">
        <f t="shared" si="3"/>
        <v>1.6220000000000001</v>
      </c>
      <c r="T249" s="107"/>
      <c r="U249" s="107"/>
    </row>
    <row r="250" spans="1:21" s="348" customFormat="1" ht="25.5">
      <c r="A250" s="261"/>
      <c r="B250" s="260" t="s">
        <v>4431</v>
      </c>
      <c r="C250" s="107"/>
      <c r="D250" s="260" t="s">
        <v>4430</v>
      </c>
      <c r="E250" s="107"/>
      <c r="F250" s="156">
        <v>40909</v>
      </c>
      <c r="G250" s="257"/>
      <c r="H250" s="107"/>
      <c r="I250" s="107"/>
      <c r="J250" s="107"/>
      <c r="K250" s="252" t="s">
        <v>1089</v>
      </c>
      <c r="L250" s="261">
        <v>1</v>
      </c>
      <c r="M250" s="107">
        <v>1.6220000000000001</v>
      </c>
      <c r="N250" s="107">
        <v>1.6220000000000001</v>
      </c>
      <c r="O250" s="107">
        <v>1.6220000000000001</v>
      </c>
      <c r="P250" s="107">
        <v>1.6220000000000001</v>
      </c>
      <c r="Q250" s="107" t="s">
        <v>115</v>
      </c>
      <c r="R250" s="107" t="s">
        <v>115</v>
      </c>
      <c r="S250" s="28">
        <f t="shared" ref="S250:S281" si="4">AVERAGE(M250:R250)</f>
        <v>1.6220000000000001</v>
      </c>
      <c r="T250" s="107"/>
      <c r="U250" s="107"/>
    </row>
    <row r="251" spans="1:21" s="348" customFormat="1" ht="25.5" customHeight="1">
      <c r="A251" s="261"/>
      <c r="B251" s="260" t="s">
        <v>4448</v>
      </c>
      <c r="C251" s="107"/>
      <c r="D251" s="260" t="s">
        <v>4447</v>
      </c>
      <c r="E251" s="107"/>
      <c r="F251" s="156">
        <v>40909</v>
      </c>
      <c r="G251" s="257"/>
      <c r="H251" s="107"/>
      <c r="I251" s="107"/>
      <c r="J251" s="107"/>
      <c r="K251" s="252" t="s">
        <v>1089</v>
      </c>
      <c r="L251" s="261">
        <v>1</v>
      </c>
      <c r="M251" s="107">
        <v>1.6220000000000001</v>
      </c>
      <c r="N251" s="107">
        <v>1.6220000000000001</v>
      </c>
      <c r="O251" s="107">
        <v>1.6220000000000001</v>
      </c>
      <c r="P251" s="107">
        <v>1.6220000000000001</v>
      </c>
      <c r="Q251" s="107" t="s">
        <v>115</v>
      </c>
      <c r="R251" s="107" t="s">
        <v>115</v>
      </c>
      <c r="S251" s="28">
        <f t="shared" si="4"/>
        <v>1.6220000000000001</v>
      </c>
      <c r="T251" s="107"/>
      <c r="U251" s="107"/>
    </row>
    <row r="252" spans="1:21" s="348" customFormat="1" ht="25.5">
      <c r="A252" s="261"/>
      <c r="B252" s="260" t="s">
        <v>4496</v>
      </c>
      <c r="C252" s="107"/>
      <c r="D252" s="260" t="s">
        <v>4495</v>
      </c>
      <c r="E252" s="107"/>
      <c r="F252" s="156">
        <v>40909</v>
      </c>
      <c r="G252" s="257"/>
      <c r="H252" s="107"/>
      <c r="I252" s="107"/>
      <c r="J252" s="107"/>
      <c r="K252" s="252" t="s">
        <v>1089</v>
      </c>
      <c r="L252" s="261">
        <v>1</v>
      </c>
      <c r="M252" s="107">
        <v>1.6220000000000001</v>
      </c>
      <c r="N252" s="107">
        <v>1.6220000000000001</v>
      </c>
      <c r="O252" s="107">
        <v>1.6220000000000001</v>
      </c>
      <c r="P252" s="107">
        <v>1.6220000000000001</v>
      </c>
      <c r="Q252" s="107" t="s">
        <v>115</v>
      </c>
      <c r="R252" s="107" t="s">
        <v>115</v>
      </c>
      <c r="S252" s="28">
        <f t="shared" si="4"/>
        <v>1.6220000000000001</v>
      </c>
      <c r="T252" s="107"/>
      <c r="U252" s="107"/>
    </row>
    <row r="253" spans="1:21" s="405" customFormat="1" ht="25.5">
      <c r="A253" s="261"/>
      <c r="B253" s="260" t="s">
        <v>4550</v>
      </c>
      <c r="C253" s="107"/>
      <c r="D253" s="260" t="s">
        <v>4549</v>
      </c>
      <c r="E253" s="107"/>
      <c r="F253" s="156">
        <v>40909</v>
      </c>
      <c r="G253" s="257"/>
      <c r="H253" s="107"/>
      <c r="I253" s="107"/>
      <c r="J253" s="107"/>
      <c r="K253" s="252" t="s">
        <v>1089</v>
      </c>
      <c r="L253" s="261">
        <v>1</v>
      </c>
      <c r="M253" s="107">
        <v>1.6220000000000001</v>
      </c>
      <c r="N253" s="107">
        <v>1.6220000000000001</v>
      </c>
      <c r="O253" s="107">
        <v>1.6220000000000001</v>
      </c>
      <c r="P253" s="107">
        <v>1.6220000000000001</v>
      </c>
      <c r="Q253" s="107" t="s">
        <v>115</v>
      </c>
      <c r="R253" s="107" t="s">
        <v>115</v>
      </c>
      <c r="S253" s="28">
        <f t="shared" si="4"/>
        <v>1.6220000000000001</v>
      </c>
      <c r="T253" s="107"/>
      <c r="U253" s="107"/>
    </row>
    <row r="254" spans="1:21" s="348" customFormat="1" ht="25.5">
      <c r="A254" s="261"/>
      <c r="B254" s="260" t="s">
        <v>4678</v>
      </c>
      <c r="C254" s="107"/>
      <c r="D254" s="260" t="s">
        <v>4677</v>
      </c>
      <c r="E254" s="107"/>
      <c r="F254" s="156">
        <v>40909</v>
      </c>
      <c r="G254" s="257"/>
      <c r="H254" s="107"/>
      <c r="I254" s="107"/>
      <c r="J254" s="107"/>
      <c r="K254" s="252" t="s">
        <v>1089</v>
      </c>
      <c r="L254" s="261">
        <v>1</v>
      </c>
      <c r="M254" s="107">
        <v>1.6220000000000001</v>
      </c>
      <c r="N254" s="107">
        <v>1.6220000000000001</v>
      </c>
      <c r="O254" s="107">
        <v>1.6220000000000001</v>
      </c>
      <c r="P254" s="107">
        <v>1.6220000000000001</v>
      </c>
      <c r="Q254" s="107" t="s">
        <v>115</v>
      </c>
      <c r="R254" s="107" t="s">
        <v>115</v>
      </c>
      <c r="S254" s="28">
        <f t="shared" si="4"/>
        <v>1.6220000000000001</v>
      </c>
      <c r="T254" s="107"/>
      <c r="U254" s="107"/>
    </row>
    <row r="255" spans="1:21" s="348" customFormat="1" ht="25.5">
      <c r="A255" s="261"/>
      <c r="B255" s="260" t="s">
        <v>4649</v>
      </c>
      <c r="C255" s="107"/>
      <c r="D255" s="260" t="s">
        <v>4648</v>
      </c>
      <c r="E255" s="107"/>
      <c r="F255" s="156">
        <v>40909</v>
      </c>
      <c r="G255" s="257"/>
      <c r="H255" s="107"/>
      <c r="I255" s="107"/>
      <c r="J255" s="107"/>
      <c r="K255" s="252" t="s">
        <v>1089</v>
      </c>
      <c r="L255" s="261">
        <v>1</v>
      </c>
      <c r="M255" s="107">
        <v>1.6220000000000001</v>
      </c>
      <c r="N255" s="107">
        <v>1.6220000000000001</v>
      </c>
      <c r="O255" s="107">
        <v>1.6220000000000001</v>
      </c>
      <c r="P255" s="107">
        <v>1.6220000000000001</v>
      </c>
      <c r="Q255" s="107" t="s">
        <v>115</v>
      </c>
      <c r="R255" s="107" t="s">
        <v>115</v>
      </c>
      <c r="S255" s="28">
        <f t="shared" si="4"/>
        <v>1.6220000000000001</v>
      </c>
      <c r="T255" s="107"/>
      <c r="U255" s="107"/>
    </row>
    <row r="256" spans="1:21" s="348" customFormat="1" ht="25.5">
      <c r="A256" s="261"/>
      <c r="B256" s="260" t="s">
        <v>4466</v>
      </c>
      <c r="C256" s="107"/>
      <c r="D256" s="260" t="s">
        <v>4465</v>
      </c>
      <c r="E256" s="107"/>
      <c r="F256" s="156">
        <v>40909</v>
      </c>
      <c r="G256" s="257"/>
      <c r="H256" s="107"/>
      <c r="I256" s="107"/>
      <c r="J256" s="107"/>
      <c r="K256" s="252" t="s">
        <v>1089</v>
      </c>
      <c r="L256" s="261">
        <v>1</v>
      </c>
      <c r="M256" s="107">
        <v>1.6220000000000001</v>
      </c>
      <c r="N256" s="107">
        <v>1.6220000000000001</v>
      </c>
      <c r="O256" s="107">
        <v>1.6220000000000001</v>
      </c>
      <c r="P256" s="107">
        <v>1.6220000000000001</v>
      </c>
      <c r="Q256" s="107" t="s">
        <v>115</v>
      </c>
      <c r="R256" s="107" t="s">
        <v>115</v>
      </c>
      <c r="S256" s="28">
        <f t="shared" si="4"/>
        <v>1.6220000000000001</v>
      </c>
      <c r="T256" s="107"/>
      <c r="U256" s="107"/>
    </row>
    <row r="257" spans="1:21" s="348" customFormat="1" ht="25.5">
      <c r="A257" s="261"/>
      <c r="B257" s="260" t="s">
        <v>4656</v>
      </c>
      <c r="C257" s="107"/>
      <c r="D257" s="260" t="s">
        <v>4655</v>
      </c>
      <c r="E257" s="107"/>
      <c r="F257" s="156">
        <v>40909</v>
      </c>
      <c r="G257" s="257"/>
      <c r="H257" s="107"/>
      <c r="I257" s="107"/>
      <c r="J257" s="107"/>
      <c r="K257" s="252" t="s">
        <v>1089</v>
      </c>
      <c r="L257" s="261">
        <v>1</v>
      </c>
      <c r="M257" s="107">
        <v>1.6220000000000001</v>
      </c>
      <c r="N257" s="107">
        <v>1.6220000000000001</v>
      </c>
      <c r="O257" s="107">
        <v>1.6220000000000001</v>
      </c>
      <c r="P257" s="107">
        <v>1.6220000000000001</v>
      </c>
      <c r="Q257" s="107" t="s">
        <v>115</v>
      </c>
      <c r="R257" s="107" t="s">
        <v>115</v>
      </c>
      <c r="S257" s="28">
        <f t="shared" si="4"/>
        <v>1.6220000000000001</v>
      </c>
      <c r="T257" s="107"/>
      <c r="U257" s="107"/>
    </row>
    <row r="258" spans="1:21" s="348" customFormat="1" ht="25.5">
      <c r="A258" s="261"/>
      <c r="B258" s="260" t="s">
        <v>4660</v>
      </c>
      <c r="C258" s="107"/>
      <c r="D258" s="260" t="s">
        <v>4659</v>
      </c>
      <c r="E258" s="107"/>
      <c r="F258" s="156">
        <v>40909</v>
      </c>
      <c r="G258" s="257"/>
      <c r="H258" s="107"/>
      <c r="I258" s="107"/>
      <c r="J258" s="107"/>
      <c r="K258" s="252" t="s">
        <v>1089</v>
      </c>
      <c r="L258" s="261">
        <v>1</v>
      </c>
      <c r="M258" s="107">
        <v>1.635</v>
      </c>
      <c r="N258" s="107">
        <v>1.635</v>
      </c>
      <c r="O258" s="107">
        <v>1.635</v>
      </c>
      <c r="P258" s="107">
        <v>1.635</v>
      </c>
      <c r="Q258" s="107" t="s">
        <v>115</v>
      </c>
      <c r="R258" s="107" t="s">
        <v>115</v>
      </c>
      <c r="S258" s="28">
        <f t="shared" si="4"/>
        <v>1.635</v>
      </c>
      <c r="T258" s="107"/>
      <c r="U258" s="107"/>
    </row>
    <row r="259" spans="1:21" s="405" customFormat="1" ht="25.5">
      <c r="A259" s="261"/>
      <c r="B259" s="260" t="s">
        <v>4462</v>
      </c>
      <c r="C259" s="107"/>
      <c r="D259" s="260" t="s">
        <v>4461</v>
      </c>
      <c r="E259" s="107"/>
      <c r="F259" s="156">
        <v>40909</v>
      </c>
      <c r="G259" s="257"/>
      <c r="H259" s="107"/>
      <c r="I259" s="107"/>
      <c r="J259" s="107"/>
      <c r="K259" s="252" t="s">
        <v>1089</v>
      </c>
      <c r="L259" s="261">
        <v>1</v>
      </c>
      <c r="M259" s="107">
        <v>1.67</v>
      </c>
      <c r="N259" s="107">
        <v>1.67</v>
      </c>
      <c r="O259" s="107">
        <v>1.67</v>
      </c>
      <c r="P259" s="107">
        <v>1.67</v>
      </c>
      <c r="Q259" s="107" t="s">
        <v>115</v>
      </c>
      <c r="R259" s="107" t="s">
        <v>115</v>
      </c>
      <c r="S259" s="28">
        <f t="shared" si="4"/>
        <v>1.67</v>
      </c>
      <c r="T259" s="107"/>
      <c r="U259" s="107"/>
    </row>
    <row r="260" spans="1:21" s="405" customFormat="1" ht="25.5">
      <c r="A260" s="261"/>
      <c r="B260" s="260" t="s">
        <v>4450</v>
      </c>
      <c r="C260" s="107"/>
      <c r="D260" s="260" t="s">
        <v>4449</v>
      </c>
      <c r="E260" s="107"/>
      <c r="F260" s="156">
        <v>40909</v>
      </c>
      <c r="G260" s="257"/>
      <c r="H260" s="107"/>
      <c r="I260" s="107"/>
      <c r="J260" s="107"/>
      <c r="K260" s="252" t="s">
        <v>1089</v>
      </c>
      <c r="L260" s="261">
        <v>1.1000000000000001</v>
      </c>
      <c r="M260" s="107">
        <v>1.796</v>
      </c>
      <c r="N260" s="107">
        <v>1.796</v>
      </c>
      <c r="O260" s="107">
        <v>1.796</v>
      </c>
      <c r="P260" s="107">
        <v>1.796</v>
      </c>
      <c r="Q260" s="107" t="s">
        <v>115</v>
      </c>
      <c r="R260" s="107" t="s">
        <v>115</v>
      </c>
      <c r="S260" s="28">
        <f t="shared" si="4"/>
        <v>1.796</v>
      </c>
      <c r="T260" s="107"/>
      <c r="U260" s="107"/>
    </row>
    <row r="261" spans="1:21" s="348" customFormat="1" ht="25.5">
      <c r="A261" s="261"/>
      <c r="B261" s="260" t="s">
        <v>4608</v>
      </c>
      <c r="C261" s="107"/>
      <c r="D261" s="260" t="s">
        <v>4607</v>
      </c>
      <c r="E261" s="107"/>
      <c r="F261" s="156">
        <v>40909</v>
      </c>
      <c r="G261" s="257"/>
      <c r="H261" s="107"/>
      <c r="I261" s="107"/>
      <c r="J261" s="107"/>
      <c r="K261" s="252" t="s">
        <v>1089</v>
      </c>
      <c r="L261" s="261">
        <v>1.1000000000000001</v>
      </c>
      <c r="M261" s="107">
        <v>1.802</v>
      </c>
      <c r="N261" s="107">
        <v>1.802</v>
      </c>
      <c r="O261" s="107">
        <v>1.802</v>
      </c>
      <c r="P261" s="107">
        <v>1.802</v>
      </c>
      <c r="Q261" s="107" t="s">
        <v>115</v>
      </c>
      <c r="R261" s="107" t="s">
        <v>115</v>
      </c>
      <c r="S261" s="28">
        <f t="shared" si="4"/>
        <v>1.802</v>
      </c>
      <c r="T261" s="107"/>
      <c r="U261" s="107"/>
    </row>
    <row r="262" spans="1:21" s="405" customFormat="1" ht="25.5">
      <c r="A262" s="261"/>
      <c r="B262" s="260" t="s">
        <v>4628</v>
      </c>
      <c r="C262" s="107"/>
      <c r="D262" s="260" t="s">
        <v>4627</v>
      </c>
      <c r="E262" s="107"/>
      <c r="F262" s="156">
        <v>40909</v>
      </c>
      <c r="G262" s="257"/>
      <c r="H262" s="107"/>
      <c r="I262" s="107"/>
      <c r="J262" s="107"/>
      <c r="K262" s="252" t="s">
        <v>1089</v>
      </c>
      <c r="L262" s="261">
        <v>1.1000000000000001</v>
      </c>
      <c r="M262" s="107">
        <v>1.841</v>
      </c>
      <c r="N262" s="107">
        <v>1.841</v>
      </c>
      <c r="O262" s="107">
        <v>1.841</v>
      </c>
      <c r="P262" s="107">
        <v>1.841</v>
      </c>
      <c r="Q262" s="107" t="s">
        <v>115</v>
      </c>
      <c r="R262" s="107" t="s">
        <v>115</v>
      </c>
      <c r="S262" s="28">
        <f t="shared" si="4"/>
        <v>1.841</v>
      </c>
      <c r="T262" s="107"/>
      <c r="U262" s="107"/>
    </row>
    <row r="263" spans="1:21" s="348" customFormat="1" ht="25.5">
      <c r="A263" s="261"/>
      <c r="B263" s="260" t="s">
        <v>4439</v>
      </c>
      <c r="C263" s="107"/>
      <c r="D263" s="260" t="s">
        <v>4438</v>
      </c>
      <c r="E263" s="107"/>
      <c r="F263" s="156">
        <v>40909</v>
      </c>
      <c r="G263" s="257"/>
      <c r="H263" s="107"/>
      <c r="I263" s="107"/>
      <c r="J263" s="107"/>
      <c r="K263" s="252" t="s">
        <v>1089</v>
      </c>
      <c r="L263" s="261">
        <v>1.2</v>
      </c>
      <c r="M263" s="107">
        <v>1.907</v>
      </c>
      <c r="N263" s="107">
        <v>1.907</v>
      </c>
      <c r="O263" s="107">
        <v>1.907</v>
      </c>
      <c r="P263" s="107">
        <v>1.907</v>
      </c>
      <c r="Q263" s="107" t="s">
        <v>115</v>
      </c>
      <c r="R263" s="107" t="s">
        <v>115</v>
      </c>
      <c r="S263" s="28">
        <f t="shared" si="4"/>
        <v>1.907</v>
      </c>
      <c r="T263" s="107"/>
      <c r="U263" s="107"/>
    </row>
    <row r="264" spans="1:21" s="348" customFormat="1" ht="25.5">
      <c r="A264" s="261"/>
      <c r="B264" s="260" t="s">
        <v>4647</v>
      </c>
      <c r="C264" s="107"/>
      <c r="D264" s="260" t="s">
        <v>4646</v>
      </c>
      <c r="E264" s="107"/>
      <c r="F264" s="156">
        <v>40909</v>
      </c>
      <c r="G264" s="257"/>
      <c r="H264" s="107"/>
      <c r="I264" s="107"/>
      <c r="J264" s="107"/>
      <c r="K264" s="252" t="s">
        <v>1089</v>
      </c>
      <c r="L264" s="261">
        <v>1.2</v>
      </c>
      <c r="M264" s="107">
        <v>1.865</v>
      </c>
      <c r="N264" s="107">
        <v>1.865</v>
      </c>
      <c r="O264" s="107">
        <v>1.946</v>
      </c>
      <c r="P264" s="107">
        <v>1.946</v>
      </c>
      <c r="Q264" s="107" t="s">
        <v>115</v>
      </c>
      <c r="R264" s="107" t="s">
        <v>115</v>
      </c>
      <c r="S264" s="28">
        <f t="shared" si="4"/>
        <v>1.9055</v>
      </c>
      <c r="T264" s="107"/>
      <c r="U264" s="107"/>
    </row>
    <row r="265" spans="1:21" s="348" customFormat="1" ht="25.5">
      <c r="A265" s="261"/>
      <c r="B265" s="260" t="s">
        <v>4554</v>
      </c>
      <c r="C265" s="107"/>
      <c r="D265" s="260" t="s">
        <v>4553</v>
      </c>
      <c r="E265" s="107"/>
      <c r="F265" s="156">
        <v>40909</v>
      </c>
      <c r="G265" s="257"/>
      <c r="H265" s="107"/>
      <c r="I265" s="107"/>
      <c r="J265" s="107"/>
      <c r="K265" s="252" t="s">
        <v>1089</v>
      </c>
      <c r="L265" s="261">
        <v>1.2</v>
      </c>
      <c r="M265" s="107">
        <v>2.0110000000000001</v>
      </c>
      <c r="N265" s="107">
        <v>2.0110000000000001</v>
      </c>
      <c r="O265" s="107">
        <v>2.0110000000000001</v>
      </c>
      <c r="P265" s="107">
        <v>2.0110000000000001</v>
      </c>
      <c r="Q265" s="107" t="s">
        <v>115</v>
      </c>
      <c r="R265" s="107" t="s">
        <v>115</v>
      </c>
      <c r="S265" s="28">
        <f t="shared" si="4"/>
        <v>2.0110000000000001</v>
      </c>
      <c r="T265" s="107"/>
      <c r="U265" s="107"/>
    </row>
    <row r="266" spans="1:21" s="405" customFormat="1" ht="25.5">
      <c r="A266" s="261"/>
      <c r="B266" s="260" t="s">
        <v>4544</v>
      </c>
      <c r="C266" s="107"/>
      <c r="D266" s="260" t="s">
        <v>4543</v>
      </c>
      <c r="E266" s="107"/>
      <c r="F266" s="156">
        <v>40909</v>
      </c>
      <c r="G266" s="257"/>
      <c r="H266" s="107"/>
      <c r="I266" s="107"/>
      <c r="J266" s="107"/>
      <c r="K266" s="252" t="s">
        <v>1089</v>
      </c>
      <c r="L266" s="261">
        <v>1.2</v>
      </c>
      <c r="M266" s="107">
        <v>2.0190000000000001</v>
      </c>
      <c r="N266" s="107">
        <v>2.0190000000000001</v>
      </c>
      <c r="O266" s="107">
        <v>2.0190000000000001</v>
      </c>
      <c r="P266" s="107">
        <v>2.0190000000000001</v>
      </c>
      <c r="Q266" s="107" t="s">
        <v>115</v>
      </c>
      <c r="R266" s="107" t="s">
        <v>115</v>
      </c>
      <c r="S266" s="28">
        <f t="shared" si="4"/>
        <v>2.0190000000000001</v>
      </c>
      <c r="T266" s="107"/>
      <c r="U266" s="107"/>
    </row>
    <row r="267" spans="1:21" s="348" customFormat="1" ht="25.5">
      <c r="A267" s="261"/>
      <c r="B267" s="260" t="s">
        <v>4468</v>
      </c>
      <c r="C267" s="107"/>
      <c r="D267" s="260" t="s">
        <v>4467</v>
      </c>
      <c r="E267" s="107"/>
      <c r="F267" s="156">
        <v>40909</v>
      </c>
      <c r="G267" s="257"/>
      <c r="H267" s="107"/>
      <c r="I267" s="107"/>
      <c r="J267" s="107"/>
      <c r="K267" s="252" t="s">
        <v>1089</v>
      </c>
      <c r="L267" s="261">
        <v>1.4</v>
      </c>
      <c r="M267" s="107">
        <v>2.1920000000000002</v>
      </c>
      <c r="N267" s="107">
        <v>2.1920000000000002</v>
      </c>
      <c r="O267" s="107">
        <v>2.1920000000000002</v>
      </c>
      <c r="P267" s="107">
        <v>2.1920000000000002</v>
      </c>
      <c r="Q267" s="107" t="s">
        <v>115</v>
      </c>
      <c r="R267" s="107" t="s">
        <v>115</v>
      </c>
      <c r="S267" s="28">
        <f t="shared" si="4"/>
        <v>2.1920000000000002</v>
      </c>
      <c r="T267" s="107"/>
      <c r="U267" s="107"/>
    </row>
    <row r="268" spans="1:21" s="405" customFormat="1" ht="25.5">
      <c r="A268" s="261"/>
      <c r="B268" s="260" t="s">
        <v>4556</v>
      </c>
      <c r="C268" s="107"/>
      <c r="D268" s="260" t="s">
        <v>4555</v>
      </c>
      <c r="E268" s="107"/>
      <c r="F268" s="156">
        <v>40909</v>
      </c>
      <c r="G268" s="257"/>
      <c r="H268" s="107"/>
      <c r="I268" s="107"/>
      <c r="J268" s="107"/>
      <c r="K268" s="252" t="s">
        <v>1089</v>
      </c>
      <c r="L268" s="261">
        <v>1.4</v>
      </c>
      <c r="M268" s="107">
        <v>2.2370000000000001</v>
      </c>
      <c r="N268" s="107">
        <v>2.2370000000000001</v>
      </c>
      <c r="O268" s="107">
        <v>2.2370000000000001</v>
      </c>
      <c r="P268" s="107">
        <v>2.2370000000000001</v>
      </c>
      <c r="Q268" s="107" t="s">
        <v>115</v>
      </c>
      <c r="R268" s="107" t="s">
        <v>115</v>
      </c>
      <c r="S268" s="28">
        <f t="shared" si="4"/>
        <v>2.2370000000000001</v>
      </c>
      <c r="T268" s="107"/>
      <c r="U268" s="107"/>
    </row>
    <row r="269" spans="1:21" s="405" customFormat="1" ht="25.5">
      <c r="A269" s="261"/>
      <c r="B269" s="260" t="s">
        <v>4446</v>
      </c>
      <c r="C269" s="107"/>
      <c r="D269" s="260" t="s">
        <v>4445</v>
      </c>
      <c r="E269" s="107"/>
      <c r="F269" s="156">
        <v>40909</v>
      </c>
      <c r="G269" s="257"/>
      <c r="H269" s="107"/>
      <c r="I269" s="107"/>
      <c r="J269" s="107"/>
      <c r="K269" s="252" t="s">
        <v>1089</v>
      </c>
      <c r="L269" s="261">
        <v>1.4</v>
      </c>
      <c r="M269" s="107">
        <v>2.2770000000000001</v>
      </c>
      <c r="N269" s="107">
        <v>2.2770000000000001</v>
      </c>
      <c r="O269" s="107">
        <v>2.2770000000000001</v>
      </c>
      <c r="P269" s="107">
        <v>2.2770000000000001</v>
      </c>
      <c r="Q269" s="107" t="s">
        <v>115</v>
      </c>
      <c r="R269" s="107" t="s">
        <v>115</v>
      </c>
      <c r="S269" s="28">
        <f t="shared" si="4"/>
        <v>2.2770000000000001</v>
      </c>
      <c r="T269" s="107"/>
      <c r="U269" s="107"/>
    </row>
    <row r="270" spans="1:21" s="348" customFormat="1" ht="25.5">
      <c r="A270" s="261"/>
      <c r="B270" s="260" t="s">
        <v>4594</v>
      </c>
      <c r="C270" s="107"/>
      <c r="D270" s="260" t="s">
        <v>4593</v>
      </c>
      <c r="E270" s="107"/>
      <c r="F270" s="156">
        <v>40909</v>
      </c>
      <c r="G270" s="257"/>
      <c r="H270" s="107"/>
      <c r="I270" s="107"/>
      <c r="J270" s="107"/>
      <c r="K270" s="252" t="s">
        <v>1089</v>
      </c>
      <c r="L270" s="261">
        <v>1.4</v>
      </c>
      <c r="M270" s="107">
        <v>2.3109999999999999</v>
      </c>
      <c r="N270" s="107">
        <v>2.3109999999999999</v>
      </c>
      <c r="O270" s="107">
        <v>2.3109999999999999</v>
      </c>
      <c r="P270" s="107">
        <v>2.3109999999999999</v>
      </c>
      <c r="Q270" s="107" t="s">
        <v>115</v>
      </c>
      <c r="R270" s="107" t="s">
        <v>115</v>
      </c>
      <c r="S270" s="28">
        <f t="shared" si="4"/>
        <v>2.3109999999999999</v>
      </c>
      <c r="T270" s="107"/>
      <c r="U270" s="107"/>
    </row>
    <row r="271" spans="1:21" s="405" customFormat="1" ht="25.5">
      <c r="A271" s="261"/>
      <c r="B271" s="260" t="s">
        <v>4435</v>
      </c>
      <c r="C271" s="107"/>
      <c r="D271" s="260" t="s">
        <v>4434</v>
      </c>
      <c r="E271" s="107"/>
      <c r="F271" s="156">
        <v>40909</v>
      </c>
      <c r="G271" s="257"/>
      <c r="H271" s="107"/>
      <c r="I271" s="107"/>
      <c r="J271" s="107"/>
      <c r="K271" s="252" t="s">
        <v>1089</v>
      </c>
      <c r="L271" s="261">
        <v>1.5</v>
      </c>
      <c r="M271" s="107">
        <v>2.4319999999999999</v>
      </c>
      <c r="N271" s="107">
        <v>2.4319999999999999</v>
      </c>
      <c r="O271" s="107">
        <v>2.4319999999999999</v>
      </c>
      <c r="P271" s="107">
        <v>2.4319999999999999</v>
      </c>
      <c r="Q271" s="107" t="s">
        <v>115</v>
      </c>
      <c r="R271" s="107" t="s">
        <v>115</v>
      </c>
      <c r="S271" s="28">
        <f t="shared" si="4"/>
        <v>2.4319999999999999</v>
      </c>
      <c r="T271" s="107"/>
      <c r="U271" s="107"/>
    </row>
    <row r="272" spans="1:21" s="405" customFormat="1" ht="25.5">
      <c r="A272" s="261"/>
      <c r="B272" s="260" t="s">
        <v>4471</v>
      </c>
      <c r="C272" s="107"/>
      <c r="D272" s="260" t="s">
        <v>4470</v>
      </c>
      <c r="E272" s="107"/>
      <c r="F272" s="156">
        <v>40909</v>
      </c>
      <c r="G272" s="257"/>
      <c r="H272" s="107"/>
      <c r="I272" s="107"/>
      <c r="J272" s="107"/>
      <c r="K272" s="252" t="s">
        <v>1089</v>
      </c>
      <c r="L272" s="261">
        <v>1.5</v>
      </c>
      <c r="M272" s="107">
        <v>2.4489999999999998</v>
      </c>
      <c r="N272" s="107">
        <v>2.4489999999999998</v>
      </c>
      <c r="O272" s="107">
        <v>2.4489999999999998</v>
      </c>
      <c r="P272" s="107">
        <v>2.4489999999999998</v>
      </c>
      <c r="Q272" s="107" t="s">
        <v>115</v>
      </c>
      <c r="R272" s="107" t="s">
        <v>115</v>
      </c>
      <c r="S272" s="28">
        <f t="shared" si="4"/>
        <v>2.4489999999999998</v>
      </c>
      <c r="T272" s="107"/>
      <c r="U272" s="107"/>
    </row>
    <row r="273" spans="1:21" s="405" customFormat="1" ht="25.5">
      <c r="A273" s="261"/>
      <c r="B273" s="260" t="s">
        <v>4638</v>
      </c>
      <c r="C273" s="107"/>
      <c r="D273" s="260" t="s">
        <v>4637</v>
      </c>
      <c r="E273" s="107"/>
      <c r="F273" s="156">
        <v>40909</v>
      </c>
      <c r="G273" s="257"/>
      <c r="H273" s="107"/>
      <c r="I273" s="107"/>
      <c r="J273" s="107"/>
      <c r="K273" s="252" t="s">
        <v>1089</v>
      </c>
      <c r="L273" s="261">
        <v>2</v>
      </c>
      <c r="M273" s="107">
        <v>3.1949999999999998</v>
      </c>
      <c r="N273" s="107">
        <v>3.1949999999999998</v>
      </c>
      <c r="O273" s="107">
        <v>3.1949999999999998</v>
      </c>
      <c r="P273" s="107">
        <v>3.1949999999999998</v>
      </c>
      <c r="Q273" s="107" t="s">
        <v>115</v>
      </c>
      <c r="R273" s="107" t="s">
        <v>115</v>
      </c>
      <c r="S273" s="28">
        <f t="shared" si="4"/>
        <v>3.1949999999999998</v>
      </c>
      <c r="T273" s="107"/>
      <c r="U273" s="107"/>
    </row>
    <row r="274" spans="1:21" s="405" customFormat="1" ht="25.5">
      <c r="A274" s="261"/>
      <c r="B274" s="260" t="s">
        <v>4662</v>
      </c>
      <c r="C274" s="107"/>
      <c r="D274" s="260" t="s">
        <v>4661</v>
      </c>
      <c r="E274" s="107"/>
      <c r="F274" s="156">
        <v>40909</v>
      </c>
      <c r="G274" s="257"/>
      <c r="H274" s="107"/>
      <c r="I274" s="107"/>
      <c r="J274" s="107"/>
      <c r="K274" s="252" t="s">
        <v>1089</v>
      </c>
      <c r="L274" s="261">
        <v>2.2000000000000002</v>
      </c>
      <c r="M274" s="107">
        <v>3.5680000000000001</v>
      </c>
      <c r="N274" s="107">
        <v>3.5680000000000001</v>
      </c>
      <c r="O274" s="107">
        <v>3.5680000000000001</v>
      </c>
      <c r="P274" s="107">
        <v>3.5680000000000001</v>
      </c>
      <c r="Q274" s="107" t="s">
        <v>115</v>
      </c>
      <c r="R274" s="107" t="s">
        <v>115</v>
      </c>
      <c r="S274" s="28">
        <f t="shared" si="4"/>
        <v>3.5680000000000001</v>
      </c>
      <c r="T274" s="107"/>
      <c r="U274" s="107"/>
    </row>
    <row r="275" spans="1:21" s="405" customFormat="1" ht="25.5">
      <c r="A275" s="261"/>
      <c r="B275" s="260" t="s">
        <v>4664</v>
      </c>
      <c r="C275" s="107"/>
      <c r="D275" s="260" t="s">
        <v>4663</v>
      </c>
      <c r="E275" s="107"/>
      <c r="F275" s="156">
        <v>40909</v>
      </c>
      <c r="G275" s="257"/>
      <c r="H275" s="107"/>
      <c r="I275" s="107"/>
      <c r="J275" s="107"/>
      <c r="K275" s="252" t="s">
        <v>1089</v>
      </c>
      <c r="L275" s="261">
        <v>2.2000000000000002</v>
      </c>
      <c r="M275" s="107">
        <v>3.5680000000000001</v>
      </c>
      <c r="N275" s="107">
        <v>3.5680000000000001</v>
      </c>
      <c r="O275" s="107">
        <v>3.5680000000000001</v>
      </c>
      <c r="P275" s="107">
        <v>3.5680000000000001</v>
      </c>
      <c r="Q275" s="107" t="s">
        <v>115</v>
      </c>
      <c r="R275" s="107" t="s">
        <v>115</v>
      </c>
      <c r="S275" s="28">
        <f t="shared" si="4"/>
        <v>3.5680000000000001</v>
      </c>
      <c r="T275" s="107"/>
      <c r="U275" s="107"/>
    </row>
    <row r="276" spans="1:21" s="405" customFormat="1" ht="25.5">
      <c r="A276" s="261"/>
      <c r="B276" s="260" t="s">
        <v>4590</v>
      </c>
      <c r="C276" s="107"/>
      <c r="D276" s="260" t="s">
        <v>4589</v>
      </c>
      <c r="E276" s="107"/>
      <c r="F276" s="156">
        <v>40909</v>
      </c>
      <c r="G276" s="257"/>
      <c r="H276" s="107"/>
      <c r="I276" s="107"/>
      <c r="J276" s="107"/>
      <c r="K276" s="252" t="s">
        <v>1089</v>
      </c>
      <c r="L276" s="261">
        <v>3</v>
      </c>
      <c r="M276" s="107">
        <v>4.8650000000000002</v>
      </c>
      <c r="N276" s="107">
        <v>4.8650000000000002</v>
      </c>
      <c r="O276" s="107">
        <v>4.8650000000000002</v>
      </c>
      <c r="P276" s="107">
        <v>4.8650000000000002</v>
      </c>
      <c r="Q276" s="107" t="s">
        <v>115</v>
      </c>
      <c r="R276" s="107" t="s">
        <v>115</v>
      </c>
      <c r="S276" s="28">
        <f t="shared" si="4"/>
        <v>4.8650000000000002</v>
      </c>
      <c r="T276" s="107"/>
      <c r="U276" s="107"/>
    </row>
    <row r="277" spans="1:21" s="405" customFormat="1" ht="25.5">
      <c r="A277" s="261"/>
      <c r="B277" s="260" t="s">
        <v>4519</v>
      </c>
      <c r="C277" s="107"/>
      <c r="D277" s="260" t="s">
        <v>4518</v>
      </c>
      <c r="E277" s="107"/>
      <c r="F277" s="156">
        <v>41639</v>
      </c>
      <c r="G277" s="257"/>
      <c r="H277" s="107"/>
      <c r="I277" s="107"/>
      <c r="J277" s="107"/>
      <c r="K277" s="252" t="s">
        <v>1089</v>
      </c>
      <c r="L277" s="261">
        <v>1</v>
      </c>
      <c r="M277" s="107">
        <v>1.3140000000000001</v>
      </c>
      <c r="N277" s="107">
        <v>1.3140000000000001</v>
      </c>
      <c r="O277" s="107"/>
      <c r="P277" s="107" t="s">
        <v>115</v>
      </c>
      <c r="Q277" s="107" t="s">
        <v>115</v>
      </c>
      <c r="R277" s="107" t="s">
        <v>115</v>
      </c>
      <c r="S277" s="28">
        <f t="shared" si="4"/>
        <v>1.3140000000000001</v>
      </c>
      <c r="T277" s="107"/>
      <c r="U277" s="107"/>
    </row>
    <row r="278" spans="1:21" s="405" customFormat="1" ht="25.5">
      <c r="A278" s="261"/>
      <c r="B278" s="260" t="s">
        <v>4408</v>
      </c>
      <c r="C278" s="107"/>
      <c r="D278" s="260" t="s">
        <v>4407</v>
      </c>
      <c r="E278" s="107"/>
      <c r="F278" s="156">
        <v>41639</v>
      </c>
      <c r="G278" s="257"/>
      <c r="H278" s="107"/>
      <c r="I278" s="107"/>
      <c r="J278" s="107"/>
      <c r="K278" s="252" t="s">
        <v>1089</v>
      </c>
      <c r="L278" s="261">
        <v>1.5</v>
      </c>
      <c r="M278" s="107">
        <v>1.9710000000000001</v>
      </c>
      <c r="N278" s="107">
        <v>1.9710000000000001</v>
      </c>
      <c r="O278" s="107"/>
      <c r="P278" s="107" t="s">
        <v>115</v>
      </c>
      <c r="Q278" s="107" t="s">
        <v>115</v>
      </c>
      <c r="R278" s="107" t="s">
        <v>115</v>
      </c>
      <c r="S278" s="28">
        <f t="shared" si="4"/>
        <v>1.9710000000000001</v>
      </c>
      <c r="T278" s="107"/>
      <c r="U278" s="107"/>
    </row>
    <row r="279" spans="1:21" s="405" customFormat="1" ht="25.5">
      <c r="A279" s="261"/>
      <c r="B279" s="260" t="s">
        <v>4410</v>
      </c>
      <c r="C279" s="107"/>
      <c r="D279" s="260" t="s">
        <v>4409</v>
      </c>
      <c r="E279" s="107"/>
      <c r="F279" s="156">
        <v>41639</v>
      </c>
      <c r="G279" s="257"/>
      <c r="H279" s="107"/>
      <c r="I279" s="107"/>
      <c r="J279" s="107"/>
      <c r="K279" s="252" t="s">
        <v>1089</v>
      </c>
      <c r="L279" s="261">
        <v>1.5</v>
      </c>
      <c r="M279" s="107">
        <v>1.9710000000000001</v>
      </c>
      <c r="N279" s="107">
        <v>1.9710000000000001</v>
      </c>
      <c r="O279" s="107"/>
      <c r="P279" s="107" t="s">
        <v>115</v>
      </c>
      <c r="Q279" s="107" t="s">
        <v>115</v>
      </c>
      <c r="R279" s="107" t="s">
        <v>115</v>
      </c>
      <c r="S279" s="28">
        <f t="shared" si="4"/>
        <v>1.9710000000000001</v>
      </c>
      <c r="T279" s="107"/>
      <c r="U279" s="107"/>
    </row>
    <row r="280" spans="1:21" s="348" customFormat="1" ht="25.5">
      <c r="A280" s="261"/>
      <c r="B280" s="260" t="s">
        <v>4412</v>
      </c>
      <c r="C280" s="107"/>
      <c r="D280" s="260" t="s">
        <v>4411</v>
      </c>
      <c r="E280" s="107"/>
      <c r="F280" s="156">
        <v>41639</v>
      </c>
      <c r="G280" s="257"/>
      <c r="H280" s="107"/>
      <c r="I280" s="107"/>
      <c r="J280" s="107"/>
      <c r="K280" s="252" t="s">
        <v>1089</v>
      </c>
      <c r="L280" s="261">
        <v>1.5</v>
      </c>
      <c r="M280" s="107">
        <v>1.9710000000000001</v>
      </c>
      <c r="N280" s="107">
        <v>1.9710000000000001</v>
      </c>
      <c r="O280" s="107"/>
      <c r="P280" s="107" t="s">
        <v>115</v>
      </c>
      <c r="Q280" s="107" t="s">
        <v>115</v>
      </c>
      <c r="R280" s="107" t="s">
        <v>115</v>
      </c>
      <c r="S280" s="28">
        <f t="shared" si="4"/>
        <v>1.9710000000000001</v>
      </c>
      <c r="T280" s="107"/>
      <c r="U280" s="107"/>
    </row>
    <row r="281" spans="1:21" s="405" customFormat="1" ht="25.5">
      <c r="A281" s="261"/>
      <c r="B281" s="260" t="s">
        <v>4523</v>
      </c>
      <c r="C281" s="107"/>
      <c r="D281" s="260" t="s">
        <v>4522</v>
      </c>
      <c r="E281" s="107"/>
      <c r="F281" s="156">
        <v>41639</v>
      </c>
      <c r="G281" s="257"/>
      <c r="H281" s="107"/>
      <c r="I281" s="107"/>
      <c r="J281" s="107"/>
      <c r="K281" s="252" t="s">
        <v>1089</v>
      </c>
      <c r="L281" s="261">
        <v>1.5</v>
      </c>
      <c r="M281" s="107">
        <v>1.9710000000000001</v>
      </c>
      <c r="N281" s="107">
        <v>1.9710000000000001</v>
      </c>
      <c r="O281" s="107"/>
      <c r="P281" s="107" t="s">
        <v>115</v>
      </c>
      <c r="Q281" s="107" t="s">
        <v>115</v>
      </c>
      <c r="R281" s="107" t="s">
        <v>115</v>
      </c>
      <c r="S281" s="28">
        <f t="shared" si="4"/>
        <v>1.9710000000000001</v>
      </c>
      <c r="T281" s="107"/>
      <c r="U281" s="107"/>
    </row>
    <row r="282" spans="1:21" s="405" customFormat="1" ht="25.5">
      <c r="A282" s="261"/>
      <c r="B282" s="260" t="s">
        <v>4527</v>
      </c>
      <c r="C282" s="107"/>
      <c r="D282" s="260" t="s">
        <v>4526</v>
      </c>
      <c r="E282" s="107"/>
      <c r="F282" s="156">
        <v>41639</v>
      </c>
      <c r="G282" s="257"/>
      <c r="H282" s="107"/>
      <c r="I282" s="107"/>
      <c r="J282" s="107"/>
      <c r="K282" s="252" t="s">
        <v>1089</v>
      </c>
      <c r="L282" s="261">
        <v>1</v>
      </c>
      <c r="M282" s="107">
        <v>1.3140000000000001</v>
      </c>
      <c r="N282" s="107">
        <v>1.3140000000000001</v>
      </c>
      <c r="O282" s="107"/>
      <c r="P282" s="107" t="s">
        <v>115</v>
      </c>
      <c r="Q282" s="107" t="s">
        <v>115</v>
      </c>
      <c r="R282" s="107" t="s">
        <v>115</v>
      </c>
      <c r="S282" s="28">
        <f t="shared" ref="S282:S292" si="5">AVERAGE(M282:R282)</f>
        <v>1.3140000000000001</v>
      </c>
      <c r="T282" s="107"/>
      <c r="U282" s="107"/>
    </row>
    <row r="283" spans="1:21" s="348" customFormat="1" ht="25.5">
      <c r="A283" s="261"/>
      <c r="B283" s="260" t="s">
        <v>4521</v>
      </c>
      <c r="C283" s="107"/>
      <c r="D283" s="260" t="s">
        <v>4520</v>
      </c>
      <c r="E283" s="107"/>
      <c r="F283" s="156">
        <v>41639</v>
      </c>
      <c r="G283" s="257"/>
      <c r="H283" s="107"/>
      <c r="I283" s="107"/>
      <c r="J283" s="107"/>
      <c r="K283" s="252" t="s">
        <v>1089</v>
      </c>
      <c r="L283" s="261">
        <v>0.5</v>
      </c>
      <c r="M283" s="107">
        <v>0.65700000000000003</v>
      </c>
      <c r="N283" s="107">
        <v>0.65700000000000003</v>
      </c>
      <c r="O283" s="107"/>
      <c r="P283" s="107" t="s">
        <v>115</v>
      </c>
      <c r="Q283" s="107" t="s">
        <v>115</v>
      </c>
      <c r="R283" s="107" t="s">
        <v>115</v>
      </c>
      <c r="S283" s="28">
        <f t="shared" si="5"/>
        <v>0.65700000000000003</v>
      </c>
      <c r="T283" s="107"/>
      <c r="U283" s="107"/>
    </row>
    <row r="284" spans="1:21" s="405" customFormat="1" ht="25.5">
      <c r="A284" s="261"/>
      <c r="B284" s="260" t="s">
        <v>4525</v>
      </c>
      <c r="C284" s="107"/>
      <c r="D284" s="260" t="s">
        <v>4524</v>
      </c>
      <c r="E284" s="107"/>
      <c r="F284" s="156">
        <v>41639</v>
      </c>
      <c r="G284" s="257"/>
      <c r="H284" s="107"/>
      <c r="I284" s="107"/>
      <c r="J284" s="107"/>
      <c r="K284" s="252" t="s">
        <v>1089</v>
      </c>
      <c r="L284" s="261">
        <v>0.25</v>
      </c>
      <c r="M284" s="107">
        <v>0.32800000000000001</v>
      </c>
      <c r="N284" s="107">
        <v>0.32800000000000001</v>
      </c>
      <c r="O284" s="107"/>
      <c r="P284" s="107" t="s">
        <v>115</v>
      </c>
      <c r="Q284" s="107" t="s">
        <v>115</v>
      </c>
      <c r="R284" s="107" t="s">
        <v>115</v>
      </c>
      <c r="S284" s="28">
        <f t="shared" si="5"/>
        <v>0.32800000000000001</v>
      </c>
      <c r="T284" s="107"/>
      <c r="U284" s="107"/>
    </row>
    <row r="285" spans="1:21" s="405" customFormat="1" ht="25.5">
      <c r="A285" s="261"/>
      <c r="B285" s="260" t="s">
        <v>4645</v>
      </c>
      <c r="C285" s="107"/>
      <c r="D285" s="260" t="s">
        <v>4644</v>
      </c>
      <c r="E285" s="107"/>
      <c r="F285" s="156">
        <v>41639</v>
      </c>
      <c r="G285" s="257"/>
      <c r="H285" s="107"/>
      <c r="I285" s="107"/>
      <c r="J285" s="107"/>
      <c r="K285" s="252" t="s">
        <v>1089</v>
      </c>
      <c r="L285" s="261">
        <v>1.5</v>
      </c>
      <c r="M285" s="107">
        <v>1.9710000000000001</v>
      </c>
      <c r="N285" s="107">
        <v>1.9710000000000001</v>
      </c>
      <c r="O285" s="107"/>
      <c r="P285" s="107" t="s">
        <v>115</v>
      </c>
      <c r="Q285" s="107" t="s">
        <v>115</v>
      </c>
      <c r="R285" s="107" t="s">
        <v>115</v>
      </c>
      <c r="S285" s="28">
        <f t="shared" si="5"/>
        <v>1.9710000000000001</v>
      </c>
      <c r="T285" s="107"/>
      <c r="U285" s="107"/>
    </row>
    <row r="286" spans="1:21" s="348" customFormat="1" ht="25.5">
      <c r="A286" s="261"/>
      <c r="B286" s="260" t="s">
        <v>4488</v>
      </c>
      <c r="C286" s="107"/>
      <c r="D286" s="260" t="s">
        <v>4487</v>
      </c>
      <c r="E286" s="107"/>
      <c r="F286" s="156">
        <v>41639</v>
      </c>
      <c r="G286" s="257"/>
      <c r="H286" s="107"/>
      <c r="I286" s="107"/>
      <c r="J286" s="107"/>
      <c r="K286" s="252" t="s">
        <v>1089</v>
      </c>
      <c r="L286" s="261">
        <v>1.5</v>
      </c>
      <c r="M286" s="107">
        <v>1.9710000000000001</v>
      </c>
      <c r="N286" s="107">
        <v>1.9710000000000001</v>
      </c>
      <c r="O286" s="107"/>
      <c r="P286" s="107" t="s">
        <v>115</v>
      </c>
      <c r="Q286" s="107" t="s">
        <v>115</v>
      </c>
      <c r="R286" s="107" t="s">
        <v>115</v>
      </c>
      <c r="S286" s="28">
        <f t="shared" si="5"/>
        <v>1.9710000000000001</v>
      </c>
      <c r="T286" s="107"/>
      <c r="U286" s="107"/>
    </row>
    <row r="287" spans="1:21" s="348" customFormat="1" ht="25.5">
      <c r="A287" s="261"/>
      <c r="B287" s="260" t="s">
        <v>4490</v>
      </c>
      <c r="C287" s="107"/>
      <c r="D287" s="260" t="s">
        <v>4489</v>
      </c>
      <c r="E287" s="107"/>
      <c r="F287" s="156">
        <v>41639</v>
      </c>
      <c r="G287" s="257"/>
      <c r="H287" s="107"/>
      <c r="I287" s="107"/>
      <c r="J287" s="107"/>
      <c r="K287" s="252" t="s">
        <v>1089</v>
      </c>
      <c r="L287" s="261">
        <v>1.5</v>
      </c>
      <c r="M287" s="107">
        <v>1.9710000000000001</v>
      </c>
      <c r="N287" s="107">
        <v>1.9710000000000001</v>
      </c>
      <c r="O287" s="107"/>
      <c r="P287" s="107" t="s">
        <v>115</v>
      </c>
      <c r="Q287" s="107" t="s">
        <v>115</v>
      </c>
      <c r="R287" s="107" t="s">
        <v>115</v>
      </c>
      <c r="S287" s="28">
        <f t="shared" si="5"/>
        <v>1.9710000000000001</v>
      </c>
      <c r="T287" s="107"/>
      <c r="U287" s="107"/>
    </row>
    <row r="288" spans="1:21" s="348" customFormat="1" ht="25.5">
      <c r="A288" s="261"/>
      <c r="B288" s="260" t="s">
        <v>4511</v>
      </c>
      <c r="C288" s="107"/>
      <c r="D288" s="260" t="s">
        <v>4510</v>
      </c>
      <c r="E288" s="107"/>
      <c r="F288" s="156">
        <v>41639</v>
      </c>
      <c r="G288" s="257"/>
      <c r="H288" s="107"/>
      <c r="I288" s="107"/>
      <c r="J288" s="107"/>
      <c r="K288" s="252" t="s">
        <v>1089</v>
      </c>
      <c r="L288" s="261">
        <v>1.5</v>
      </c>
      <c r="M288" s="107">
        <v>1.9710000000000001</v>
      </c>
      <c r="N288" s="107">
        <v>1.9710000000000001</v>
      </c>
      <c r="O288" s="107"/>
      <c r="P288" s="107" t="s">
        <v>115</v>
      </c>
      <c r="Q288" s="107" t="s">
        <v>115</v>
      </c>
      <c r="R288" s="107" t="s">
        <v>115</v>
      </c>
      <c r="S288" s="28">
        <f t="shared" si="5"/>
        <v>1.9710000000000001</v>
      </c>
      <c r="T288" s="107"/>
      <c r="U288" s="107"/>
    </row>
    <row r="289" spans="1:21" s="348" customFormat="1" ht="25.5">
      <c r="A289" s="261"/>
      <c r="B289" s="260" t="s">
        <v>4515</v>
      </c>
      <c r="C289" s="107"/>
      <c r="D289" s="260" t="s">
        <v>4514</v>
      </c>
      <c r="E289" s="107"/>
      <c r="F289" s="156">
        <v>41639</v>
      </c>
      <c r="G289" s="257"/>
      <c r="H289" s="107"/>
      <c r="I289" s="107"/>
      <c r="J289" s="107"/>
      <c r="K289" s="252" t="s">
        <v>1089</v>
      </c>
      <c r="L289" s="261">
        <v>1.5</v>
      </c>
      <c r="M289" s="107">
        <v>1.9710000000000001</v>
      </c>
      <c r="N289" s="107">
        <v>1.9710000000000001</v>
      </c>
      <c r="O289" s="107"/>
      <c r="P289" s="107" t="s">
        <v>115</v>
      </c>
      <c r="Q289" s="107" t="s">
        <v>115</v>
      </c>
      <c r="R289" s="107" t="s">
        <v>115</v>
      </c>
      <c r="S289" s="28">
        <f t="shared" si="5"/>
        <v>1.9710000000000001</v>
      </c>
      <c r="T289" s="107"/>
      <c r="U289" s="107"/>
    </row>
    <row r="290" spans="1:21" s="348" customFormat="1" ht="25.5">
      <c r="A290" s="261"/>
      <c r="B290" s="260" t="s">
        <v>4517</v>
      </c>
      <c r="C290" s="107"/>
      <c r="D290" s="260" t="s">
        <v>4516</v>
      </c>
      <c r="E290" s="107"/>
      <c r="F290" s="156">
        <v>41639</v>
      </c>
      <c r="G290" s="257"/>
      <c r="H290" s="107"/>
      <c r="I290" s="107"/>
      <c r="J290" s="107"/>
      <c r="K290" s="252" t="s">
        <v>1089</v>
      </c>
      <c r="L290" s="261">
        <v>1</v>
      </c>
      <c r="M290" s="107">
        <v>1.3140000000000001</v>
      </c>
      <c r="N290" s="107">
        <v>1.3140000000000001</v>
      </c>
      <c r="O290" s="107"/>
      <c r="P290" s="107" t="s">
        <v>115</v>
      </c>
      <c r="Q290" s="107" t="s">
        <v>115</v>
      </c>
      <c r="R290" s="107" t="s">
        <v>115</v>
      </c>
      <c r="S290" s="28">
        <f t="shared" si="5"/>
        <v>1.3140000000000001</v>
      </c>
      <c r="T290" s="107"/>
      <c r="U290" s="107"/>
    </row>
    <row r="291" spans="1:21" s="405" customFormat="1" ht="25.5">
      <c r="A291" s="261"/>
      <c r="B291" s="260" t="s">
        <v>4513</v>
      </c>
      <c r="C291" s="107"/>
      <c r="D291" s="260" t="s">
        <v>4512</v>
      </c>
      <c r="E291" s="107"/>
      <c r="F291" s="156">
        <v>41639</v>
      </c>
      <c r="G291" s="257"/>
      <c r="H291" s="107"/>
      <c r="I291" s="107"/>
      <c r="J291" s="107"/>
      <c r="K291" s="252" t="s">
        <v>1089</v>
      </c>
      <c r="L291" s="261">
        <v>1</v>
      </c>
      <c r="M291" s="107">
        <v>1.3140000000000001</v>
      </c>
      <c r="N291" s="107">
        <v>1.3140000000000001</v>
      </c>
      <c r="O291" s="107"/>
      <c r="P291" s="107" t="s">
        <v>115</v>
      </c>
      <c r="Q291" s="107" t="s">
        <v>115</v>
      </c>
      <c r="R291" s="107" t="s">
        <v>115</v>
      </c>
      <c r="S291" s="28">
        <f t="shared" si="5"/>
        <v>1.3140000000000001</v>
      </c>
      <c r="T291" s="107"/>
      <c r="U291" s="107"/>
    </row>
    <row r="292" spans="1:21" s="405" customFormat="1" ht="25.5">
      <c r="A292" s="261"/>
      <c r="B292" s="260" t="s">
        <v>4509</v>
      </c>
      <c r="C292" s="107"/>
      <c r="D292" s="260" t="s">
        <v>4508</v>
      </c>
      <c r="E292" s="107"/>
      <c r="F292" s="156">
        <v>41639</v>
      </c>
      <c r="G292" s="257"/>
      <c r="H292" s="107"/>
      <c r="I292" s="107"/>
      <c r="J292" s="107"/>
      <c r="K292" s="252" t="s">
        <v>1089</v>
      </c>
      <c r="L292" s="261">
        <v>0.5</v>
      </c>
      <c r="M292" s="107">
        <v>0.65700000000000003</v>
      </c>
      <c r="N292" s="107">
        <v>0.65700000000000003</v>
      </c>
      <c r="O292" s="107"/>
      <c r="P292" s="107" t="s">
        <v>115</v>
      </c>
      <c r="Q292" s="107" t="s">
        <v>115</v>
      </c>
      <c r="R292" s="107" t="s">
        <v>115</v>
      </c>
      <c r="S292" s="28">
        <f t="shared" si="5"/>
        <v>0.65700000000000003</v>
      </c>
      <c r="T292" s="107"/>
      <c r="U292" s="107"/>
    </row>
  </sheetData>
  <conditionalFormatting sqref="C10">
    <cfRule type="duplicateValues" dxfId="16" priority="17"/>
  </conditionalFormatting>
  <conditionalFormatting sqref="D17">
    <cfRule type="duplicateValues" dxfId="15" priority="16"/>
  </conditionalFormatting>
  <conditionalFormatting sqref="Q34">
    <cfRule type="duplicateValues" dxfId="14" priority="13"/>
  </conditionalFormatting>
  <conditionalFormatting sqref="C34">
    <cfRule type="duplicateValues" dxfId="13" priority="14"/>
  </conditionalFormatting>
  <conditionalFormatting sqref="C91:C92">
    <cfRule type="duplicateValues" dxfId="12" priority="12"/>
  </conditionalFormatting>
  <conditionalFormatting sqref="D22 D35:D37 D93:D121 D25:D33 D39:D90">
    <cfRule type="duplicateValues" dxfId="11" priority="15"/>
  </conditionalFormatting>
  <conditionalFormatting sqref="D22:D121">
    <cfRule type="duplicateValues" dxfId="10" priority="11"/>
  </conditionalFormatting>
  <conditionalFormatting sqref="D122:D123">
    <cfRule type="duplicateValues" dxfId="9" priority="10"/>
  </conditionalFormatting>
  <conditionalFormatting sqref="D122:D123">
    <cfRule type="duplicateValues" dxfId="8" priority="9"/>
  </conditionalFormatting>
  <conditionalFormatting sqref="D124:D211">
    <cfRule type="duplicateValues" dxfId="7" priority="8"/>
  </conditionalFormatting>
  <conditionalFormatting sqref="D212:D225">
    <cfRule type="duplicateValues" dxfId="6" priority="7"/>
  </conditionalFormatting>
  <conditionalFormatting sqref="D212:D225">
    <cfRule type="duplicateValues" dxfId="5" priority="6"/>
  </conditionalFormatting>
  <conditionalFormatting sqref="D212:D225">
    <cfRule type="duplicateValues" dxfId="4" priority="5"/>
  </conditionalFormatting>
  <conditionalFormatting sqref="D226:D292">
    <cfRule type="duplicateValues" dxfId="3" priority="4"/>
  </conditionalFormatting>
  <conditionalFormatting sqref="D226:D292">
    <cfRule type="duplicateValues" dxfId="2" priority="3"/>
  </conditionalFormatting>
  <conditionalFormatting sqref="D18">
    <cfRule type="duplicateValues" dxfId="1" priority="2"/>
  </conditionalFormatting>
  <conditionalFormatting sqref="D18">
    <cfRule type="duplicateValues" dxfId="0" priority="1"/>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4"/>
  <sheetViews>
    <sheetView tabSelected="1" zoomScale="85" zoomScaleNormal="85" workbookViewId="0">
      <selection activeCell="A14" sqref="A14"/>
    </sheetView>
  </sheetViews>
  <sheetFormatPr defaultRowHeight="12.75"/>
  <cols>
    <col min="1" max="1" width="102" style="7" customWidth="1"/>
    <col min="2" max="2" width="11" style="7" hidden="1" customWidth="1"/>
    <col min="3" max="3" width="13.28515625" style="7" hidden="1" customWidth="1"/>
    <col min="4" max="16384" width="9.140625" style="7"/>
  </cols>
  <sheetData>
    <row r="1" spans="1:7" ht="23.25" customHeight="1">
      <c r="A1" s="600" t="s">
        <v>1250</v>
      </c>
      <c r="B1" s="601"/>
    </row>
    <row r="2" spans="1:7" ht="24.75" customHeight="1">
      <c r="A2" s="106"/>
      <c r="B2" s="106" t="s">
        <v>916</v>
      </c>
      <c r="C2" s="450" t="s">
        <v>5349</v>
      </c>
      <c r="D2" s="507" t="s">
        <v>5501</v>
      </c>
    </row>
    <row r="3" spans="1:7" ht="24.75" customHeight="1">
      <c r="A3" s="107" t="s">
        <v>5503</v>
      </c>
      <c r="B3" s="108">
        <f>'1b. InStateRPSCOD by 12-31-15'!S422/1000</f>
        <v>1.0611499999999999E-2</v>
      </c>
      <c r="C3" s="464">
        <f>'1b. InStateRPSCOD by 12-31-15'!M614/1000</f>
        <v>45.795070343816377</v>
      </c>
      <c r="D3" s="509">
        <f>'1b. InStateRPSCOD by 12-31-15'!T614/1000</f>
        <v>47.647054822003788</v>
      </c>
    </row>
    <row r="4" spans="1:7" ht="24.75" customHeight="1">
      <c r="A4" s="107" t="s">
        <v>5521</v>
      </c>
      <c r="B4" s="108">
        <v>0</v>
      </c>
      <c r="C4" s="464">
        <f>'1b.2. InState COD by 2015 &lt;1'!L121/1000</f>
        <v>9.4530137079999993E-2</v>
      </c>
      <c r="D4" s="509">
        <f>'1b.2. InState COD by 2015 &lt;1'!R121/1000</f>
        <v>9.2978977546666647E-2</v>
      </c>
    </row>
    <row r="5" spans="1:7" ht="24.75" customHeight="1">
      <c r="A5" s="107" t="s">
        <v>5502</v>
      </c>
      <c r="B5" s="109">
        <f>'1e.OOS RPS COD 12-31-15'!T102/1000</f>
        <v>16.866670987985056</v>
      </c>
      <c r="C5" s="464">
        <v>18.129000000000001</v>
      </c>
      <c r="D5" s="509">
        <f>'1e.OOS RPS COD 12-31-15'!T102/1000</f>
        <v>16.866670987985056</v>
      </c>
    </row>
    <row r="6" spans="1:7" ht="24.75" customHeight="1">
      <c r="A6" s="107" t="s">
        <v>5522</v>
      </c>
      <c r="B6" s="109">
        <f>'1c. In State Small Hydro'!W273/1000000</f>
        <v>4.8967951706338981</v>
      </c>
      <c r="C6" s="464">
        <f>('1c. In State Small Hydro'!J273+'1c. In State Small Hydro'!K273)/2/1000000</f>
        <v>2.2696055840202627</v>
      </c>
      <c r="D6" s="509">
        <f>'1c. In State Small Hydro'!W273/1000000</f>
        <v>4.8967951706338981</v>
      </c>
      <c r="F6" s="457"/>
      <c r="G6" s="457"/>
    </row>
    <row r="7" spans="1:7" ht="24.75" customHeight="1">
      <c r="A7" s="106" t="s">
        <v>5464</v>
      </c>
      <c r="B7" s="106"/>
      <c r="C7" s="464"/>
      <c r="D7" s="509"/>
    </row>
    <row r="8" spans="1:7" ht="24.75" customHeight="1">
      <c r="A8" s="107" t="s">
        <v>5361</v>
      </c>
      <c r="B8" s="109">
        <v>0</v>
      </c>
      <c r="C8" s="464">
        <f>'1d.InState RPS COD 2016'!N64/1000</f>
        <v>1.7548637840000001</v>
      </c>
      <c r="D8" s="509">
        <f>'1d.InState RPS COD 2016'!M64/1000</f>
        <v>4.4781087680000002</v>
      </c>
    </row>
    <row r="9" spans="1:7" ht="24.75" customHeight="1">
      <c r="A9" s="107" t="s">
        <v>5364</v>
      </c>
      <c r="B9" s="109">
        <f>'1f.OOS RPS COD 2016'!K8/1000</f>
        <v>0.93536800000000009</v>
      </c>
      <c r="C9" s="109">
        <f>'1f.OOS RPS COD 2016'!K8/1000</f>
        <v>0.93536800000000009</v>
      </c>
      <c r="D9" s="498">
        <f>'1f.OOS RPS COD 2016'!K8/1000</f>
        <v>0.93536800000000009</v>
      </c>
    </row>
    <row r="10" spans="1:7" ht="24.75" customHeight="1">
      <c r="A10" s="110" t="s">
        <v>5362</v>
      </c>
      <c r="B10" s="283">
        <f>SUM(B3,B6,B8,B4)</f>
        <v>4.9074066706338986</v>
      </c>
      <c r="C10" s="111">
        <f>SUM(C3,C6,C8,C4)</f>
        <v>49.91406984891664</v>
      </c>
      <c r="D10" s="499">
        <f>SUM(D3,D6,D8,D4)</f>
        <v>57.114937738184352</v>
      </c>
    </row>
    <row r="11" spans="1:7" ht="24.75" customHeight="1">
      <c r="A11" s="110" t="s">
        <v>5363</v>
      </c>
      <c r="B11" s="283">
        <f>SUM(B9:B9,B5)</f>
        <v>17.802038987985057</v>
      </c>
      <c r="C11" s="111">
        <f>SUM(C9:C9,C5)</f>
        <v>19.064368000000002</v>
      </c>
      <c r="D11" s="499">
        <f>SUM(D9:D9,D5)</f>
        <v>17.802038987985057</v>
      </c>
    </row>
    <row r="12" spans="1:7" ht="24.75" customHeight="1">
      <c r="A12" s="112" t="s">
        <v>2919</v>
      </c>
      <c r="B12" s="111">
        <f>+B10+B11</f>
        <v>22.709445658618954</v>
      </c>
      <c r="C12" s="111">
        <f>+C10+C11</f>
        <v>68.978437848916641</v>
      </c>
      <c r="D12" s="499">
        <f>+D10+D11</f>
        <v>74.916976726169409</v>
      </c>
    </row>
    <row r="13" spans="1:7" ht="24.75" customHeight="1">
      <c r="A13" s="107" t="s">
        <v>5463</v>
      </c>
      <c r="B13" s="107"/>
      <c r="C13" s="464">
        <v>256.39699999999999</v>
      </c>
      <c r="D13" s="509">
        <v>257.39699999999999</v>
      </c>
    </row>
    <row r="14" spans="1:7" ht="24.75" customHeight="1">
      <c r="A14" s="110" t="s">
        <v>5465</v>
      </c>
      <c r="B14" s="107"/>
      <c r="C14" s="463">
        <f>C12/C13</f>
        <v>0.26902981645228552</v>
      </c>
      <c r="D14" s="508">
        <f>D12/D13</f>
        <v>0.29105613789659324</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616"/>
  <sheetViews>
    <sheetView topLeftCell="A465" zoomScale="85" zoomScaleNormal="85" workbookViewId="0">
      <selection activeCell="B81" sqref="B81"/>
    </sheetView>
  </sheetViews>
  <sheetFormatPr defaultRowHeight="12.75"/>
  <cols>
    <col min="1" max="1" width="22.85546875" style="255" customWidth="1"/>
    <col min="2" max="2" width="27" style="255" customWidth="1"/>
    <col min="3" max="3" width="12.42578125" style="255" customWidth="1"/>
    <col min="4" max="4" width="7" style="16" customWidth="1"/>
    <col min="5" max="5" width="9.85546875" style="16" customWidth="1"/>
    <col min="6" max="6" width="12.42578125" style="21" customWidth="1"/>
    <col min="7" max="8" width="9.28515625" style="245" customWidth="1"/>
    <col min="9" max="9" width="6.5703125" style="245" customWidth="1"/>
    <col min="10" max="10" width="9.28515625" style="255" customWidth="1"/>
    <col min="11" max="11" width="10.85546875" style="255" customWidth="1"/>
    <col min="12" max="15" width="15" style="60" customWidth="1"/>
    <col min="16" max="16" width="14.85546875" style="60" bestFit="1" customWidth="1"/>
    <col min="17" max="17" width="9.140625" style="18" customWidth="1"/>
    <col min="18" max="18" width="10.28515625" style="18" customWidth="1"/>
    <col min="19" max="20" width="9.85546875" style="19" customWidth="1"/>
    <col min="21" max="21" width="14.42578125" style="19" customWidth="1"/>
    <col min="22" max="22" width="17" style="20" customWidth="1"/>
    <col min="23" max="16384" width="9.140625" style="255"/>
  </cols>
  <sheetData>
    <row r="1" spans="1:28" s="388" customFormat="1" ht="57" customHeight="1">
      <c r="A1" s="602" t="s">
        <v>3770</v>
      </c>
      <c r="B1" s="603"/>
      <c r="C1" s="603"/>
      <c r="D1" s="603"/>
      <c r="E1" s="603"/>
      <c r="F1" s="603"/>
      <c r="G1" s="603"/>
      <c r="H1" s="604"/>
      <c r="I1" s="603"/>
      <c r="J1" s="603"/>
      <c r="K1" s="603"/>
      <c r="L1" s="603"/>
      <c r="M1" s="603"/>
      <c r="N1" s="603"/>
      <c r="O1" s="603"/>
      <c r="P1" s="603"/>
      <c r="Q1" s="603"/>
      <c r="R1" s="603"/>
      <c r="S1" s="603"/>
      <c r="T1" s="603"/>
      <c r="U1" s="603"/>
      <c r="V1" s="605"/>
    </row>
    <row r="2" spans="1:28" s="6" customFormat="1" ht="140.25">
      <c r="A2" s="22" t="s">
        <v>16</v>
      </c>
      <c r="B2" s="23" t="s">
        <v>1</v>
      </c>
      <c r="C2" s="26" t="s">
        <v>1636</v>
      </c>
      <c r="D2" s="61" t="s">
        <v>1096</v>
      </c>
      <c r="E2" s="61" t="s">
        <v>1943</v>
      </c>
      <c r="F2" s="26" t="s">
        <v>665</v>
      </c>
      <c r="G2" s="242" t="s">
        <v>2104</v>
      </c>
      <c r="H2" s="242" t="s">
        <v>3538</v>
      </c>
      <c r="I2" s="242" t="s">
        <v>3700</v>
      </c>
      <c r="J2" s="23" t="s">
        <v>2687</v>
      </c>
      <c r="K2" s="75" t="s">
        <v>3755</v>
      </c>
      <c r="L2" s="57" t="s">
        <v>664</v>
      </c>
      <c r="M2" s="57" t="s">
        <v>3778</v>
      </c>
      <c r="N2" s="57" t="s">
        <v>1265</v>
      </c>
      <c r="O2" s="24" t="s">
        <v>948</v>
      </c>
      <c r="P2" s="24" t="s">
        <v>779</v>
      </c>
      <c r="Q2" s="25" t="s">
        <v>505</v>
      </c>
      <c r="R2" s="25" t="s">
        <v>506</v>
      </c>
      <c r="S2" s="25" t="s">
        <v>5145</v>
      </c>
      <c r="T2" s="25" t="s">
        <v>5145</v>
      </c>
      <c r="U2" s="57" t="s">
        <v>3920</v>
      </c>
      <c r="V2" s="57" t="s">
        <v>3921</v>
      </c>
      <c r="AA2" s="6" t="s">
        <v>5513</v>
      </c>
      <c r="AB2" s="6" t="s">
        <v>5514</v>
      </c>
    </row>
    <row r="3" spans="1:28" ht="27" customHeight="1">
      <c r="A3" s="257" t="s">
        <v>1514</v>
      </c>
      <c r="B3" s="46" t="s">
        <v>2096</v>
      </c>
      <c r="C3" s="257" t="s">
        <v>1621</v>
      </c>
      <c r="D3" s="48" t="s">
        <v>1273</v>
      </c>
      <c r="E3" s="48" t="s">
        <v>2697</v>
      </c>
      <c r="F3" s="43">
        <v>41807</v>
      </c>
      <c r="G3" s="243" t="s">
        <v>3719</v>
      </c>
      <c r="H3" s="46">
        <v>58918</v>
      </c>
      <c r="I3" s="46"/>
      <c r="J3" s="257" t="s">
        <v>2946</v>
      </c>
      <c r="K3" s="257" t="s">
        <v>1089</v>
      </c>
      <c r="L3" s="266">
        <v>1.25</v>
      </c>
      <c r="M3" s="266">
        <v>2.653959</v>
      </c>
      <c r="N3" s="130">
        <v>1.446</v>
      </c>
      <c r="O3" s="28" t="s">
        <v>115</v>
      </c>
      <c r="P3" s="29" t="s">
        <v>115</v>
      </c>
      <c r="Q3" s="29" t="s">
        <v>115</v>
      </c>
      <c r="R3" s="29" t="s">
        <v>115</v>
      </c>
      <c r="S3" s="28">
        <f>IF(AND(U3,NOT(V3)),IFERROR(AVERAGE(M3:R3),0),0)</f>
        <v>2.0499795000000001</v>
      </c>
      <c r="T3" s="28">
        <f>IF(AND(U3,NOT(V3)),IFERROR(IF(YEAR(F3)=2015,AVERAGE(N3:R3,VLOOKUP(K3,$Z$3:$AA$10,2,FALSE)*L3*8.76),AVERAGE(M3:R3)),0),0)</f>
        <v>2.0499795000000001</v>
      </c>
      <c r="U3" s="266" t="b">
        <v>1</v>
      </c>
      <c r="V3" s="266" t="b">
        <v>0</v>
      </c>
      <c r="Z3" s="255" t="s">
        <v>1089</v>
      </c>
      <c r="AA3" s="255">
        <v>0.26500000000000001</v>
      </c>
      <c r="AB3" s="255" t="s">
        <v>5515</v>
      </c>
    </row>
    <row r="4" spans="1:28" s="259" customFormat="1" ht="27" customHeight="1">
      <c r="A4" s="143" t="s">
        <v>1726</v>
      </c>
      <c r="B4" s="143" t="s">
        <v>1725</v>
      </c>
      <c r="C4" s="257" t="s">
        <v>1724</v>
      </c>
      <c r="D4" s="48" t="s">
        <v>1067</v>
      </c>
      <c r="E4" s="209" t="s">
        <v>2699</v>
      </c>
      <c r="F4" s="151">
        <v>42124</v>
      </c>
      <c r="G4" s="262" t="s">
        <v>2612</v>
      </c>
      <c r="H4" s="262">
        <v>58920</v>
      </c>
      <c r="I4" s="188"/>
      <c r="J4" s="257" t="s">
        <v>2946</v>
      </c>
      <c r="K4" s="257" t="s">
        <v>1089</v>
      </c>
      <c r="L4" s="261">
        <v>1.9</v>
      </c>
      <c r="M4" s="144">
        <v>2.2349999999999999</v>
      </c>
      <c r="N4" s="258"/>
      <c r="O4" s="32"/>
      <c r="P4" s="241" t="s">
        <v>115</v>
      </c>
      <c r="Q4" s="134" t="s">
        <v>115</v>
      </c>
      <c r="R4" s="262" t="s">
        <v>115</v>
      </c>
      <c r="S4" s="28">
        <f t="shared" ref="S4:S67" si="0">IF(AND(U4,NOT(V4)),IFERROR(AVERAGE(M4:R4),0),0)</f>
        <v>2.2349999999999999</v>
      </c>
      <c r="T4" s="28">
        <f>IF(AND(U4,NOT(V4)),IFERROR(IF(YEAR(F4)=2015,AVERAGE(N4:R4,VLOOKUP(K4,$Z$3:$AA$10,2,FALSE)*L4*8.76),AVERAGE(M4:R4)),0),0)</f>
        <v>4.4106599999999991</v>
      </c>
      <c r="U4" s="266" t="b">
        <v>1</v>
      </c>
      <c r="V4" s="266" t="b">
        <v>0</v>
      </c>
      <c r="Z4" s="255" t="s">
        <v>9</v>
      </c>
      <c r="AA4" s="259">
        <v>0.4</v>
      </c>
      <c r="AB4" s="259" t="s">
        <v>5516</v>
      </c>
    </row>
    <row r="5" spans="1:28" s="259" customFormat="1" ht="27" customHeight="1">
      <c r="A5" s="257" t="s">
        <v>1738</v>
      </c>
      <c r="B5" s="46" t="s">
        <v>2591</v>
      </c>
      <c r="C5" s="257" t="s">
        <v>1672</v>
      </c>
      <c r="D5" s="48" t="s">
        <v>1073</v>
      </c>
      <c r="E5" s="48" t="s">
        <v>2701</v>
      </c>
      <c r="F5" s="43">
        <v>41975</v>
      </c>
      <c r="G5" s="243" t="s">
        <v>3718</v>
      </c>
      <c r="H5" s="46">
        <v>58919</v>
      </c>
      <c r="I5" s="46"/>
      <c r="J5" s="257" t="s">
        <v>2946</v>
      </c>
      <c r="K5" s="257" t="s">
        <v>1089</v>
      </c>
      <c r="L5" s="266">
        <v>1.25</v>
      </c>
      <c r="M5" s="266">
        <v>2.1989679999999998</v>
      </c>
      <c r="N5" s="130"/>
      <c r="O5" s="28"/>
      <c r="P5" s="29" t="s">
        <v>115</v>
      </c>
      <c r="Q5" s="29" t="s">
        <v>115</v>
      </c>
      <c r="R5" s="29" t="s">
        <v>115</v>
      </c>
      <c r="S5" s="28">
        <f t="shared" si="0"/>
        <v>2.1989679999999998</v>
      </c>
      <c r="T5" s="28">
        <f t="shared" ref="T5:T68" si="1">IF(AND(U5,NOT(V5)),IFERROR(IF(YEAR(F5)=2015,AVERAGE(N5:R5,VLOOKUP(K5,$Z$3:$AA$10,2,FALSE)*L5*8.76),AVERAGE(M5:R5)),0),0)</f>
        <v>2.1989679999999998</v>
      </c>
      <c r="U5" s="266" t="b">
        <v>1</v>
      </c>
      <c r="V5" s="266" t="b">
        <v>0</v>
      </c>
      <c r="Z5" s="255" t="s">
        <v>1177</v>
      </c>
      <c r="AA5" s="259">
        <v>0.65</v>
      </c>
      <c r="AB5" s="259" t="s">
        <v>5517</v>
      </c>
    </row>
    <row r="6" spans="1:28" s="259" customFormat="1" ht="27" customHeight="1">
      <c r="A6" s="252" t="s">
        <v>3887</v>
      </c>
      <c r="B6" s="165" t="s">
        <v>3236</v>
      </c>
      <c r="C6" s="252"/>
      <c r="D6" s="250"/>
      <c r="E6" s="163" t="s">
        <v>3237</v>
      </c>
      <c r="F6" s="251">
        <v>42048</v>
      </c>
      <c r="G6" s="262" t="s">
        <v>480</v>
      </c>
      <c r="H6" s="354"/>
      <c r="I6" s="188"/>
      <c r="J6" s="262"/>
      <c r="K6" s="257" t="s">
        <v>1089</v>
      </c>
      <c r="L6" s="258">
        <f>5.1/1.1</f>
        <v>4.6363636363636358</v>
      </c>
      <c r="M6" s="144"/>
      <c r="N6" s="144"/>
      <c r="O6" s="241"/>
      <c r="P6" s="253"/>
      <c r="Q6" s="253"/>
      <c r="R6" s="188"/>
      <c r="S6" s="28">
        <f t="shared" si="0"/>
        <v>0</v>
      </c>
      <c r="T6" s="28">
        <f t="shared" si="1"/>
        <v>10.762854545454545</v>
      </c>
      <c r="U6" s="266" t="b">
        <v>1</v>
      </c>
      <c r="V6" s="266" t="b">
        <v>0</v>
      </c>
      <c r="Z6" s="255" t="s">
        <v>7</v>
      </c>
      <c r="AA6" s="259">
        <v>0.85</v>
      </c>
      <c r="AB6" s="259" t="s">
        <v>5518</v>
      </c>
    </row>
    <row r="7" spans="1:28" ht="27" customHeight="1">
      <c r="A7" s="252" t="s">
        <v>2388</v>
      </c>
      <c r="B7" s="252" t="s">
        <v>1787</v>
      </c>
      <c r="C7" s="257"/>
      <c r="D7" s="48" t="s">
        <v>1320</v>
      </c>
      <c r="E7" s="48"/>
      <c r="F7" s="257"/>
      <c r="G7" s="252" t="s">
        <v>2386</v>
      </c>
      <c r="H7" s="252"/>
      <c r="I7" s="252"/>
      <c r="J7" s="257"/>
      <c r="K7" s="252" t="s">
        <v>9</v>
      </c>
      <c r="L7" s="268">
        <v>14.1</v>
      </c>
      <c r="M7" s="268">
        <v>13.346120000000001</v>
      </c>
      <c r="N7" s="32">
        <v>16.498000000000001</v>
      </c>
      <c r="O7" s="32" t="s">
        <v>115</v>
      </c>
      <c r="P7" s="32" t="s">
        <v>115</v>
      </c>
      <c r="Q7" s="253" t="s">
        <v>115</v>
      </c>
      <c r="R7" s="253" t="s">
        <v>115</v>
      </c>
      <c r="S7" s="28">
        <f t="shared" si="0"/>
        <v>14.922060000000002</v>
      </c>
      <c r="T7" s="28">
        <f t="shared" si="1"/>
        <v>14.922060000000002</v>
      </c>
      <c r="U7" s="266" t="b">
        <v>1</v>
      </c>
      <c r="V7" s="266" t="b">
        <v>0</v>
      </c>
      <c r="Z7" s="255" t="s">
        <v>2894</v>
      </c>
      <c r="AA7" s="255">
        <v>0.65</v>
      </c>
      <c r="AB7" s="259" t="s">
        <v>5517</v>
      </c>
    </row>
    <row r="8" spans="1:28" ht="27" customHeight="1">
      <c r="A8" s="252" t="s">
        <v>2389</v>
      </c>
      <c r="B8" s="252" t="s">
        <v>1788</v>
      </c>
      <c r="C8" s="257"/>
      <c r="D8" s="48" t="s">
        <v>1321</v>
      </c>
      <c r="E8" s="48" t="s">
        <v>3444</v>
      </c>
      <c r="F8" s="257"/>
      <c r="G8" s="252" t="s">
        <v>2387</v>
      </c>
      <c r="H8" s="252"/>
      <c r="I8" s="252"/>
      <c r="J8" s="257"/>
      <c r="K8" s="252" t="s">
        <v>9</v>
      </c>
      <c r="L8" s="268">
        <v>21.2</v>
      </c>
      <c r="M8" s="268">
        <v>17.295999999999999</v>
      </c>
      <c r="N8" s="32">
        <v>21.882999999999999</v>
      </c>
      <c r="O8" s="32" t="s">
        <v>115</v>
      </c>
      <c r="P8" s="32" t="s">
        <v>115</v>
      </c>
      <c r="Q8" s="253" t="s">
        <v>115</v>
      </c>
      <c r="R8" s="253" t="s">
        <v>115</v>
      </c>
      <c r="S8" s="28">
        <f t="shared" si="0"/>
        <v>19.589500000000001</v>
      </c>
      <c r="T8" s="28">
        <f t="shared" si="1"/>
        <v>19.589500000000001</v>
      </c>
      <c r="U8" s="266" t="b">
        <v>1</v>
      </c>
      <c r="V8" s="266" t="b">
        <v>0</v>
      </c>
      <c r="Z8" s="255" t="s">
        <v>3</v>
      </c>
      <c r="AA8" s="255">
        <v>0.65</v>
      </c>
      <c r="AB8" s="255" t="s">
        <v>5517</v>
      </c>
    </row>
    <row r="9" spans="1:28" ht="27" customHeight="1">
      <c r="A9" s="252" t="s">
        <v>1182</v>
      </c>
      <c r="B9" s="27" t="s">
        <v>1182</v>
      </c>
      <c r="C9" s="252" t="s">
        <v>1731</v>
      </c>
      <c r="D9" s="250" t="s">
        <v>3823</v>
      </c>
      <c r="E9" s="250" t="s">
        <v>2982</v>
      </c>
      <c r="F9" s="251">
        <v>41446</v>
      </c>
      <c r="G9" s="281" t="s">
        <v>2120</v>
      </c>
      <c r="H9" s="27">
        <v>58699</v>
      </c>
      <c r="I9" s="27"/>
      <c r="J9" s="257"/>
      <c r="K9" s="27" t="s">
        <v>1177</v>
      </c>
      <c r="L9" s="58">
        <v>2</v>
      </c>
      <c r="M9" s="58">
        <v>10.195</v>
      </c>
      <c r="N9" s="28">
        <v>7.984</v>
      </c>
      <c r="O9" s="28" t="s">
        <v>115</v>
      </c>
      <c r="P9" s="29" t="s">
        <v>115</v>
      </c>
      <c r="Q9" s="28" t="s">
        <v>115</v>
      </c>
      <c r="R9" s="28" t="s">
        <v>115</v>
      </c>
      <c r="S9" s="28">
        <f t="shared" si="0"/>
        <v>9.089500000000001</v>
      </c>
      <c r="T9" s="28">
        <f t="shared" si="1"/>
        <v>9.089500000000001</v>
      </c>
      <c r="U9" s="266" t="b">
        <v>1</v>
      </c>
      <c r="V9" s="266" t="b">
        <v>0</v>
      </c>
      <c r="Z9" s="255" t="s">
        <v>494</v>
      </c>
      <c r="AA9" s="255">
        <v>0.56999999999999995</v>
      </c>
      <c r="AB9" s="255" t="s">
        <v>5519</v>
      </c>
    </row>
    <row r="10" spans="1:28" ht="27" customHeight="1">
      <c r="A10" s="252" t="s">
        <v>2048</v>
      </c>
      <c r="B10" s="254" t="s">
        <v>891</v>
      </c>
      <c r="C10" s="252"/>
      <c r="D10" s="261" t="s">
        <v>895</v>
      </c>
      <c r="E10" s="261" t="s">
        <v>2047</v>
      </c>
      <c r="F10" s="138">
        <v>41091</v>
      </c>
      <c r="G10" s="277"/>
      <c r="H10" s="254"/>
      <c r="I10" s="254"/>
      <c r="J10" s="257" t="s">
        <v>3284</v>
      </c>
      <c r="K10" s="257" t="s">
        <v>1089</v>
      </c>
      <c r="L10" s="272">
        <v>1.9</v>
      </c>
      <c r="M10" s="272">
        <v>3.9180000000000001</v>
      </c>
      <c r="N10" s="130">
        <v>3.9180000000000001</v>
      </c>
      <c r="O10" s="136">
        <v>3.9180000000000001</v>
      </c>
      <c r="P10" s="37">
        <v>3.9180000000000001</v>
      </c>
      <c r="Q10" s="37" t="s">
        <v>115</v>
      </c>
      <c r="R10" s="37" t="s">
        <v>115</v>
      </c>
      <c r="S10" s="28">
        <f t="shared" si="0"/>
        <v>0</v>
      </c>
      <c r="T10" s="28">
        <f t="shared" si="1"/>
        <v>0</v>
      </c>
      <c r="U10" s="266" t="b">
        <v>1</v>
      </c>
      <c r="V10" s="266" t="b">
        <v>1</v>
      </c>
      <c r="Z10" s="255" t="s">
        <v>1079</v>
      </c>
      <c r="AA10" s="255">
        <v>0.26500000000000001</v>
      </c>
      <c r="AB10" s="255" t="s">
        <v>5520</v>
      </c>
    </row>
    <row r="11" spans="1:28" ht="27" customHeight="1">
      <c r="A11" s="252" t="s">
        <v>1522</v>
      </c>
      <c r="B11" s="256" t="s">
        <v>1523</v>
      </c>
      <c r="C11" s="252" t="s">
        <v>1635</v>
      </c>
      <c r="D11" s="250" t="s">
        <v>1282</v>
      </c>
      <c r="E11" s="250" t="s">
        <v>2708</v>
      </c>
      <c r="F11" s="251">
        <v>41974</v>
      </c>
      <c r="G11" s="282" t="s">
        <v>3630</v>
      </c>
      <c r="H11" s="256"/>
      <c r="I11" s="256"/>
      <c r="J11" s="257"/>
      <c r="K11" s="257" t="s">
        <v>1089</v>
      </c>
      <c r="L11" s="258">
        <v>19</v>
      </c>
      <c r="M11" s="258">
        <v>51.043999999999997</v>
      </c>
      <c r="N11" s="130">
        <v>1.54111</v>
      </c>
      <c r="O11" s="28" t="s">
        <v>115</v>
      </c>
      <c r="P11" s="32" t="s">
        <v>115</v>
      </c>
      <c r="Q11" s="253" t="s">
        <v>115</v>
      </c>
      <c r="R11" s="253" t="s">
        <v>115</v>
      </c>
      <c r="S11" s="28">
        <f t="shared" si="0"/>
        <v>26.292555</v>
      </c>
      <c r="T11" s="28">
        <f t="shared" si="1"/>
        <v>26.292555</v>
      </c>
      <c r="U11" s="266" t="b">
        <v>1</v>
      </c>
      <c r="V11" s="266" t="b">
        <v>0</v>
      </c>
    </row>
    <row r="12" spans="1:28" ht="27" customHeight="1">
      <c r="A12" s="252" t="s">
        <v>480</v>
      </c>
      <c r="B12" s="257" t="s">
        <v>473</v>
      </c>
      <c r="C12" s="252"/>
      <c r="D12" s="250" t="s">
        <v>806</v>
      </c>
      <c r="E12" s="250" t="s">
        <v>1992</v>
      </c>
      <c r="F12" s="137">
        <v>41059</v>
      </c>
      <c r="G12" s="188" t="s">
        <v>480</v>
      </c>
      <c r="H12" s="257"/>
      <c r="I12" s="257"/>
      <c r="J12" s="257"/>
      <c r="K12" s="27" t="s">
        <v>1089</v>
      </c>
      <c r="L12" s="268">
        <v>10</v>
      </c>
      <c r="M12" s="268">
        <v>18.114000000000001</v>
      </c>
      <c r="N12" s="130">
        <v>20.085999999999999</v>
      </c>
      <c r="O12" s="29">
        <v>21.154</v>
      </c>
      <c r="P12" s="29">
        <v>9.8829999999999991</v>
      </c>
      <c r="Q12" s="29" t="s">
        <v>115</v>
      </c>
      <c r="R12" s="29" t="s">
        <v>115</v>
      </c>
      <c r="S12" s="28">
        <f t="shared" si="0"/>
        <v>17.309249999999999</v>
      </c>
      <c r="T12" s="28">
        <f t="shared" si="1"/>
        <v>17.309249999999999</v>
      </c>
      <c r="U12" s="266" t="b">
        <v>1</v>
      </c>
      <c r="V12" s="266" t="b">
        <v>0</v>
      </c>
      <c r="Z12"/>
    </row>
    <row r="13" spans="1:28" ht="27" customHeight="1">
      <c r="A13" s="143" t="s">
        <v>3884</v>
      </c>
      <c r="B13" s="143" t="s">
        <v>1579</v>
      </c>
      <c r="C13" s="260" t="s">
        <v>1630</v>
      </c>
      <c r="D13" s="254" t="s">
        <v>3795</v>
      </c>
      <c r="E13" s="209" t="s">
        <v>2709</v>
      </c>
      <c r="F13" s="151">
        <v>42257</v>
      </c>
      <c r="G13" s="262" t="s">
        <v>3665</v>
      </c>
      <c r="H13" s="262"/>
      <c r="I13" s="188"/>
      <c r="J13" s="262" t="s">
        <v>1576</v>
      </c>
      <c r="K13" s="254" t="s">
        <v>1089</v>
      </c>
      <c r="L13" s="261">
        <v>20</v>
      </c>
      <c r="M13" s="258">
        <v>18.986000000000001</v>
      </c>
      <c r="N13" s="144" t="s">
        <v>115</v>
      </c>
      <c r="O13" s="241" t="s">
        <v>115</v>
      </c>
      <c r="P13" s="154" t="s">
        <v>115</v>
      </c>
      <c r="Q13" s="254" t="s">
        <v>115</v>
      </c>
      <c r="R13" s="264" t="s">
        <v>115</v>
      </c>
      <c r="S13" s="28">
        <f t="shared" si="0"/>
        <v>18.986000000000001</v>
      </c>
      <c r="T13" s="28">
        <f t="shared" si="1"/>
        <v>46.428000000000004</v>
      </c>
      <c r="U13" s="266" t="b">
        <v>1</v>
      </c>
      <c r="V13" s="266" t="b">
        <v>0</v>
      </c>
      <c r="Z13"/>
    </row>
    <row r="14" spans="1:28" ht="27" customHeight="1">
      <c r="A14" s="143" t="s">
        <v>1566</v>
      </c>
      <c r="B14" s="143" t="s">
        <v>1567</v>
      </c>
      <c r="C14" s="260" t="s">
        <v>1617</v>
      </c>
      <c r="D14" s="254" t="s">
        <v>3796</v>
      </c>
      <c r="E14" s="209" t="s">
        <v>2710</v>
      </c>
      <c r="F14" s="151">
        <v>42200</v>
      </c>
      <c r="G14" s="56" t="s">
        <v>3677</v>
      </c>
      <c r="H14" s="262"/>
      <c r="I14" s="188"/>
      <c r="J14" s="262" t="s">
        <v>1588</v>
      </c>
      <c r="K14" s="254" t="s">
        <v>1089</v>
      </c>
      <c r="L14" s="261">
        <v>7</v>
      </c>
      <c r="M14" s="258">
        <v>10.227</v>
      </c>
      <c r="N14" s="144" t="s">
        <v>115</v>
      </c>
      <c r="O14" s="241" t="s">
        <v>115</v>
      </c>
      <c r="P14" s="154" t="s">
        <v>115</v>
      </c>
      <c r="Q14" s="254" t="s">
        <v>115</v>
      </c>
      <c r="R14" s="264" t="s">
        <v>115</v>
      </c>
      <c r="S14" s="28">
        <f t="shared" si="0"/>
        <v>10.227</v>
      </c>
      <c r="T14" s="28">
        <f t="shared" si="1"/>
        <v>16.2498</v>
      </c>
      <c r="U14" s="266" t="b">
        <v>1</v>
      </c>
      <c r="V14" s="266" t="b">
        <v>0</v>
      </c>
      <c r="Z14"/>
    </row>
    <row r="15" spans="1:28" ht="27" customHeight="1">
      <c r="A15" s="166"/>
      <c r="B15" s="257" t="s">
        <v>3776</v>
      </c>
      <c r="C15" s="252" t="s">
        <v>3855</v>
      </c>
      <c r="D15" s="250" t="s">
        <v>3777</v>
      </c>
      <c r="E15" s="250" t="s">
        <v>3948</v>
      </c>
      <c r="F15" s="137">
        <v>42339</v>
      </c>
      <c r="G15" s="188" t="s">
        <v>4972</v>
      </c>
      <c r="H15" s="257"/>
      <c r="I15" s="257"/>
      <c r="J15" s="257" t="s">
        <v>475</v>
      </c>
      <c r="K15" s="27" t="s">
        <v>1089</v>
      </c>
      <c r="L15" s="268">
        <v>20</v>
      </c>
      <c r="M15" s="268">
        <v>1.17211</v>
      </c>
      <c r="N15" s="130" t="s">
        <v>115</v>
      </c>
      <c r="O15" s="29" t="s">
        <v>115</v>
      </c>
      <c r="P15" s="29" t="s">
        <v>115</v>
      </c>
      <c r="Q15" s="29" t="s">
        <v>115</v>
      </c>
      <c r="R15" s="29" t="s">
        <v>115</v>
      </c>
      <c r="S15" s="28">
        <f t="shared" si="0"/>
        <v>1.17211</v>
      </c>
      <c r="T15" s="28">
        <f t="shared" si="1"/>
        <v>46.428000000000004</v>
      </c>
      <c r="U15" s="266" t="b">
        <v>1</v>
      </c>
      <c r="V15" s="266" t="b">
        <v>0</v>
      </c>
      <c r="Z15"/>
    </row>
    <row r="16" spans="1:28" ht="27" customHeight="1">
      <c r="A16" s="252" t="s">
        <v>1181</v>
      </c>
      <c r="B16" s="256" t="s">
        <v>1519</v>
      </c>
      <c r="C16" s="252" t="s">
        <v>1637</v>
      </c>
      <c r="D16" s="261" t="s">
        <v>1278</v>
      </c>
      <c r="E16" s="261" t="s">
        <v>2711</v>
      </c>
      <c r="F16" s="138">
        <v>41780</v>
      </c>
      <c r="G16" s="282" t="s">
        <v>3593</v>
      </c>
      <c r="H16" s="256"/>
      <c r="I16" s="256"/>
      <c r="J16" s="257"/>
      <c r="K16" s="257" t="s">
        <v>1089</v>
      </c>
      <c r="L16" s="258">
        <v>20</v>
      </c>
      <c r="M16" s="258">
        <v>50.72</v>
      </c>
      <c r="N16" s="130">
        <v>36.031999999999996</v>
      </c>
      <c r="O16" s="28" t="s">
        <v>115</v>
      </c>
      <c r="P16" s="37" t="s">
        <v>115</v>
      </c>
      <c r="Q16" s="37" t="s">
        <v>115</v>
      </c>
      <c r="R16" s="37" t="s">
        <v>115</v>
      </c>
      <c r="S16" s="28">
        <f t="shared" si="0"/>
        <v>43.375999999999998</v>
      </c>
      <c r="T16" s="28">
        <f t="shared" si="1"/>
        <v>43.375999999999998</v>
      </c>
      <c r="U16" s="266" t="b">
        <v>1</v>
      </c>
      <c r="V16" s="266" t="b">
        <v>0</v>
      </c>
      <c r="Z16"/>
    </row>
    <row r="17" spans="1:26" s="259" customFormat="1" ht="27" customHeight="1">
      <c r="A17" s="27" t="s">
        <v>527</v>
      </c>
      <c r="B17" s="27" t="s">
        <v>528</v>
      </c>
      <c r="C17" s="252"/>
      <c r="D17" s="29" t="s">
        <v>777</v>
      </c>
      <c r="E17" s="29" t="s">
        <v>2712</v>
      </c>
      <c r="F17" s="251">
        <v>40535</v>
      </c>
      <c r="G17" s="281"/>
      <c r="H17" s="27"/>
      <c r="I17" s="27"/>
      <c r="J17" s="257"/>
      <c r="K17" s="27" t="s">
        <v>1089</v>
      </c>
      <c r="L17" s="58">
        <v>3.6</v>
      </c>
      <c r="M17" s="58">
        <v>6.3280000000000003</v>
      </c>
      <c r="N17" s="130">
        <v>6.32</v>
      </c>
      <c r="O17" s="28">
        <v>7.1870000000000003</v>
      </c>
      <c r="P17" s="29">
        <v>6.7489999999999997</v>
      </c>
      <c r="Q17" s="28">
        <v>6.5129999999999999</v>
      </c>
      <c r="R17" s="28">
        <v>6.2958999999999996</v>
      </c>
      <c r="S17" s="28">
        <f t="shared" si="0"/>
        <v>6.5654833333333329</v>
      </c>
      <c r="T17" s="28">
        <f t="shared" si="1"/>
        <v>6.5654833333333329</v>
      </c>
      <c r="U17" s="266" t="b">
        <v>1</v>
      </c>
      <c r="V17" s="266" t="b">
        <v>0</v>
      </c>
      <c r="Z17"/>
    </row>
    <row r="18" spans="1:26" s="259" customFormat="1" ht="27" customHeight="1">
      <c r="A18" s="27" t="s">
        <v>534</v>
      </c>
      <c r="B18" s="27" t="s">
        <v>535</v>
      </c>
      <c r="C18" s="252"/>
      <c r="D18" s="29" t="s">
        <v>776</v>
      </c>
      <c r="E18" s="29" t="s">
        <v>2713</v>
      </c>
      <c r="F18" s="251">
        <v>40319</v>
      </c>
      <c r="G18" s="281"/>
      <c r="H18" s="27"/>
      <c r="I18" s="27"/>
      <c r="J18" s="257"/>
      <c r="K18" s="27" t="s">
        <v>1089</v>
      </c>
      <c r="L18" s="58">
        <v>2.4</v>
      </c>
      <c r="M18" s="58">
        <v>4.1580000000000004</v>
      </c>
      <c r="N18" s="130">
        <v>4.2300000000000004</v>
      </c>
      <c r="O18" s="28">
        <v>4.7430000000000003</v>
      </c>
      <c r="P18" s="29">
        <v>4.4969999999999999</v>
      </c>
      <c r="Q18" s="34">
        <v>4.3609999999999998</v>
      </c>
      <c r="R18" s="28">
        <v>2.8580000000000001</v>
      </c>
      <c r="S18" s="28">
        <f t="shared" si="0"/>
        <v>4.1411666666666669</v>
      </c>
      <c r="T18" s="28">
        <f t="shared" si="1"/>
        <v>4.1411666666666669</v>
      </c>
      <c r="U18" s="266" t="b">
        <v>1</v>
      </c>
      <c r="V18" s="266" t="b">
        <v>0</v>
      </c>
      <c r="Z18"/>
    </row>
    <row r="19" spans="1:26" ht="27" customHeight="1">
      <c r="A19" s="252"/>
      <c r="B19" s="252" t="s">
        <v>3788</v>
      </c>
      <c r="C19" s="257"/>
      <c r="D19" s="48" t="s">
        <v>1338</v>
      </c>
      <c r="E19" s="48"/>
      <c r="F19" s="257"/>
      <c r="G19" s="252"/>
      <c r="H19" s="252"/>
      <c r="I19" s="252"/>
      <c r="J19" s="257"/>
      <c r="K19" s="252" t="s">
        <v>9</v>
      </c>
      <c r="L19" s="268">
        <v>6.64</v>
      </c>
      <c r="M19" s="268">
        <v>6.5399799999999999</v>
      </c>
      <c r="N19" s="32">
        <v>7.7633900000000002</v>
      </c>
      <c r="O19" s="32" t="s">
        <v>115</v>
      </c>
      <c r="P19" s="32" t="s">
        <v>115</v>
      </c>
      <c r="Q19" s="253" t="s">
        <v>115</v>
      </c>
      <c r="R19" s="253" t="s">
        <v>115</v>
      </c>
      <c r="S19" s="28">
        <f t="shared" si="0"/>
        <v>7.1516850000000005</v>
      </c>
      <c r="T19" s="28">
        <f t="shared" si="1"/>
        <v>7.1516850000000005</v>
      </c>
      <c r="U19" s="266" t="b">
        <v>1</v>
      </c>
      <c r="V19" s="266" t="b">
        <v>0</v>
      </c>
      <c r="Z19"/>
    </row>
    <row r="20" spans="1:26" ht="27" customHeight="1">
      <c r="A20" s="27" t="s">
        <v>78</v>
      </c>
      <c r="B20" s="27" t="s">
        <v>1455</v>
      </c>
      <c r="C20" s="252" t="s">
        <v>3439</v>
      </c>
      <c r="D20" s="250" t="s">
        <v>775</v>
      </c>
      <c r="E20" s="250" t="s">
        <v>3443</v>
      </c>
      <c r="F20" s="43" t="s">
        <v>1145</v>
      </c>
      <c r="G20" s="27" t="s">
        <v>2202</v>
      </c>
      <c r="H20" s="27"/>
      <c r="I20" s="27"/>
      <c r="J20" s="257"/>
      <c r="K20" s="27" t="s">
        <v>7</v>
      </c>
      <c r="L20" s="58">
        <v>22.4</v>
      </c>
      <c r="M20" s="58">
        <v>132.13399999999999</v>
      </c>
      <c r="N20" s="130">
        <v>139.69300000000001</v>
      </c>
      <c r="O20" s="28">
        <v>112.148</v>
      </c>
      <c r="P20" s="29">
        <v>119.46899999999999</v>
      </c>
      <c r="Q20" s="28">
        <v>132.18199999999999</v>
      </c>
      <c r="R20" s="28">
        <v>148.96199999999999</v>
      </c>
      <c r="S20" s="28">
        <f t="shared" si="0"/>
        <v>130.76466666666667</v>
      </c>
      <c r="T20" s="28">
        <f t="shared" si="1"/>
        <v>130.76466666666667</v>
      </c>
      <c r="U20" s="266" t="b">
        <v>1</v>
      </c>
      <c r="V20" s="266" t="b">
        <v>0</v>
      </c>
      <c r="Z20"/>
    </row>
    <row r="21" spans="1:26" ht="27" customHeight="1">
      <c r="A21" s="252" t="s">
        <v>1572</v>
      </c>
      <c r="B21" s="256" t="s">
        <v>1542</v>
      </c>
      <c r="C21" s="252" t="s">
        <v>1638</v>
      </c>
      <c r="D21" s="250" t="s">
        <v>1297</v>
      </c>
      <c r="E21" s="163" t="s">
        <v>3211</v>
      </c>
      <c r="F21" s="251">
        <v>42111</v>
      </c>
      <c r="G21" s="262" t="s">
        <v>2605</v>
      </c>
      <c r="H21" s="262"/>
      <c r="I21" s="257"/>
      <c r="J21" s="262" t="s">
        <v>1571</v>
      </c>
      <c r="K21" s="257" t="s">
        <v>1089</v>
      </c>
      <c r="L21" s="258">
        <v>20</v>
      </c>
      <c r="M21" s="144">
        <v>34.602040000000002</v>
      </c>
      <c r="N21" s="241" t="s">
        <v>115</v>
      </c>
      <c r="O21" s="153" t="s">
        <v>115</v>
      </c>
      <c r="P21" s="262" t="s">
        <v>115</v>
      </c>
      <c r="Q21" s="188" t="s">
        <v>115</v>
      </c>
      <c r="R21" s="253" t="s">
        <v>115</v>
      </c>
      <c r="S21" s="28">
        <f t="shared" si="0"/>
        <v>34.602040000000002</v>
      </c>
      <c r="T21" s="28">
        <f t="shared" si="1"/>
        <v>46.428000000000004</v>
      </c>
      <c r="U21" s="266" t="b">
        <v>1</v>
      </c>
      <c r="V21" s="266" t="b">
        <v>0</v>
      </c>
      <c r="Z21"/>
    </row>
    <row r="22" spans="1:26" ht="27" customHeight="1">
      <c r="A22" s="252" t="s">
        <v>1535</v>
      </c>
      <c r="B22" s="256" t="s">
        <v>1534</v>
      </c>
      <c r="C22" s="252"/>
      <c r="D22" s="250" t="s">
        <v>1394</v>
      </c>
      <c r="E22" s="250" t="s">
        <v>2714</v>
      </c>
      <c r="F22" s="251">
        <v>41969</v>
      </c>
      <c r="G22" s="200" t="s">
        <v>3736</v>
      </c>
      <c r="H22" s="256"/>
      <c r="I22" s="256"/>
      <c r="J22" s="257"/>
      <c r="K22" s="257" t="s">
        <v>1089</v>
      </c>
      <c r="L22" s="258">
        <v>50</v>
      </c>
      <c r="M22" s="258">
        <v>138.21</v>
      </c>
      <c r="N22" s="130"/>
      <c r="O22" s="28" t="s">
        <v>115</v>
      </c>
      <c r="P22" s="32" t="s">
        <v>115</v>
      </c>
      <c r="Q22" s="253" t="s">
        <v>115</v>
      </c>
      <c r="R22" s="253" t="s">
        <v>115</v>
      </c>
      <c r="S22" s="28">
        <f t="shared" si="0"/>
        <v>138.21</v>
      </c>
      <c r="T22" s="28">
        <f t="shared" si="1"/>
        <v>138.21</v>
      </c>
      <c r="U22" s="266" t="b">
        <v>1</v>
      </c>
      <c r="V22" s="266" t="b">
        <v>0</v>
      </c>
      <c r="Z22"/>
    </row>
    <row r="23" spans="1:26" ht="27" customHeight="1">
      <c r="A23" s="252" t="s">
        <v>1094</v>
      </c>
      <c r="B23" s="257" t="s">
        <v>1005</v>
      </c>
      <c r="C23" s="252" t="s">
        <v>3360</v>
      </c>
      <c r="D23" s="48" t="s">
        <v>690</v>
      </c>
      <c r="E23" s="48" t="s">
        <v>2108</v>
      </c>
      <c r="F23" s="49">
        <v>41292</v>
      </c>
      <c r="G23" s="188" t="s">
        <v>2107</v>
      </c>
      <c r="H23" s="257"/>
      <c r="I23" s="257"/>
      <c r="J23" s="257"/>
      <c r="K23" s="257" t="s">
        <v>1089</v>
      </c>
      <c r="L23" s="266">
        <v>66</v>
      </c>
      <c r="M23" s="266">
        <v>166.797</v>
      </c>
      <c r="N23" s="130">
        <v>167.45099999999999</v>
      </c>
      <c r="O23" s="28">
        <v>161.72200000000001</v>
      </c>
      <c r="P23" s="29" t="s">
        <v>115</v>
      </c>
      <c r="Q23" s="31" t="s">
        <v>115</v>
      </c>
      <c r="R23" s="29" t="s">
        <v>115</v>
      </c>
      <c r="S23" s="28">
        <f t="shared" si="0"/>
        <v>165.32333333333335</v>
      </c>
      <c r="T23" s="28">
        <f t="shared" si="1"/>
        <v>165.32333333333335</v>
      </c>
      <c r="U23" s="266" t="b">
        <v>1</v>
      </c>
      <c r="V23" s="266" t="b">
        <v>0</v>
      </c>
      <c r="Z23"/>
    </row>
    <row r="24" spans="1:26" ht="27" customHeight="1">
      <c r="A24" s="252"/>
      <c r="B24" s="252" t="s">
        <v>1790</v>
      </c>
      <c r="C24" s="257"/>
      <c r="D24" s="48" t="s">
        <v>1357</v>
      </c>
      <c r="E24" s="48" t="s">
        <v>3445</v>
      </c>
      <c r="F24" s="257"/>
      <c r="G24" s="252" t="s">
        <v>2392</v>
      </c>
      <c r="H24" s="252"/>
      <c r="I24" s="252"/>
      <c r="J24" s="257"/>
      <c r="K24" s="252" t="s">
        <v>9</v>
      </c>
      <c r="L24" s="268">
        <v>150</v>
      </c>
      <c r="M24" s="268">
        <v>341.33659</v>
      </c>
      <c r="N24" s="32">
        <v>403.25486999999998</v>
      </c>
      <c r="O24" s="32" t="s">
        <v>115</v>
      </c>
      <c r="P24" s="32" t="s">
        <v>115</v>
      </c>
      <c r="Q24" s="253" t="s">
        <v>115</v>
      </c>
      <c r="R24" s="253" t="s">
        <v>115</v>
      </c>
      <c r="S24" s="28">
        <f t="shared" si="0"/>
        <v>372.29572999999999</v>
      </c>
      <c r="T24" s="28">
        <f t="shared" si="1"/>
        <v>372.29572999999999</v>
      </c>
      <c r="U24" s="266" t="b">
        <v>1</v>
      </c>
      <c r="V24" s="266" t="b">
        <v>0</v>
      </c>
      <c r="Z24"/>
    </row>
    <row r="25" spans="1:26" ht="27" customHeight="1">
      <c r="A25" s="252"/>
      <c r="B25" s="252" t="s">
        <v>1791</v>
      </c>
      <c r="C25" s="257"/>
      <c r="D25" s="48" t="s">
        <v>1359</v>
      </c>
      <c r="E25" s="48" t="s">
        <v>3446</v>
      </c>
      <c r="F25" s="257"/>
      <c r="G25" s="252" t="s">
        <v>2393</v>
      </c>
      <c r="H25" s="252"/>
      <c r="I25" s="252"/>
      <c r="J25" s="257"/>
      <c r="K25" s="252" t="s">
        <v>9</v>
      </c>
      <c r="L25" s="268">
        <v>150</v>
      </c>
      <c r="M25" s="268">
        <v>279.82936999999998</v>
      </c>
      <c r="N25" s="32">
        <v>328.95840000000004</v>
      </c>
      <c r="O25" s="32" t="s">
        <v>115</v>
      </c>
      <c r="P25" s="32" t="s">
        <v>115</v>
      </c>
      <c r="Q25" s="253" t="s">
        <v>115</v>
      </c>
      <c r="R25" s="253" t="s">
        <v>115</v>
      </c>
      <c r="S25" s="28">
        <f t="shared" si="0"/>
        <v>304.39388500000001</v>
      </c>
      <c r="T25" s="28">
        <f t="shared" si="1"/>
        <v>304.39388500000001</v>
      </c>
      <c r="U25" s="266" t="b">
        <v>1</v>
      </c>
      <c r="V25" s="266" t="b">
        <v>0</v>
      </c>
      <c r="Z25"/>
    </row>
    <row r="26" spans="1:26" ht="27" customHeight="1">
      <c r="A26" s="252"/>
      <c r="B26" s="252" t="s">
        <v>1792</v>
      </c>
      <c r="C26" s="257"/>
      <c r="D26" s="48" t="s">
        <v>1362</v>
      </c>
      <c r="E26" s="48" t="s">
        <v>3447</v>
      </c>
      <c r="F26" s="257"/>
      <c r="G26" s="252" t="s">
        <v>2394</v>
      </c>
      <c r="H26" s="252"/>
      <c r="I26" s="252"/>
      <c r="J26" s="257"/>
      <c r="K26" s="252" t="s">
        <v>9</v>
      </c>
      <c r="L26" s="268">
        <v>150</v>
      </c>
      <c r="M26" s="268">
        <v>300.28040000000004</v>
      </c>
      <c r="N26" s="32">
        <v>349.24693000000002</v>
      </c>
      <c r="O26" s="32" t="s">
        <v>115</v>
      </c>
      <c r="P26" s="32" t="s">
        <v>115</v>
      </c>
      <c r="Q26" s="253" t="s">
        <v>115</v>
      </c>
      <c r="R26" s="253" t="s">
        <v>115</v>
      </c>
      <c r="S26" s="28">
        <f t="shared" si="0"/>
        <v>324.76366500000006</v>
      </c>
      <c r="T26" s="28">
        <f t="shared" si="1"/>
        <v>324.76366500000006</v>
      </c>
      <c r="U26" s="266" t="b">
        <v>1</v>
      </c>
      <c r="V26" s="266" t="b">
        <v>0</v>
      </c>
      <c r="Z26"/>
    </row>
    <row r="27" spans="1:26" ht="27" customHeight="1">
      <c r="A27" s="252"/>
      <c r="B27" s="252" t="s">
        <v>1793</v>
      </c>
      <c r="C27" s="257"/>
      <c r="D27" s="48" t="s">
        <v>1363</v>
      </c>
      <c r="E27" s="48" t="s">
        <v>3448</v>
      </c>
      <c r="F27" s="257"/>
      <c r="G27" s="252" t="s">
        <v>2395</v>
      </c>
      <c r="H27" s="252"/>
      <c r="I27" s="252"/>
      <c r="J27" s="257"/>
      <c r="K27" s="252" t="s">
        <v>9</v>
      </c>
      <c r="L27" s="268">
        <v>102</v>
      </c>
      <c r="M27" s="268">
        <v>134.74345000000002</v>
      </c>
      <c r="N27" s="32">
        <v>168.32187999999999</v>
      </c>
      <c r="O27" s="32" t="s">
        <v>115</v>
      </c>
      <c r="P27" s="32" t="s">
        <v>115</v>
      </c>
      <c r="Q27" s="253" t="s">
        <v>115</v>
      </c>
      <c r="R27" s="253" t="s">
        <v>115</v>
      </c>
      <c r="S27" s="28">
        <f t="shared" si="0"/>
        <v>151.53266500000001</v>
      </c>
      <c r="T27" s="28">
        <f t="shared" si="1"/>
        <v>151.53266500000001</v>
      </c>
      <c r="U27" s="266" t="b">
        <v>1</v>
      </c>
      <c r="V27" s="266" t="b">
        <v>0</v>
      </c>
      <c r="Z27"/>
    </row>
    <row r="28" spans="1:26" ht="27" customHeight="1">
      <c r="A28" s="252"/>
      <c r="B28" s="252" t="s">
        <v>1794</v>
      </c>
      <c r="C28" s="257"/>
      <c r="D28" s="48" t="s">
        <v>1423</v>
      </c>
      <c r="E28" s="48" t="s">
        <v>2390</v>
      </c>
      <c r="F28" s="257"/>
      <c r="G28" s="252" t="s">
        <v>2391</v>
      </c>
      <c r="H28" s="200"/>
      <c r="I28" s="252"/>
      <c r="J28" s="257"/>
      <c r="K28" s="252" t="s">
        <v>9</v>
      </c>
      <c r="L28" s="268">
        <v>28.17</v>
      </c>
      <c r="M28" s="268"/>
      <c r="N28" s="268"/>
      <c r="O28" s="32"/>
      <c r="P28" s="32"/>
      <c r="Q28" s="253"/>
      <c r="R28" s="253"/>
      <c r="S28" s="28">
        <f t="shared" si="0"/>
        <v>0</v>
      </c>
      <c r="T28" s="28">
        <f t="shared" si="1"/>
        <v>0</v>
      </c>
      <c r="U28" s="266" t="b">
        <v>0</v>
      </c>
      <c r="V28" s="266" t="b">
        <v>0</v>
      </c>
      <c r="Z28"/>
    </row>
    <row r="29" spans="1:26" ht="27" customHeight="1">
      <c r="A29" s="252"/>
      <c r="B29" s="252" t="s">
        <v>1795</v>
      </c>
      <c r="C29" s="257"/>
      <c r="D29" s="48" t="s">
        <v>1364</v>
      </c>
      <c r="E29" s="48" t="s">
        <v>3449</v>
      </c>
      <c r="F29" s="257"/>
      <c r="G29" s="252" t="s">
        <v>2397</v>
      </c>
      <c r="H29" s="252"/>
      <c r="I29" s="252"/>
      <c r="J29" s="257"/>
      <c r="K29" s="252" t="s">
        <v>9</v>
      </c>
      <c r="L29" s="268">
        <v>168</v>
      </c>
      <c r="M29" s="268">
        <v>220.01132999999999</v>
      </c>
      <c r="N29" s="32">
        <v>269.90053999999998</v>
      </c>
      <c r="O29" s="32" t="s">
        <v>115</v>
      </c>
      <c r="P29" s="32" t="s">
        <v>115</v>
      </c>
      <c r="Q29" s="253" t="s">
        <v>115</v>
      </c>
      <c r="R29" s="253" t="s">
        <v>115</v>
      </c>
      <c r="S29" s="28">
        <f t="shared" si="0"/>
        <v>244.95593499999998</v>
      </c>
      <c r="T29" s="28">
        <f t="shared" si="1"/>
        <v>244.95593499999998</v>
      </c>
      <c r="U29" s="266" t="b">
        <v>1</v>
      </c>
      <c r="V29" s="266" t="b">
        <v>0</v>
      </c>
      <c r="Z29"/>
    </row>
    <row r="30" spans="1:26" ht="27" customHeight="1">
      <c r="A30" s="252"/>
      <c r="B30" s="252" t="s">
        <v>1796</v>
      </c>
      <c r="C30" s="257"/>
      <c r="D30" s="48" t="s">
        <v>1367</v>
      </c>
      <c r="E30" s="48" t="s">
        <v>3450</v>
      </c>
      <c r="F30" s="257"/>
      <c r="G30" s="252" t="s">
        <v>2399</v>
      </c>
      <c r="H30" s="252"/>
      <c r="I30" s="252"/>
      <c r="J30" s="257"/>
      <c r="K30" s="252" t="s">
        <v>9</v>
      </c>
      <c r="L30" s="268">
        <v>150</v>
      </c>
      <c r="M30" s="268">
        <v>231.52323000000001</v>
      </c>
      <c r="N30" s="32">
        <v>282.71873999999997</v>
      </c>
      <c r="O30" s="32" t="s">
        <v>115</v>
      </c>
      <c r="P30" s="32" t="s">
        <v>115</v>
      </c>
      <c r="Q30" s="253" t="s">
        <v>115</v>
      </c>
      <c r="R30" s="253" t="s">
        <v>115</v>
      </c>
      <c r="S30" s="28">
        <f t="shared" si="0"/>
        <v>257.12098500000002</v>
      </c>
      <c r="T30" s="28">
        <f t="shared" si="1"/>
        <v>257.12098500000002</v>
      </c>
      <c r="U30" s="266" t="b">
        <v>1</v>
      </c>
      <c r="V30" s="266" t="b">
        <v>0</v>
      </c>
      <c r="Z30"/>
    </row>
    <row r="31" spans="1:26" ht="27" customHeight="1">
      <c r="A31" s="252"/>
      <c r="B31" s="252" t="s">
        <v>1797</v>
      </c>
      <c r="C31" s="257"/>
      <c r="D31" s="48" t="s">
        <v>1437</v>
      </c>
      <c r="E31" s="48">
        <v>62244</v>
      </c>
      <c r="F31" s="257"/>
      <c r="G31" s="252" t="s">
        <v>5194</v>
      </c>
      <c r="H31" s="252"/>
      <c r="I31" s="252"/>
      <c r="J31" s="252" t="s">
        <v>5194</v>
      </c>
      <c r="K31" s="252" t="s">
        <v>9</v>
      </c>
      <c r="L31" s="268">
        <v>138</v>
      </c>
      <c r="M31" s="268">
        <v>309.40893</v>
      </c>
      <c r="N31" s="32">
        <v>328.08269999999999</v>
      </c>
      <c r="O31" s="32" t="s">
        <v>115</v>
      </c>
      <c r="P31" s="32" t="s">
        <v>115</v>
      </c>
      <c r="Q31" s="253" t="s">
        <v>115</v>
      </c>
      <c r="R31" s="253" t="s">
        <v>115</v>
      </c>
      <c r="S31" s="28">
        <f t="shared" si="0"/>
        <v>318.74581499999999</v>
      </c>
      <c r="T31" s="28">
        <f t="shared" si="1"/>
        <v>318.74581499999999</v>
      </c>
      <c r="U31" s="266" t="b">
        <v>1</v>
      </c>
      <c r="V31" s="266" t="b">
        <v>0</v>
      </c>
      <c r="Z31"/>
    </row>
    <row r="32" spans="1:26" ht="27" customHeight="1">
      <c r="A32" s="252"/>
      <c r="B32" s="252" t="s">
        <v>1798</v>
      </c>
      <c r="C32" s="257"/>
      <c r="D32" s="48" t="s">
        <v>1438</v>
      </c>
      <c r="E32" s="48">
        <v>62245</v>
      </c>
      <c r="F32" s="257"/>
      <c r="G32" s="252" t="s">
        <v>2396</v>
      </c>
      <c r="H32" s="252"/>
      <c r="I32" s="252"/>
      <c r="J32" s="252" t="s">
        <v>5194</v>
      </c>
      <c r="K32" s="252" t="s">
        <v>9</v>
      </c>
      <c r="L32" s="268">
        <v>90</v>
      </c>
      <c r="M32" s="268">
        <v>223.60983999999999</v>
      </c>
      <c r="N32" s="32">
        <v>249.98546999999999</v>
      </c>
      <c r="O32" s="32" t="s">
        <v>115</v>
      </c>
      <c r="P32" s="32" t="s">
        <v>115</v>
      </c>
      <c r="Q32" s="253" t="s">
        <v>115</v>
      </c>
      <c r="R32" s="253" t="s">
        <v>115</v>
      </c>
      <c r="S32" s="28">
        <f t="shared" si="0"/>
        <v>236.79765499999999</v>
      </c>
      <c r="T32" s="28">
        <f t="shared" si="1"/>
        <v>236.79765499999999</v>
      </c>
      <c r="U32" s="266" t="b">
        <v>1</v>
      </c>
      <c r="V32" s="266" t="b">
        <v>0</v>
      </c>
      <c r="Z32"/>
    </row>
    <row r="33" spans="1:26" ht="27" customHeight="1">
      <c r="A33" s="252"/>
      <c r="B33" s="252" t="s">
        <v>1799</v>
      </c>
      <c r="C33" s="257"/>
      <c r="D33" s="48" t="s">
        <v>1413</v>
      </c>
      <c r="E33" s="48"/>
      <c r="F33" s="257"/>
      <c r="G33" s="252"/>
      <c r="H33" s="252"/>
      <c r="I33" s="252"/>
      <c r="J33" s="257"/>
      <c r="K33" s="252" t="s">
        <v>9</v>
      </c>
      <c r="L33" s="268">
        <v>10</v>
      </c>
      <c r="M33" s="268">
        <v>16.97429</v>
      </c>
      <c r="N33" s="32">
        <v>12.7919</v>
      </c>
      <c r="O33" s="32" t="s">
        <v>115</v>
      </c>
      <c r="P33" s="32" t="s">
        <v>115</v>
      </c>
      <c r="Q33" s="253" t="s">
        <v>115</v>
      </c>
      <c r="R33" s="253" t="s">
        <v>115</v>
      </c>
      <c r="S33" s="28">
        <f t="shared" si="0"/>
        <v>14.883095000000001</v>
      </c>
      <c r="T33" s="28">
        <f t="shared" si="1"/>
        <v>14.883095000000001</v>
      </c>
      <c r="U33" s="266" t="b">
        <v>1</v>
      </c>
      <c r="V33" s="266" t="b">
        <v>0</v>
      </c>
      <c r="Z33"/>
    </row>
    <row r="34" spans="1:26" ht="27" customHeight="1">
      <c r="A34" s="27" t="s">
        <v>45</v>
      </c>
      <c r="B34" s="27" t="s">
        <v>950</v>
      </c>
      <c r="C34" s="252"/>
      <c r="D34" s="250" t="s">
        <v>774</v>
      </c>
      <c r="E34" s="250" t="s">
        <v>4921</v>
      </c>
      <c r="F34" s="251"/>
      <c r="G34" s="281" t="s">
        <v>2328</v>
      </c>
      <c r="H34" s="27"/>
      <c r="I34" s="27"/>
      <c r="J34" s="257"/>
      <c r="K34" s="27" t="s">
        <v>2894</v>
      </c>
      <c r="L34" s="58">
        <f>3.2+3.2+1.3+1.3</f>
        <v>9</v>
      </c>
      <c r="M34" s="58">
        <v>60.862000000000002</v>
      </c>
      <c r="N34" s="130">
        <v>40.6</v>
      </c>
      <c r="O34" s="28">
        <v>52.075000000000003</v>
      </c>
      <c r="P34" s="29">
        <v>53.761000000000003</v>
      </c>
      <c r="Q34" s="28">
        <v>55.121000000000002</v>
      </c>
      <c r="R34" s="28">
        <v>50.177</v>
      </c>
      <c r="S34" s="28">
        <f t="shared" si="0"/>
        <v>52.099333333333334</v>
      </c>
      <c r="T34" s="28">
        <f t="shared" si="1"/>
        <v>52.099333333333334</v>
      </c>
      <c r="U34" s="266" t="b">
        <v>1</v>
      </c>
      <c r="V34" s="266" t="b">
        <v>0</v>
      </c>
      <c r="Z34"/>
    </row>
    <row r="35" spans="1:26" ht="27" customHeight="1">
      <c r="A35" s="252"/>
      <c r="B35" s="252" t="s">
        <v>1800</v>
      </c>
      <c r="C35" s="257"/>
      <c r="D35" s="48" t="s">
        <v>1412</v>
      </c>
      <c r="E35" s="48" t="s">
        <v>3451</v>
      </c>
      <c r="F35" s="257"/>
      <c r="G35" s="252"/>
      <c r="H35" s="200"/>
      <c r="I35" s="252"/>
      <c r="J35" s="257"/>
      <c r="K35" s="252" t="s">
        <v>9</v>
      </c>
      <c r="L35" s="268">
        <v>9.0399999999999991</v>
      </c>
      <c r="M35" s="268"/>
      <c r="N35" s="268"/>
      <c r="O35" s="32"/>
      <c r="P35" s="32"/>
      <c r="Q35" s="253"/>
      <c r="R35" s="253"/>
      <c r="S35" s="28">
        <f t="shared" si="0"/>
        <v>0</v>
      </c>
      <c r="T35" s="28">
        <f t="shared" si="1"/>
        <v>0</v>
      </c>
      <c r="U35" s="266" t="b">
        <v>0</v>
      </c>
      <c r="V35" s="266" t="b">
        <v>0</v>
      </c>
      <c r="Z35"/>
    </row>
    <row r="36" spans="1:26" s="259" customFormat="1" ht="27" customHeight="1">
      <c r="A36" s="252"/>
      <c r="B36" s="252" t="s">
        <v>1801</v>
      </c>
      <c r="C36" s="257"/>
      <c r="D36" s="48" t="s">
        <v>1330</v>
      </c>
      <c r="E36" s="48" t="s">
        <v>3452</v>
      </c>
      <c r="F36" s="257"/>
      <c r="G36" s="252" t="s">
        <v>2400</v>
      </c>
      <c r="H36" s="252"/>
      <c r="I36" s="252"/>
      <c r="J36" s="257"/>
      <c r="K36" s="252" t="s">
        <v>9</v>
      </c>
      <c r="L36" s="268">
        <v>29.47</v>
      </c>
      <c r="M36" s="268">
        <v>29.13871</v>
      </c>
      <c r="N36" s="32">
        <v>39.256370000000004</v>
      </c>
      <c r="O36" s="32" t="s">
        <v>115</v>
      </c>
      <c r="P36" s="32" t="s">
        <v>115</v>
      </c>
      <c r="Q36" s="253" t="s">
        <v>115</v>
      </c>
      <c r="R36" s="253" t="s">
        <v>115</v>
      </c>
      <c r="S36" s="28">
        <f t="shared" si="0"/>
        <v>34.197540000000004</v>
      </c>
      <c r="T36" s="28">
        <f t="shared" si="1"/>
        <v>34.197540000000004</v>
      </c>
      <c r="U36" s="266" t="b">
        <v>1</v>
      </c>
      <c r="V36" s="266" t="b">
        <v>0</v>
      </c>
      <c r="Z36"/>
    </row>
    <row r="37" spans="1:26" ht="27" customHeight="1">
      <c r="A37" s="252"/>
      <c r="B37" s="46" t="s">
        <v>1727</v>
      </c>
      <c r="C37" s="252" t="s">
        <v>1728</v>
      </c>
      <c r="D37" s="48" t="s">
        <v>1390</v>
      </c>
      <c r="E37" s="48" t="s">
        <v>3453</v>
      </c>
      <c r="F37" s="43">
        <v>32356</v>
      </c>
      <c r="G37" s="46"/>
      <c r="H37" s="243"/>
      <c r="I37" s="46"/>
      <c r="J37" s="257"/>
      <c r="K37" s="257" t="s">
        <v>7</v>
      </c>
      <c r="L37" s="270">
        <v>2.2000000000000002</v>
      </c>
      <c r="M37" s="270"/>
      <c r="N37" s="130">
        <v>15.417600000000002</v>
      </c>
      <c r="O37" s="136"/>
      <c r="P37" s="37"/>
      <c r="Q37" s="37"/>
      <c r="R37" s="37"/>
      <c r="S37" s="28">
        <f t="shared" si="0"/>
        <v>15.417600000000002</v>
      </c>
      <c r="T37" s="28">
        <f t="shared" si="1"/>
        <v>15.417600000000002</v>
      </c>
      <c r="U37" s="266" t="b">
        <v>1</v>
      </c>
      <c r="V37" s="266" t="b">
        <v>0</v>
      </c>
      <c r="Z37"/>
    </row>
    <row r="38" spans="1:26" ht="27" customHeight="1">
      <c r="A38" s="54" t="s">
        <v>1489</v>
      </c>
      <c r="B38" s="257" t="s">
        <v>1495</v>
      </c>
      <c r="C38" s="252" t="s">
        <v>1735</v>
      </c>
      <c r="D38" s="250" t="s">
        <v>1398</v>
      </c>
      <c r="E38" s="250" t="s">
        <v>2715</v>
      </c>
      <c r="F38" s="251">
        <v>41692</v>
      </c>
      <c r="G38" s="188" t="s">
        <v>5180</v>
      </c>
      <c r="H38" s="257"/>
      <c r="I38" s="257"/>
      <c r="J38" s="257"/>
      <c r="K38" s="27" t="s">
        <v>2894</v>
      </c>
      <c r="L38" s="58">
        <v>4.34</v>
      </c>
      <c r="M38" s="58">
        <v>31.699000000000002</v>
      </c>
      <c r="N38" s="130">
        <v>19.044</v>
      </c>
      <c r="O38" s="28" t="s">
        <v>115</v>
      </c>
      <c r="P38" s="32" t="s">
        <v>115</v>
      </c>
      <c r="Q38" s="32" t="s">
        <v>115</v>
      </c>
      <c r="R38" s="32" t="s">
        <v>115</v>
      </c>
      <c r="S38" s="28">
        <f t="shared" si="0"/>
        <v>25.371500000000001</v>
      </c>
      <c r="T38" s="28">
        <f t="shared" si="1"/>
        <v>25.371500000000001</v>
      </c>
      <c r="U38" s="266" t="b">
        <v>1</v>
      </c>
      <c r="V38" s="266" t="b">
        <v>0</v>
      </c>
      <c r="Z38"/>
    </row>
    <row r="39" spans="1:26" ht="27" customHeight="1">
      <c r="A39" s="54" t="s">
        <v>1489</v>
      </c>
      <c r="B39" s="257" t="s">
        <v>1497</v>
      </c>
      <c r="C39" s="252"/>
      <c r="D39" s="250" t="s">
        <v>1400</v>
      </c>
      <c r="E39" s="250" t="s">
        <v>2716</v>
      </c>
      <c r="F39" s="251"/>
      <c r="G39" s="188"/>
      <c r="H39" s="257"/>
      <c r="I39" s="257"/>
      <c r="J39" s="257"/>
      <c r="K39" s="27" t="s">
        <v>2894</v>
      </c>
      <c r="L39" s="58">
        <v>1.41</v>
      </c>
      <c r="M39" s="58">
        <v>10.189</v>
      </c>
      <c r="N39" s="130">
        <v>7.8319999999999999</v>
      </c>
      <c r="O39" s="28" t="s">
        <v>115</v>
      </c>
      <c r="P39" s="32" t="s">
        <v>115</v>
      </c>
      <c r="Q39" s="32" t="s">
        <v>115</v>
      </c>
      <c r="R39" s="32" t="s">
        <v>115</v>
      </c>
      <c r="S39" s="28">
        <f t="shared" si="0"/>
        <v>9.0105000000000004</v>
      </c>
      <c r="T39" s="28">
        <f t="shared" si="1"/>
        <v>9.0105000000000004</v>
      </c>
      <c r="U39" s="266" t="b">
        <v>1</v>
      </c>
      <c r="V39" s="266" t="b">
        <v>0</v>
      </c>
      <c r="Z39"/>
    </row>
    <row r="40" spans="1:26" ht="27" customHeight="1">
      <c r="A40" s="54" t="s">
        <v>1489</v>
      </c>
      <c r="B40" s="257" t="s">
        <v>1496</v>
      </c>
      <c r="C40" s="252" t="s">
        <v>1729</v>
      </c>
      <c r="D40" s="250" t="s">
        <v>1399</v>
      </c>
      <c r="E40" s="250" t="s">
        <v>2717</v>
      </c>
      <c r="F40" s="251">
        <v>41753</v>
      </c>
      <c r="G40" s="188" t="s">
        <v>1947</v>
      </c>
      <c r="H40" s="257"/>
      <c r="I40" s="257"/>
      <c r="J40" s="257"/>
      <c r="K40" s="27" t="s">
        <v>2894</v>
      </c>
      <c r="L40" s="58">
        <v>4.34</v>
      </c>
      <c r="M40" s="58">
        <v>26.018999999999998</v>
      </c>
      <c r="N40" s="130">
        <v>20.614999999999998</v>
      </c>
      <c r="O40" s="28" t="s">
        <v>115</v>
      </c>
      <c r="P40" s="32" t="s">
        <v>115</v>
      </c>
      <c r="Q40" s="32" t="s">
        <v>115</v>
      </c>
      <c r="R40" s="32" t="s">
        <v>115</v>
      </c>
      <c r="S40" s="28">
        <f t="shared" si="0"/>
        <v>23.317</v>
      </c>
      <c r="T40" s="28">
        <f t="shared" si="1"/>
        <v>23.317</v>
      </c>
      <c r="U40" s="266" t="b">
        <v>1</v>
      </c>
      <c r="V40" s="266" t="b">
        <v>0</v>
      </c>
      <c r="Z40"/>
    </row>
    <row r="41" spans="1:26" ht="27" customHeight="1">
      <c r="A41" s="54" t="s">
        <v>1489</v>
      </c>
      <c r="B41" s="257" t="s">
        <v>1456</v>
      </c>
      <c r="C41" s="252"/>
      <c r="D41" s="250" t="s">
        <v>925</v>
      </c>
      <c r="E41" s="250" t="s">
        <v>2718</v>
      </c>
      <c r="F41" s="251">
        <v>40118</v>
      </c>
      <c r="G41" s="188"/>
      <c r="H41" s="257"/>
      <c r="I41" s="257"/>
      <c r="J41" s="257"/>
      <c r="K41" s="27" t="s">
        <v>2894</v>
      </c>
      <c r="L41" s="58">
        <v>3.18</v>
      </c>
      <c r="M41" s="58">
        <v>17.236999999999998</v>
      </c>
      <c r="N41" s="130">
        <v>17.542000000000002</v>
      </c>
      <c r="O41" s="28">
        <v>18.099</v>
      </c>
      <c r="P41" s="32">
        <v>20.210999999999999</v>
      </c>
      <c r="Q41" s="32">
        <v>19.509</v>
      </c>
      <c r="R41" s="32">
        <v>20.49</v>
      </c>
      <c r="S41" s="28">
        <f t="shared" si="0"/>
        <v>18.847999999999999</v>
      </c>
      <c r="T41" s="28">
        <f t="shared" si="1"/>
        <v>18.847999999999999</v>
      </c>
      <c r="U41" s="266" t="b">
        <v>1</v>
      </c>
      <c r="V41" s="266" t="b">
        <v>0</v>
      </c>
      <c r="Z41"/>
    </row>
    <row r="42" spans="1:26" ht="27" customHeight="1">
      <c r="A42" s="54" t="s">
        <v>1489</v>
      </c>
      <c r="B42" s="257" t="s">
        <v>1490</v>
      </c>
      <c r="C42" s="252" t="s">
        <v>1752</v>
      </c>
      <c r="D42" s="250" t="s">
        <v>1397</v>
      </c>
      <c r="E42" s="250" t="s">
        <v>2719</v>
      </c>
      <c r="F42" s="251">
        <v>41692</v>
      </c>
      <c r="G42" s="188" t="s">
        <v>5180</v>
      </c>
      <c r="H42" s="257"/>
      <c r="I42" s="257"/>
      <c r="J42" s="257"/>
      <c r="K42" s="27" t="s">
        <v>2894</v>
      </c>
      <c r="L42" s="58">
        <v>4.34</v>
      </c>
      <c r="M42" s="58">
        <v>32.485999999999997</v>
      </c>
      <c r="N42" s="130">
        <v>30.279</v>
      </c>
      <c r="O42" s="28" t="s">
        <v>115</v>
      </c>
      <c r="P42" s="32" t="s">
        <v>115</v>
      </c>
      <c r="Q42" s="32" t="s">
        <v>115</v>
      </c>
      <c r="R42" s="32" t="s">
        <v>115</v>
      </c>
      <c r="S42" s="28">
        <f t="shared" si="0"/>
        <v>31.3825</v>
      </c>
      <c r="T42" s="28">
        <f t="shared" si="1"/>
        <v>31.3825</v>
      </c>
      <c r="U42" s="266" t="b">
        <v>1</v>
      </c>
      <c r="V42" s="266" t="b">
        <v>0</v>
      </c>
      <c r="Z42"/>
    </row>
    <row r="43" spans="1:26" ht="27" customHeight="1">
      <c r="A43" s="54" t="s">
        <v>2978</v>
      </c>
      <c r="B43" s="257" t="s">
        <v>1762</v>
      </c>
      <c r="C43" s="252"/>
      <c r="D43" s="250"/>
      <c r="E43" s="250" t="s">
        <v>1763</v>
      </c>
      <c r="F43" s="251">
        <v>41869</v>
      </c>
      <c r="G43" s="188" t="s">
        <v>5200</v>
      </c>
      <c r="H43" s="188">
        <v>59416</v>
      </c>
      <c r="I43" s="257"/>
      <c r="J43" s="257"/>
      <c r="K43" s="27" t="s">
        <v>1089</v>
      </c>
      <c r="L43" s="58">
        <v>2</v>
      </c>
      <c r="M43" s="144"/>
      <c r="N43" s="130">
        <v>1.1870000000000001</v>
      </c>
      <c r="O43" s="28"/>
      <c r="P43" s="32"/>
      <c r="Q43" s="32"/>
      <c r="R43" s="32"/>
      <c r="S43" s="28">
        <f t="shared" si="0"/>
        <v>1.1870000000000001</v>
      </c>
      <c r="T43" s="28">
        <f t="shared" si="1"/>
        <v>1.1870000000000001</v>
      </c>
      <c r="U43" s="266" t="b">
        <v>1</v>
      </c>
      <c r="V43" s="266" t="b">
        <v>0</v>
      </c>
      <c r="Z43"/>
    </row>
    <row r="44" spans="1:26" ht="27" customHeight="1">
      <c r="A44" s="252"/>
      <c r="B44" s="252" t="s">
        <v>1802</v>
      </c>
      <c r="C44" s="257"/>
      <c r="D44" s="48" t="s">
        <v>1371</v>
      </c>
      <c r="E44" s="48" t="s">
        <v>2721</v>
      </c>
      <c r="F44" s="257"/>
      <c r="G44" s="252"/>
      <c r="H44" s="252"/>
      <c r="I44" s="252"/>
      <c r="J44" s="257" t="s">
        <v>3284</v>
      </c>
      <c r="K44" s="252" t="s">
        <v>9</v>
      </c>
      <c r="L44" s="268">
        <v>1.5</v>
      </c>
      <c r="M44" s="268">
        <v>2.1703299999999999</v>
      </c>
      <c r="N44" s="32">
        <v>2.61998</v>
      </c>
      <c r="O44" s="32" t="s">
        <v>115</v>
      </c>
      <c r="P44" s="32" t="s">
        <v>115</v>
      </c>
      <c r="Q44" s="253" t="s">
        <v>115</v>
      </c>
      <c r="R44" s="253" t="s">
        <v>115</v>
      </c>
      <c r="S44" s="28">
        <f t="shared" si="0"/>
        <v>2.3951549999999999</v>
      </c>
      <c r="T44" s="28">
        <f t="shared" si="1"/>
        <v>2.3951549999999999</v>
      </c>
      <c r="U44" s="266" t="b">
        <v>1</v>
      </c>
      <c r="V44" s="266" t="b">
        <v>0</v>
      </c>
      <c r="Z44"/>
    </row>
    <row r="45" spans="1:26" ht="27" customHeight="1">
      <c r="A45" s="252"/>
      <c r="B45" s="252" t="s">
        <v>1803</v>
      </c>
      <c r="C45" s="257"/>
      <c r="D45" s="48" t="s">
        <v>1450</v>
      </c>
      <c r="E45" s="48" t="s">
        <v>2720</v>
      </c>
      <c r="F45" s="257"/>
      <c r="G45" s="252"/>
      <c r="H45" s="252"/>
      <c r="I45" s="252"/>
      <c r="J45" s="257" t="s">
        <v>3284</v>
      </c>
      <c r="K45" s="252" t="s">
        <v>9</v>
      </c>
      <c r="L45" s="268">
        <v>1.6</v>
      </c>
      <c r="M45" s="268">
        <v>2.46333</v>
      </c>
      <c r="N45" s="32">
        <v>7.4010000000000006E-2</v>
      </c>
      <c r="O45" s="32" t="s">
        <v>115</v>
      </c>
      <c r="P45" s="32" t="s">
        <v>115</v>
      </c>
      <c r="Q45" s="253" t="s">
        <v>115</v>
      </c>
      <c r="R45" s="253" t="s">
        <v>115</v>
      </c>
      <c r="S45" s="28">
        <f t="shared" si="0"/>
        <v>1.26867</v>
      </c>
      <c r="T45" s="28">
        <f t="shared" si="1"/>
        <v>1.26867</v>
      </c>
      <c r="U45" s="266" t="b">
        <v>1</v>
      </c>
      <c r="V45" s="266" t="b">
        <v>0</v>
      </c>
      <c r="Z45"/>
    </row>
    <row r="46" spans="1:26" ht="27" customHeight="1">
      <c r="A46" s="252" t="s">
        <v>3687</v>
      </c>
      <c r="B46" s="257" t="s">
        <v>1634</v>
      </c>
      <c r="C46" s="252" t="s">
        <v>1633</v>
      </c>
      <c r="D46" s="250" t="s">
        <v>688</v>
      </c>
      <c r="E46" s="250" t="s">
        <v>2115</v>
      </c>
      <c r="F46" s="251">
        <v>41365</v>
      </c>
      <c r="G46" s="188" t="s">
        <v>2114</v>
      </c>
      <c r="H46" s="257"/>
      <c r="I46" s="257"/>
      <c r="J46" s="257"/>
      <c r="K46" s="257" t="s">
        <v>1089</v>
      </c>
      <c r="L46" s="268">
        <v>250</v>
      </c>
      <c r="M46" s="268">
        <v>621.33000000000004</v>
      </c>
      <c r="N46" s="130">
        <v>575.58900000000006</v>
      </c>
      <c r="O46" s="28">
        <v>415.459</v>
      </c>
      <c r="P46" s="29" t="s">
        <v>115</v>
      </c>
      <c r="Q46" s="31" t="s">
        <v>115</v>
      </c>
      <c r="R46" s="29" t="s">
        <v>115</v>
      </c>
      <c r="S46" s="28">
        <f t="shared" si="0"/>
        <v>537.45933333333335</v>
      </c>
      <c r="T46" s="28">
        <f t="shared" si="1"/>
        <v>537.45933333333335</v>
      </c>
      <c r="U46" s="266" t="b">
        <v>1</v>
      </c>
      <c r="V46" s="266" t="b">
        <v>0</v>
      </c>
      <c r="Z46"/>
    </row>
    <row r="47" spans="1:26" ht="27" customHeight="1">
      <c r="A47" s="143" t="s">
        <v>1632</v>
      </c>
      <c r="B47" s="143" t="s">
        <v>2842</v>
      </c>
      <c r="C47" s="252" t="s">
        <v>1631</v>
      </c>
      <c r="D47" s="257" t="s">
        <v>3797</v>
      </c>
      <c r="E47" s="209" t="s">
        <v>2843</v>
      </c>
      <c r="F47" s="151">
        <v>42186</v>
      </c>
      <c r="G47" s="262" t="s">
        <v>2681</v>
      </c>
      <c r="H47" s="262"/>
      <c r="I47" s="188"/>
      <c r="J47" s="262" t="s">
        <v>2681</v>
      </c>
      <c r="K47" s="257" t="s">
        <v>1089</v>
      </c>
      <c r="L47" s="261">
        <v>20</v>
      </c>
      <c r="M47" s="258">
        <v>19.613060000000001</v>
      </c>
      <c r="N47" s="144" t="s">
        <v>115</v>
      </c>
      <c r="O47" s="241" t="s">
        <v>115</v>
      </c>
      <c r="P47" s="134" t="s">
        <v>115</v>
      </c>
      <c r="Q47" s="253" t="s">
        <v>115</v>
      </c>
      <c r="R47" s="179" t="s">
        <v>115</v>
      </c>
      <c r="S47" s="28">
        <f t="shared" si="0"/>
        <v>19.613060000000001</v>
      </c>
      <c r="T47" s="28">
        <f t="shared" si="1"/>
        <v>46.428000000000004</v>
      </c>
      <c r="U47" s="266" t="b">
        <v>1</v>
      </c>
      <c r="V47" s="266" t="b">
        <v>0</v>
      </c>
      <c r="Z47"/>
    </row>
    <row r="48" spans="1:26" ht="27" customHeight="1">
      <c r="A48" s="252" t="s">
        <v>1535</v>
      </c>
      <c r="B48" s="256" t="s">
        <v>1536</v>
      </c>
      <c r="C48" s="252"/>
      <c r="D48" s="250" t="s">
        <v>1395</v>
      </c>
      <c r="E48" s="250" t="s">
        <v>2722</v>
      </c>
      <c r="F48" s="251">
        <v>41969</v>
      </c>
      <c r="G48" s="282" t="s">
        <v>3736</v>
      </c>
      <c r="H48" s="256"/>
      <c r="I48" s="256"/>
      <c r="J48" s="257"/>
      <c r="K48" s="257" t="s">
        <v>1089</v>
      </c>
      <c r="L48" s="258">
        <v>50</v>
      </c>
      <c r="M48" s="258">
        <v>140.745</v>
      </c>
      <c r="N48" s="130"/>
      <c r="O48" s="28" t="s">
        <v>115</v>
      </c>
      <c r="P48" s="32" t="s">
        <v>115</v>
      </c>
      <c r="Q48" s="253" t="s">
        <v>115</v>
      </c>
      <c r="R48" s="253" t="s">
        <v>115</v>
      </c>
      <c r="S48" s="28">
        <f t="shared" si="0"/>
        <v>140.745</v>
      </c>
      <c r="T48" s="28">
        <f t="shared" si="1"/>
        <v>140.745</v>
      </c>
      <c r="U48" s="266" t="b">
        <v>1</v>
      </c>
      <c r="V48" s="266" t="b">
        <v>0</v>
      </c>
      <c r="Z48"/>
    </row>
    <row r="49" spans="1:26" ht="27" customHeight="1">
      <c r="A49" s="257" t="s">
        <v>3690</v>
      </c>
      <c r="B49" s="256" t="s">
        <v>3580</v>
      </c>
      <c r="C49" s="257"/>
      <c r="D49" s="139" t="s">
        <v>5231</v>
      </c>
      <c r="E49" s="250" t="s">
        <v>3581</v>
      </c>
      <c r="F49" s="251">
        <v>41514</v>
      </c>
      <c r="G49" s="282" t="s">
        <v>3582</v>
      </c>
      <c r="H49" s="256">
        <v>58445</v>
      </c>
      <c r="I49" s="256"/>
      <c r="J49" s="257" t="s">
        <v>2946</v>
      </c>
      <c r="K49" s="257" t="s">
        <v>1089</v>
      </c>
      <c r="L49" s="258">
        <v>2</v>
      </c>
      <c r="M49" s="258">
        <v>5.72</v>
      </c>
      <c r="N49" s="130">
        <v>4.8225599999999993</v>
      </c>
      <c r="O49" s="28"/>
      <c r="P49" s="32"/>
      <c r="Q49" s="253"/>
      <c r="R49" s="253"/>
      <c r="S49" s="28">
        <f t="shared" si="0"/>
        <v>5.2712799999999991</v>
      </c>
      <c r="T49" s="28">
        <f t="shared" si="1"/>
        <v>5.2712799999999991</v>
      </c>
      <c r="U49" s="266" t="b">
        <v>1</v>
      </c>
      <c r="V49" s="266" t="b">
        <v>0</v>
      </c>
      <c r="Z49"/>
    </row>
    <row r="50" spans="1:26" ht="27" customHeight="1">
      <c r="A50" s="257" t="s">
        <v>2405</v>
      </c>
      <c r="B50" s="256" t="s">
        <v>2406</v>
      </c>
      <c r="C50" s="257"/>
      <c r="D50" s="250" t="s">
        <v>4090</v>
      </c>
      <c r="E50" s="250" t="s">
        <v>2407</v>
      </c>
      <c r="F50" s="156">
        <v>42004</v>
      </c>
      <c r="G50" s="282" t="s">
        <v>2408</v>
      </c>
      <c r="H50" s="256">
        <v>58446</v>
      </c>
      <c r="I50" s="256"/>
      <c r="J50" s="257" t="s">
        <v>2946</v>
      </c>
      <c r="K50" s="257" t="s">
        <v>1089</v>
      </c>
      <c r="L50" s="258">
        <v>1.5</v>
      </c>
      <c r="M50" s="258">
        <v>4.4800000000000004</v>
      </c>
      <c r="N50" s="130">
        <v>3.35582</v>
      </c>
      <c r="O50" s="28"/>
      <c r="P50" s="32"/>
      <c r="Q50" s="253"/>
      <c r="R50" s="253"/>
      <c r="S50" s="28">
        <f t="shared" si="0"/>
        <v>3.91791</v>
      </c>
      <c r="T50" s="28">
        <f t="shared" si="1"/>
        <v>3.91791</v>
      </c>
      <c r="U50" s="266" t="b">
        <v>1</v>
      </c>
      <c r="V50" s="266" t="b">
        <v>0</v>
      </c>
      <c r="Z50"/>
    </row>
    <row r="51" spans="1:26" ht="27" customHeight="1">
      <c r="A51" s="260" t="s">
        <v>4380</v>
      </c>
      <c r="B51" s="260" t="s">
        <v>5208</v>
      </c>
      <c r="C51" s="107"/>
      <c r="D51" s="260" t="s">
        <v>4379</v>
      </c>
      <c r="E51" s="107" t="s">
        <v>5211</v>
      </c>
      <c r="F51" s="251">
        <v>41527</v>
      </c>
      <c r="G51" s="257" t="s">
        <v>5214</v>
      </c>
      <c r="H51" s="256">
        <v>58447</v>
      </c>
      <c r="I51" s="107"/>
      <c r="J51" s="257" t="s">
        <v>2946</v>
      </c>
      <c r="K51" s="252" t="s">
        <v>1089</v>
      </c>
      <c r="L51" s="261">
        <v>1.5</v>
      </c>
      <c r="M51" s="107">
        <v>4.4455869999999997</v>
      </c>
      <c r="N51" s="107">
        <f>11.568/3</f>
        <v>3.8559999999999999</v>
      </c>
      <c r="O51" s="107"/>
      <c r="P51" s="107"/>
      <c r="Q51" s="107"/>
      <c r="R51" s="107"/>
      <c r="S51" s="28">
        <f t="shared" si="0"/>
        <v>4.1507934999999998</v>
      </c>
      <c r="T51" s="28">
        <f t="shared" si="1"/>
        <v>4.1507934999999998</v>
      </c>
      <c r="U51" s="266" t="b">
        <v>1</v>
      </c>
      <c r="V51" s="266" t="b">
        <v>0</v>
      </c>
      <c r="Z51"/>
    </row>
    <row r="52" spans="1:26" ht="27" customHeight="1">
      <c r="A52" s="260" t="s">
        <v>4382</v>
      </c>
      <c r="B52" s="260" t="s">
        <v>5209</v>
      </c>
      <c r="C52" s="107"/>
      <c r="D52" s="260" t="s">
        <v>4381</v>
      </c>
      <c r="E52" s="107" t="s">
        <v>5212</v>
      </c>
      <c r="F52" s="251">
        <v>41527</v>
      </c>
      <c r="G52" s="257" t="s">
        <v>5215</v>
      </c>
      <c r="H52" s="256">
        <v>58447</v>
      </c>
      <c r="I52" s="107"/>
      <c r="J52" s="257" t="s">
        <v>2946</v>
      </c>
      <c r="K52" s="252" t="s">
        <v>1089</v>
      </c>
      <c r="L52" s="261">
        <v>1.5</v>
      </c>
      <c r="M52" s="107">
        <v>4.4601959999999998</v>
      </c>
      <c r="N52" s="107">
        <f>11.568/3</f>
        <v>3.8559999999999999</v>
      </c>
      <c r="O52" s="107"/>
      <c r="P52" s="107"/>
      <c r="Q52" s="107"/>
      <c r="R52" s="107"/>
      <c r="S52" s="28">
        <f t="shared" si="0"/>
        <v>4.1580979999999998</v>
      </c>
      <c r="T52" s="28">
        <f t="shared" si="1"/>
        <v>4.1580979999999998</v>
      </c>
      <c r="U52" s="266" t="b">
        <v>1</v>
      </c>
      <c r="V52" s="266" t="b">
        <v>0</v>
      </c>
      <c r="Z52"/>
    </row>
    <row r="53" spans="1:26" ht="27" customHeight="1">
      <c r="A53" s="260" t="s">
        <v>4384</v>
      </c>
      <c r="B53" s="260" t="s">
        <v>5210</v>
      </c>
      <c r="C53" s="107"/>
      <c r="D53" s="260" t="s">
        <v>4383</v>
      </c>
      <c r="E53" s="107" t="s">
        <v>5213</v>
      </c>
      <c r="F53" s="251">
        <v>41527</v>
      </c>
      <c r="G53" s="257" t="s">
        <v>5216</v>
      </c>
      <c r="H53" s="256">
        <v>58447</v>
      </c>
      <c r="I53" s="107"/>
      <c r="J53" s="257" t="s">
        <v>2946</v>
      </c>
      <c r="K53" s="252" t="s">
        <v>1089</v>
      </c>
      <c r="L53" s="261">
        <v>1</v>
      </c>
      <c r="M53" s="107">
        <v>3.0208159999999999</v>
      </c>
      <c r="N53" s="107">
        <f>11.568/3</f>
        <v>3.8559999999999999</v>
      </c>
      <c r="O53" s="107"/>
      <c r="P53" s="107"/>
      <c r="Q53" s="107"/>
      <c r="R53" s="107"/>
      <c r="S53" s="28">
        <f t="shared" si="0"/>
        <v>3.4384079999999999</v>
      </c>
      <c r="T53" s="28">
        <f t="shared" si="1"/>
        <v>3.4384079999999999</v>
      </c>
      <c r="U53" s="266" t="b">
        <v>1</v>
      </c>
      <c r="V53" s="266" t="b">
        <v>0</v>
      </c>
      <c r="Z53"/>
    </row>
    <row r="54" spans="1:26" ht="27" customHeight="1">
      <c r="A54" s="261" t="s">
        <v>5237</v>
      </c>
      <c r="B54" s="260" t="s">
        <v>4098</v>
      </c>
      <c r="C54" s="107"/>
      <c r="D54" s="260" t="s">
        <v>4097</v>
      </c>
      <c r="E54" s="107" t="s">
        <v>2724</v>
      </c>
      <c r="F54" s="156">
        <v>40909</v>
      </c>
      <c r="G54" s="257"/>
      <c r="H54" s="107"/>
      <c r="I54" s="107"/>
      <c r="J54" s="107"/>
      <c r="K54" s="252" t="s">
        <v>1089</v>
      </c>
      <c r="L54" s="261">
        <v>0.12272</v>
      </c>
      <c r="M54" s="107">
        <v>1.6220000000000001</v>
      </c>
      <c r="N54" s="107">
        <v>1.6220000000000001</v>
      </c>
      <c r="O54" s="107">
        <v>1.6220000000000001</v>
      </c>
      <c r="P54" s="107">
        <v>1.6220000000000001</v>
      </c>
      <c r="Q54" s="107" t="s">
        <v>115</v>
      </c>
      <c r="R54" s="107" t="s">
        <v>115</v>
      </c>
      <c r="S54" s="28">
        <f t="shared" si="0"/>
        <v>1.6220000000000001</v>
      </c>
      <c r="T54" s="28">
        <f t="shared" si="1"/>
        <v>1.6220000000000001</v>
      </c>
      <c r="U54" s="266" t="b">
        <v>1</v>
      </c>
      <c r="V54" s="266" t="b">
        <v>0</v>
      </c>
      <c r="Z54"/>
    </row>
    <row r="55" spans="1:26" ht="27" customHeight="1">
      <c r="A55" s="252" t="s">
        <v>1181</v>
      </c>
      <c r="B55" s="46" t="s">
        <v>1048</v>
      </c>
      <c r="C55" s="252"/>
      <c r="D55" s="250" t="s">
        <v>1403</v>
      </c>
      <c r="E55" s="250" t="s">
        <v>3455</v>
      </c>
      <c r="F55" s="43">
        <v>41334</v>
      </c>
      <c r="G55" s="243" t="s">
        <v>2113</v>
      </c>
      <c r="H55" s="46"/>
      <c r="I55" s="46"/>
      <c r="J55" s="257"/>
      <c r="K55" s="257" t="s">
        <v>1089</v>
      </c>
      <c r="L55" s="258">
        <v>20</v>
      </c>
      <c r="M55" s="258">
        <v>41.249000000000002</v>
      </c>
      <c r="N55" s="130">
        <v>42.100999999999999</v>
      </c>
      <c r="O55" s="136">
        <v>36.106019999999994</v>
      </c>
      <c r="P55" s="37" t="s">
        <v>115</v>
      </c>
      <c r="Q55" s="37" t="s">
        <v>115</v>
      </c>
      <c r="R55" s="37" t="s">
        <v>115</v>
      </c>
      <c r="S55" s="28">
        <f t="shared" si="0"/>
        <v>39.818673333333329</v>
      </c>
      <c r="T55" s="28">
        <f t="shared" si="1"/>
        <v>39.818673333333329</v>
      </c>
      <c r="U55" s="266" t="b">
        <v>1</v>
      </c>
      <c r="V55" s="266" t="b">
        <v>0</v>
      </c>
      <c r="Z55"/>
    </row>
    <row r="56" spans="1:26" ht="27" customHeight="1">
      <c r="A56" s="252"/>
      <c r="B56" s="256" t="s">
        <v>3799</v>
      </c>
      <c r="C56" s="260" t="s">
        <v>1640</v>
      </c>
      <c r="D56" s="250" t="s">
        <v>4099</v>
      </c>
      <c r="E56" s="163" t="s">
        <v>3214</v>
      </c>
      <c r="F56" s="251">
        <v>42180</v>
      </c>
      <c r="G56" s="262" t="s">
        <v>3673</v>
      </c>
      <c r="H56" s="262"/>
      <c r="I56" s="188"/>
      <c r="J56" s="262" t="s">
        <v>1576</v>
      </c>
      <c r="K56" s="257" t="s">
        <v>1089</v>
      </c>
      <c r="L56" s="258">
        <v>20</v>
      </c>
      <c r="M56" s="258">
        <v>28.448049999999999</v>
      </c>
      <c r="N56" s="144" t="s">
        <v>115</v>
      </c>
      <c r="O56" s="241" t="s">
        <v>115</v>
      </c>
      <c r="P56" s="253" t="s">
        <v>115</v>
      </c>
      <c r="Q56" s="254" t="s">
        <v>115</v>
      </c>
      <c r="R56" s="188" t="s">
        <v>115</v>
      </c>
      <c r="S56" s="28">
        <f t="shared" si="0"/>
        <v>28.448049999999999</v>
      </c>
      <c r="T56" s="28">
        <f t="shared" si="1"/>
        <v>46.428000000000004</v>
      </c>
      <c r="U56" s="266" t="b">
        <v>1</v>
      </c>
      <c r="V56" s="266" t="b">
        <v>0</v>
      </c>
      <c r="Z56"/>
    </row>
    <row r="57" spans="1:26" ht="27" customHeight="1">
      <c r="A57" s="27" t="s">
        <v>524</v>
      </c>
      <c r="B57" s="52" t="s">
        <v>545</v>
      </c>
      <c r="C57" s="252" t="s">
        <v>3320</v>
      </c>
      <c r="D57" s="53" t="s">
        <v>620</v>
      </c>
      <c r="E57" s="53" t="s">
        <v>3456</v>
      </c>
      <c r="F57" s="50">
        <v>40762</v>
      </c>
      <c r="G57" s="276" t="s">
        <v>2116</v>
      </c>
      <c r="H57" s="52"/>
      <c r="I57" s="52"/>
      <c r="J57" s="257"/>
      <c r="K57" s="27" t="s">
        <v>1089</v>
      </c>
      <c r="L57" s="58">
        <v>6</v>
      </c>
      <c r="M57" s="58">
        <v>12.753</v>
      </c>
      <c r="N57" s="130">
        <v>12.789</v>
      </c>
      <c r="O57" s="28">
        <v>13.241</v>
      </c>
      <c r="P57" s="35">
        <v>12.726000000000001</v>
      </c>
      <c r="Q57" s="28">
        <v>5.625</v>
      </c>
      <c r="R57" s="28" t="s">
        <v>115</v>
      </c>
      <c r="S57" s="28">
        <f t="shared" si="0"/>
        <v>11.4268</v>
      </c>
      <c r="T57" s="28">
        <f t="shared" si="1"/>
        <v>11.4268</v>
      </c>
      <c r="U57" s="266" t="b">
        <v>1</v>
      </c>
      <c r="V57" s="266" t="b">
        <v>0</v>
      </c>
      <c r="Z57"/>
    </row>
    <row r="58" spans="1:26" ht="27" customHeight="1">
      <c r="A58" s="143" t="s">
        <v>1643</v>
      </c>
      <c r="B58" s="331" t="s">
        <v>1642</v>
      </c>
      <c r="C58" s="260" t="s">
        <v>1644</v>
      </c>
      <c r="D58" s="254"/>
      <c r="E58" s="209" t="s">
        <v>3213</v>
      </c>
      <c r="F58" s="151">
        <v>42213</v>
      </c>
      <c r="G58" s="262" t="s">
        <v>2620</v>
      </c>
      <c r="H58" s="354"/>
      <c r="I58" s="188"/>
      <c r="J58" s="257" t="s">
        <v>2946</v>
      </c>
      <c r="K58" s="257" t="s">
        <v>1089</v>
      </c>
      <c r="L58" s="250">
        <v>1.4</v>
      </c>
      <c r="M58" s="258">
        <v>1.38662</v>
      </c>
      <c r="N58" s="144"/>
      <c r="O58" s="241"/>
      <c r="P58" s="134"/>
      <c r="Q58" s="262"/>
      <c r="R58" s="264"/>
      <c r="S58" s="28">
        <f t="shared" si="0"/>
        <v>1.38662</v>
      </c>
      <c r="T58" s="28">
        <f t="shared" si="1"/>
        <v>3.2499599999999997</v>
      </c>
      <c r="U58" s="266" t="b">
        <v>1</v>
      </c>
      <c r="V58" s="266" t="b">
        <v>0</v>
      </c>
      <c r="Z58"/>
    </row>
    <row r="59" spans="1:26" ht="27" customHeight="1">
      <c r="A59" s="27" t="s">
        <v>78</v>
      </c>
      <c r="B59" s="27" t="s">
        <v>1457</v>
      </c>
      <c r="C59" s="252" t="s">
        <v>3436</v>
      </c>
      <c r="D59" s="250" t="s">
        <v>773</v>
      </c>
      <c r="E59" s="250" t="s">
        <v>3457</v>
      </c>
      <c r="F59" s="43" t="s">
        <v>1136</v>
      </c>
      <c r="G59" s="27" t="s">
        <v>2202</v>
      </c>
      <c r="H59" s="27"/>
      <c r="I59" s="27"/>
      <c r="J59" s="257"/>
      <c r="K59" s="27" t="s">
        <v>7</v>
      </c>
      <c r="L59" s="58">
        <v>22</v>
      </c>
      <c r="M59" s="58">
        <v>17.315180000000002</v>
      </c>
      <c r="N59" s="130">
        <v>89.369</v>
      </c>
      <c r="O59" s="28">
        <v>94.786000000000001</v>
      </c>
      <c r="P59" s="29">
        <v>98.338580000000007</v>
      </c>
      <c r="Q59" s="28">
        <v>102.764</v>
      </c>
      <c r="R59" s="28">
        <v>103.61199999999999</v>
      </c>
      <c r="S59" s="28">
        <f t="shared" si="0"/>
        <v>0</v>
      </c>
      <c r="T59" s="28">
        <f t="shared" si="1"/>
        <v>0</v>
      </c>
      <c r="U59" s="266" t="b">
        <v>0</v>
      </c>
      <c r="V59" s="266" t="b">
        <v>0</v>
      </c>
      <c r="Z59"/>
    </row>
    <row r="60" spans="1:26" ht="27" customHeight="1">
      <c r="A60" s="252" t="s">
        <v>1516</v>
      </c>
      <c r="B60" s="46" t="s">
        <v>1515</v>
      </c>
      <c r="C60" s="252" t="s">
        <v>1645</v>
      </c>
      <c r="D60" s="48" t="s">
        <v>1274</v>
      </c>
      <c r="E60" s="48" t="s">
        <v>3239</v>
      </c>
      <c r="F60" s="43">
        <v>41640</v>
      </c>
      <c r="G60" s="243" t="s">
        <v>2119</v>
      </c>
      <c r="H60" s="46"/>
      <c r="I60" s="46"/>
      <c r="J60" s="257"/>
      <c r="K60" s="257" t="s">
        <v>1089</v>
      </c>
      <c r="L60" s="266">
        <v>1.5</v>
      </c>
      <c r="M60" s="266">
        <v>3.7349999999999999</v>
      </c>
      <c r="N60" s="130">
        <v>3.5150000000000001</v>
      </c>
      <c r="O60" s="28" t="s">
        <v>115</v>
      </c>
      <c r="P60" s="37" t="s">
        <v>115</v>
      </c>
      <c r="Q60" s="37" t="s">
        <v>115</v>
      </c>
      <c r="R60" s="37" t="s">
        <v>115</v>
      </c>
      <c r="S60" s="28">
        <f t="shared" si="0"/>
        <v>3.625</v>
      </c>
      <c r="T60" s="28">
        <f t="shared" si="1"/>
        <v>3.625</v>
      </c>
      <c r="U60" s="266" t="b">
        <v>1</v>
      </c>
      <c r="V60" s="266" t="b">
        <v>0</v>
      </c>
      <c r="Z60"/>
    </row>
    <row r="61" spans="1:26" ht="27" customHeight="1">
      <c r="A61" s="27" t="s">
        <v>78</v>
      </c>
      <c r="B61" s="27" t="s">
        <v>106</v>
      </c>
      <c r="C61" s="252" t="s">
        <v>3337</v>
      </c>
      <c r="D61" s="250" t="s">
        <v>772</v>
      </c>
      <c r="E61" s="250" t="s">
        <v>3458</v>
      </c>
      <c r="F61" s="43" t="s">
        <v>1165</v>
      </c>
      <c r="G61" s="27" t="s">
        <v>2202</v>
      </c>
      <c r="H61" s="27"/>
      <c r="I61" s="27"/>
      <c r="J61" s="257"/>
      <c r="K61" s="27" t="s">
        <v>7</v>
      </c>
      <c r="L61" s="58">
        <v>95</v>
      </c>
      <c r="M61" s="58">
        <v>446.40401000000003</v>
      </c>
      <c r="N61" s="130">
        <v>405.55601000000001</v>
      </c>
      <c r="O61" s="28">
        <v>439.55399999999997</v>
      </c>
      <c r="P61" s="29">
        <v>483.63099999999997</v>
      </c>
      <c r="Q61" s="28">
        <v>468.18599999999998</v>
      </c>
      <c r="R61" s="28">
        <v>487.108</v>
      </c>
      <c r="S61" s="28">
        <f t="shared" si="0"/>
        <v>455.07317000000006</v>
      </c>
      <c r="T61" s="28">
        <f t="shared" si="1"/>
        <v>455.07317000000006</v>
      </c>
      <c r="U61" s="266" t="b">
        <v>1</v>
      </c>
      <c r="V61" s="266" t="b">
        <v>0</v>
      </c>
      <c r="Z61"/>
    </row>
    <row r="62" spans="1:26" ht="27" customHeight="1">
      <c r="A62" s="143"/>
      <c r="B62" s="143" t="s">
        <v>1646</v>
      </c>
      <c r="C62" s="260" t="s">
        <v>1647</v>
      </c>
      <c r="D62" s="254" t="s">
        <v>3798</v>
      </c>
      <c r="E62" s="209" t="s">
        <v>2862</v>
      </c>
      <c r="F62" s="151">
        <v>42111</v>
      </c>
      <c r="G62" s="252" t="s">
        <v>1966</v>
      </c>
      <c r="H62" s="252"/>
      <c r="I62" s="188"/>
      <c r="J62" s="257"/>
      <c r="K62" s="257" t="s">
        <v>1089</v>
      </c>
      <c r="L62" s="250">
        <v>12</v>
      </c>
      <c r="M62" s="258">
        <v>26.73903</v>
      </c>
      <c r="N62" s="144" t="s">
        <v>115</v>
      </c>
      <c r="O62" s="241" t="s">
        <v>115</v>
      </c>
      <c r="P62" s="134" t="s">
        <v>115</v>
      </c>
      <c r="Q62" s="253" t="s">
        <v>115</v>
      </c>
      <c r="R62" s="252" t="s">
        <v>115</v>
      </c>
      <c r="S62" s="28">
        <f t="shared" si="0"/>
        <v>26.73903</v>
      </c>
      <c r="T62" s="28">
        <f t="shared" si="1"/>
        <v>27.8568</v>
      </c>
      <c r="U62" s="266" t="b">
        <v>1</v>
      </c>
      <c r="V62" s="266" t="b">
        <v>0</v>
      </c>
      <c r="Z62"/>
    </row>
    <row r="63" spans="1:26" ht="27" customHeight="1">
      <c r="A63" s="27" t="s">
        <v>514</v>
      </c>
      <c r="B63" s="27" t="s">
        <v>465</v>
      </c>
      <c r="C63" s="252" t="s">
        <v>3288</v>
      </c>
      <c r="D63" s="250" t="s">
        <v>771</v>
      </c>
      <c r="E63" s="250" t="s">
        <v>3459</v>
      </c>
      <c r="F63" s="251"/>
      <c r="G63" s="281"/>
      <c r="H63" s="27"/>
      <c r="I63" s="27"/>
      <c r="J63" s="257"/>
      <c r="K63" s="252" t="s">
        <v>3</v>
      </c>
      <c r="L63" s="58">
        <v>13.8</v>
      </c>
      <c r="M63" s="58">
        <v>28.388069999999999</v>
      </c>
      <c r="N63" s="130">
        <v>66.790999999999997</v>
      </c>
      <c r="O63" s="28">
        <v>74.45</v>
      </c>
      <c r="P63" s="29">
        <v>53.100199999999994</v>
      </c>
      <c r="Q63" s="28">
        <v>9.6210799999999992</v>
      </c>
      <c r="R63" s="28">
        <v>27.680029999999999</v>
      </c>
      <c r="S63" s="28">
        <f t="shared" si="0"/>
        <v>43.338396666666675</v>
      </c>
      <c r="T63" s="28">
        <f t="shared" si="1"/>
        <v>43.338396666666675</v>
      </c>
      <c r="U63" s="266" t="b">
        <v>1</v>
      </c>
      <c r="V63" s="266" t="b">
        <v>0</v>
      </c>
      <c r="Z63"/>
    </row>
    <row r="64" spans="1:26" ht="27" customHeight="1">
      <c r="A64" s="27" t="s">
        <v>524</v>
      </c>
      <c r="B64" s="27" t="s">
        <v>525</v>
      </c>
      <c r="C64" s="252" t="s">
        <v>3359</v>
      </c>
      <c r="D64" s="250" t="s">
        <v>770</v>
      </c>
      <c r="E64" s="250" t="s">
        <v>3460</v>
      </c>
      <c r="F64" s="251">
        <v>40165</v>
      </c>
      <c r="G64" s="281" t="s">
        <v>2510</v>
      </c>
      <c r="H64" s="27"/>
      <c r="I64" s="27"/>
      <c r="J64" s="257"/>
      <c r="K64" s="27" t="s">
        <v>1089</v>
      </c>
      <c r="L64" s="58">
        <v>21</v>
      </c>
      <c r="M64" s="58">
        <v>45.908999999999999</v>
      </c>
      <c r="N64" s="130">
        <v>46.74</v>
      </c>
      <c r="O64" s="28">
        <v>48.1</v>
      </c>
      <c r="P64" s="29">
        <v>47.878999999999998</v>
      </c>
      <c r="Q64" s="28">
        <v>51.279000000000003</v>
      </c>
      <c r="R64" s="28">
        <v>48.070999999999998</v>
      </c>
      <c r="S64" s="28">
        <f t="shared" si="0"/>
        <v>47.996333333333325</v>
      </c>
      <c r="T64" s="28">
        <f t="shared" si="1"/>
        <v>47.996333333333325</v>
      </c>
      <c r="U64" s="266" t="b">
        <v>1</v>
      </c>
      <c r="V64" s="266" t="b">
        <v>0</v>
      </c>
      <c r="Z64"/>
    </row>
    <row r="65" spans="1:26" ht="27" customHeight="1">
      <c r="A65" s="252" t="s">
        <v>1082</v>
      </c>
      <c r="B65" s="257" t="s">
        <v>978</v>
      </c>
      <c r="C65" s="252"/>
      <c r="D65" s="29" t="s">
        <v>977</v>
      </c>
      <c r="E65" s="37" t="s">
        <v>2025</v>
      </c>
      <c r="F65" s="251">
        <v>40897</v>
      </c>
      <c r="G65" s="188"/>
      <c r="H65" s="257"/>
      <c r="I65" s="257"/>
      <c r="J65" s="257"/>
      <c r="K65" s="27" t="s">
        <v>1089</v>
      </c>
      <c r="L65" s="58">
        <v>3</v>
      </c>
      <c r="M65" s="58">
        <v>5.7480000000000002</v>
      </c>
      <c r="N65" s="130">
        <v>5.76</v>
      </c>
      <c r="O65" s="28">
        <v>6.3090000000000002</v>
      </c>
      <c r="P65" s="29">
        <v>6.0330000000000004</v>
      </c>
      <c r="Q65" s="28" t="s">
        <v>115</v>
      </c>
      <c r="R65" s="28" t="s">
        <v>115</v>
      </c>
      <c r="S65" s="28">
        <f t="shared" si="0"/>
        <v>5.9625000000000004</v>
      </c>
      <c r="T65" s="28">
        <f t="shared" si="1"/>
        <v>5.9625000000000004</v>
      </c>
      <c r="U65" s="266" t="b">
        <v>1</v>
      </c>
      <c r="V65" s="266" t="b">
        <v>0</v>
      </c>
      <c r="Z65"/>
    </row>
    <row r="66" spans="1:26" ht="27" customHeight="1">
      <c r="A66" s="252" t="s">
        <v>1095</v>
      </c>
      <c r="B66" s="257" t="s">
        <v>2594</v>
      </c>
      <c r="C66" s="252" t="s">
        <v>3361</v>
      </c>
      <c r="D66" s="48" t="s">
        <v>684</v>
      </c>
      <c r="E66" s="48" t="s">
        <v>3461</v>
      </c>
      <c r="F66" s="49">
        <v>41317</v>
      </c>
      <c r="G66" s="188" t="s">
        <v>2372</v>
      </c>
      <c r="H66" s="257"/>
      <c r="I66" s="257"/>
      <c r="J66" s="257"/>
      <c r="K66" s="257" t="s">
        <v>1089</v>
      </c>
      <c r="L66" s="266">
        <v>26</v>
      </c>
      <c r="M66" s="266">
        <v>71.713999999999999</v>
      </c>
      <c r="N66" s="130">
        <v>73.135999999999996</v>
      </c>
      <c r="O66" s="28">
        <v>66.959999999999994</v>
      </c>
      <c r="P66" s="29" t="s">
        <v>115</v>
      </c>
      <c r="Q66" s="31" t="s">
        <v>115</v>
      </c>
      <c r="R66" s="29" t="s">
        <v>115</v>
      </c>
      <c r="S66" s="28">
        <f t="shared" si="0"/>
        <v>70.603333333333339</v>
      </c>
      <c r="T66" s="28">
        <f t="shared" si="1"/>
        <v>70.603333333333339</v>
      </c>
      <c r="U66" s="266" t="b">
        <v>1</v>
      </c>
      <c r="V66" s="266" t="b">
        <v>0</v>
      </c>
      <c r="Z66"/>
    </row>
    <row r="67" spans="1:26" ht="27" customHeight="1">
      <c r="A67" s="27" t="s">
        <v>111</v>
      </c>
      <c r="B67" s="27" t="s">
        <v>112</v>
      </c>
      <c r="C67" s="252" t="s">
        <v>3291</v>
      </c>
      <c r="D67" s="250" t="s">
        <v>769</v>
      </c>
      <c r="E67" s="250" t="s">
        <v>3462</v>
      </c>
      <c r="F67" s="43" t="s">
        <v>1169</v>
      </c>
      <c r="G67" s="27"/>
      <c r="H67" s="27"/>
      <c r="I67" s="27"/>
      <c r="J67" s="257"/>
      <c r="K67" s="27" t="s">
        <v>7</v>
      </c>
      <c r="L67" s="58">
        <v>55</v>
      </c>
      <c r="M67" s="58">
        <v>17.27009</v>
      </c>
      <c r="N67" s="130">
        <v>69.072999999999993</v>
      </c>
      <c r="O67" s="28">
        <v>72.876999999999995</v>
      </c>
      <c r="P67" s="29">
        <v>71.938999999999993</v>
      </c>
      <c r="Q67" s="28">
        <v>88.085999999999999</v>
      </c>
      <c r="R67" s="28">
        <v>67.555000000000007</v>
      </c>
      <c r="S67" s="28">
        <f t="shared" si="0"/>
        <v>64.466681666666659</v>
      </c>
      <c r="T67" s="28">
        <f t="shared" si="1"/>
        <v>64.466681666666659</v>
      </c>
      <c r="U67" s="266" t="b">
        <v>1</v>
      </c>
      <c r="V67" s="266" t="b">
        <v>0</v>
      </c>
      <c r="Z67"/>
    </row>
    <row r="68" spans="1:26" ht="27" customHeight="1">
      <c r="A68" s="27" t="s">
        <v>1491</v>
      </c>
      <c r="B68" s="27" t="s">
        <v>1492</v>
      </c>
      <c r="C68" s="252"/>
      <c r="D68" s="250" t="s">
        <v>1266</v>
      </c>
      <c r="E68" s="250" t="s">
        <v>2725</v>
      </c>
      <c r="F68" s="251">
        <v>36892</v>
      </c>
      <c r="G68" s="281"/>
      <c r="H68" s="281"/>
      <c r="I68" s="27"/>
      <c r="J68" s="257"/>
      <c r="K68" s="27" t="s">
        <v>2894</v>
      </c>
      <c r="L68" s="58">
        <v>6</v>
      </c>
      <c r="M68" s="58"/>
      <c r="N68" s="130"/>
      <c r="O68" s="28">
        <v>11.5</v>
      </c>
      <c r="P68" s="29">
        <v>32</v>
      </c>
      <c r="Q68" s="28">
        <v>33.5</v>
      </c>
      <c r="R68" s="28">
        <v>38.299999999999997</v>
      </c>
      <c r="S68" s="28">
        <f t="shared" ref="S68:S131" si="2">IF(AND(U68,NOT(V68)),IFERROR(AVERAGE(M68:R68),0),0)</f>
        <v>0</v>
      </c>
      <c r="T68" s="28">
        <f t="shared" si="1"/>
        <v>0</v>
      </c>
      <c r="U68" s="266" t="b">
        <v>0</v>
      </c>
      <c r="V68" s="266" t="b">
        <v>0</v>
      </c>
      <c r="Z68"/>
    </row>
    <row r="69" spans="1:26" ht="27" customHeight="1">
      <c r="A69" s="54" t="s">
        <v>935</v>
      </c>
      <c r="B69" s="257" t="s">
        <v>2726</v>
      </c>
      <c r="C69" s="252" t="s">
        <v>3292</v>
      </c>
      <c r="D69" s="250" t="s">
        <v>930</v>
      </c>
      <c r="E69" s="250" t="s">
        <v>2727</v>
      </c>
      <c r="F69" s="251">
        <v>41201</v>
      </c>
      <c r="G69" s="188" t="s">
        <v>1955</v>
      </c>
      <c r="H69" s="257">
        <v>58007</v>
      </c>
      <c r="I69" s="257"/>
      <c r="J69" s="257"/>
      <c r="K69" s="27" t="s">
        <v>2894</v>
      </c>
      <c r="L69" s="258">
        <v>32.799999999999997</v>
      </c>
      <c r="M69" s="258">
        <v>207.75899999999999</v>
      </c>
      <c r="N69" s="130">
        <v>196.905</v>
      </c>
      <c r="O69" s="32">
        <v>168.48500000000001</v>
      </c>
      <c r="P69" s="32">
        <v>12.089</v>
      </c>
      <c r="Q69" s="32" t="s">
        <v>115</v>
      </c>
      <c r="R69" s="32" t="s">
        <v>115</v>
      </c>
      <c r="S69" s="28">
        <f t="shared" si="2"/>
        <v>146.30950000000001</v>
      </c>
      <c r="T69" s="28">
        <f t="shared" ref="T69:T132" si="3">IF(AND(U69,NOT(V69)),IFERROR(IF(YEAR(F69)=2015,AVERAGE(N69:R69,VLOOKUP(K69,$Z$3:$AA$10,2,FALSE)*L69*8.76),AVERAGE(M69:R69)),0),0)</f>
        <v>146.30950000000001</v>
      </c>
      <c r="U69" s="266" t="b">
        <v>1</v>
      </c>
      <c r="V69" s="266" t="b">
        <v>0</v>
      </c>
      <c r="Z69"/>
    </row>
    <row r="70" spans="1:26" ht="27" customHeight="1">
      <c r="A70" s="27" t="s">
        <v>46</v>
      </c>
      <c r="B70" s="27" t="s">
        <v>515</v>
      </c>
      <c r="C70" s="252" t="s">
        <v>3381</v>
      </c>
      <c r="D70" s="250" t="s">
        <v>768</v>
      </c>
      <c r="E70" s="139" t="s">
        <v>2728</v>
      </c>
      <c r="F70" s="251"/>
      <c r="G70" s="281"/>
      <c r="H70" s="281"/>
      <c r="I70" s="27"/>
      <c r="J70" s="257"/>
      <c r="K70" s="27" t="s">
        <v>2894</v>
      </c>
      <c r="L70" s="58">
        <v>5.6</v>
      </c>
      <c r="M70" s="58"/>
      <c r="N70" s="130">
        <v>1.3680000000000001</v>
      </c>
      <c r="O70" s="28">
        <v>2.2509999999999999</v>
      </c>
      <c r="P70" s="29">
        <v>16.670999999999999</v>
      </c>
      <c r="Q70" s="28">
        <v>34.914999999999999</v>
      </c>
      <c r="R70" s="28">
        <v>37.273000000000003</v>
      </c>
      <c r="S70" s="28">
        <f t="shared" si="2"/>
        <v>0</v>
      </c>
      <c r="T70" s="28">
        <f t="shared" si="3"/>
        <v>0</v>
      </c>
      <c r="U70" s="266" t="b">
        <v>0</v>
      </c>
      <c r="V70" s="266" t="b">
        <v>0</v>
      </c>
      <c r="Z70"/>
    </row>
    <row r="71" spans="1:26" ht="27" customHeight="1">
      <c r="A71" s="27"/>
      <c r="B71" s="27" t="s">
        <v>2018</v>
      </c>
      <c r="C71" s="252"/>
      <c r="D71" s="250" t="s">
        <v>2934</v>
      </c>
      <c r="E71" s="250" t="s">
        <v>2019</v>
      </c>
      <c r="F71" s="251"/>
      <c r="G71" s="281"/>
      <c r="H71" s="281"/>
      <c r="I71" s="27"/>
      <c r="J71" s="257" t="s">
        <v>2946</v>
      </c>
      <c r="K71" s="27" t="s">
        <v>494</v>
      </c>
      <c r="L71" s="58"/>
      <c r="M71" s="58">
        <v>0</v>
      </c>
      <c r="N71" s="130">
        <v>0</v>
      </c>
      <c r="O71" s="28"/>
      <c r="P71" s="29"/>
      <c r="Q71" s="28"/>
      <c r="R71" s="28"/>
      <c r="S71" s="28">
        <f t="shared" si="2"/>
        <v>0</v>
      </c>
      <c r="T71" s="28">
        <f t="shared" si="3"/>
        <v>0</v>
      </c>
      <c r="U71" s="266" t="b">
        <v>1</v>
      </c>
      <c r="V71" s="266" t="b">
        <v>0</v>
      </c>
      <c r="Z71"/>
    </row>
    <row r="72" spans="1:26" ht="27" customHeight="1">
      <c r="A72" s="252" t="s">
        <v>65</v>
      </c>
      <c r="B72" s="257" t="s">
        <v>472</v>
      </c>
      <c r="C72" s="252" t="s">
        <v>3363</v>
      </c>
      <c r="D72" s="250" t="s">
        <v>805</v>
      </c>
      <c r="E72" s="250" t="s">
        <v>2729</v>
      </c>
      <c r="F72" s="251">
        <v>41091</v>
      </c>
      <c r="G72" s="188" t="s">
        <v>478</v>
      </c>
      <c r="H72" s="257"/>
      <c r="I72" s="257"/>
      <c r="J72" s="257"/>
      <c r="K72" s="252" t="s">
        <v>3</v>
      </c>
      <c r="L72" s="268">
        <v>22.5</v>
      </c>
      <c r="M72" s="268">
        <v>107.983</v>
      </c>
      <c r="N72" s="130">
        <v>107.202</v>
      </c>
      <c r="O72" s="29">
        <v>72.461029999999994</v>
      </c>
      <c r="P72" s="29" t="s">
        <v>115</v>
      </c>
      <c r="Q72" s="29" t="s">
        <v>115</v>
      </c>
      <c r="R72" s="29" t="s">
        <v>115</v>
      </c>
      <c r="S72" s="28">
        <f t="shared" si="2"/>
        <v>95.882009999999994</v>
      </c>
      <c r="T72" s="28">
        <f t="shared" si="3"/>
        <v>95.882009999999994</v>
      </c>
      <c r="U72" s="266" t="b">
        <v>1</v>
      </c>
      <c r="V72" s="266" t="b">
        <v>0</v>
      </c>
      <c r="Z72"/>
    </row>
    <row r="73" spans="1:26" ht="27" customHeight="1">
      <c r="A73" s="252"/>
      <c r="B73" s="252" t="s">
        <v>1804</v>
      </c>
      <c r="C73" s="257"/>
      <c r="D73" s="48" t="s">
        <v>1431</v>
      </c>
      <c r="E73" s="48" t="s">
        <v>3463</v>
      </c>
      <c r="F73" s="257"/>
      <c r="G73" s="252" t="s">
        <v>2128</v>
      </c>
      <c r="H73" s="252"/>
      <c r="I73" s="252"/>
      <c r="J73" s="257"/>
      <c r="K73" s="252" t="s">
        <v>9</v>
      </c>
      <c r="L73" s="268">
        <v>38</v>
      </c>
      <c r="M73" s="268">
        <v>98.279330000000002</v>
      </c>
      <c r="N73" s="32">
        <v>93.840500000000006</v>
      </c>
      <c r="O73" s="32" t="s">
        <v>115</v>
      </c>
      <c r="P73" s="32" t="s">
        <v>115</v>
      </c>
      <c r="Q73" s="253" t="s">
        <v>115</v>
      </c>
      <c r="R73" s="253" t="s">
        <v>115</v>
      </c>
      <c r="S73" s="28">
        <f t="shared" si="2"/>
        <v>96.059915000000004</v>
      </c>
      <c r="T73" s="28">
        <f t="shared" si="3"/>
        <v>96.059915000000004</v>
      </c>
      <c r="U73" s="266" t="b">
        <v>1</v>
      </c>
      <c r="V73" s="266" t="b">
        <v>0</v>
      </c>
      <c r="Z73"/>
    </row>
    <row r="74" spans="1:26" ht="27" customHeight="1">
      <c r="A74" s="27" t="s">
        <v>19</v>
      </c>
      <c r="B74" s="27" t="s">
        <v>20</v>
      </c>
      <c r="C74" s="252" t="s">
        <v>3293</v>
      </c>
      <c r="D74" s="29" t="s">
        <v>767</v>
      </c>
      <c r="E74" s="29" t="s">
        <v>3464</v>
      </c>
      <c r="F74" s="251"/>
      <c r="G74" s="281" t="s">
        <v>2130</v>
      </c>
      <c r="H74" s="39"/>
      <c r="I74" s="39"/>
      <c r="J74" s="257"/>
      <c r="K74" s="252" t="s">
        <v>3</v>
      </c>
      <c r="L74" s="58">
        <v>31</v>
      </c>
      <c r="M74" s="58">
        <v>222.267</v>
      </c>
      <c r="N74" s="130">
        <v>214.57400000000001</v>
      </c>
      <c r="O74" s="28">
        <v>228.40700000000001</v>
      </c>
      <c r="P74" s="29">
        <v>224.90299999999999</v>
      </c>
      <c r="Q74" s="29">
        <v>216.749</v>
      </c>
      <c r="R74" s="29">
        <v>222.16300000000001</v>
      </c>
      <c r="S74" s="28">
        <f t="shared" si="2"/>
        <v>221.51050000000001</v>
      </c>
      <c r="T74" s="28">
        <f t="shared" si="3"/>
        <v>221.51050000000001</v>
      </c>
      <c r="U74" s="266" t="b">
        <v>1</v>
      </c>
      <c r="V74" s="266" t="b">
        <v>0</v>
      </c>
      <c r="Z74"/>
    </row>
    <row r="75" spans="1:26" ht="27" customHeight="1">
      <c r="A75" s="252" t="s">
        <v>874</v>
      </c>
      <c r="B75" s="257" t="s">
        <v>960</v>
      </c>
      <c r="C75" s="252"/>
      <c r="D75" s="250" t="s">
        <v>672</v>
      </c>
      <c r="E75" s="250" t="s">
        <v>1954</v>
      </c>
      <c r="F75" s="251">
        <v>40908</v>
      </c>
      <c r="G75" s="188"/>
      <c r="H75" s="257"/>
      <c r="I75" s="257"/>
      <c r="J75" s="257"/>
      <c r="K75" s="27" t="s">
        <v>2894</v>
      </c>
      <c r="L75" s="268">
        <v>2.16</v>
      </c>
      <c r="M75" s="268">
        <v>14.43</v>
      </c>
      <c r="N75" s="130">
        <v>15.88</v>
      </c>
      <c r="O75" s="29">
        <v>14.079000000000001</v>
      </c>
      <c r="P75" s="29">
        <v>2.415</v>
      </c>
      <c r="Q75" s="29" t="s">
        <v>115</v>
      </c>
      <c r="R75" s="29" t="s">
        <v>115</v>
      </c>
      <c r="S75" s="28">
        <f t="shared" si="2"/>
        <v>11.701000000000001</v>
      </c>
      <c r="T75" s="28">
        <f t="shared" si="3"/>
        <v>11.701000000000001</v>
      </c>
      <c r="U75" s="266" t="b">
        <v>1</v>
      </c>
      <c r="V75" s="266" t="b">
        <v>0</v>
      </c>
      <c r="Z75"/>
    </row>
    <row r="76" spans="1:26" ht="27" customHeight="1">
      <c r="A76" s="252"/>
      <c r="B76" s="252" t="s">
        <v>1805</v>
      </c>
      <c r="C76" s="257"/>
      <c r="D76" s="48" t="s">
        <v>1447</v>
      </c>
      <c r="E76" s="48" t="s">
        <v>5167</v>
      </c>
      <c r="F76" s="257"/>
      <c r="G76" s="252" t="s">
        <v>1942</v>
      </c>
      <c r="H76" s="252"/>
      <c r="I76" s="252"/>
      <c r="J76" s="257"/>
      <c r="K76" s="252" t="s">
        <v>9</v>
      </c>
      <c r="L76" s="268">
        <v>38.85</v>
      </c>
      <c r="M76" s="268">
        <v>57.037999999999997</v>
      </c>
      <c r="N76" s="32">
        <v>56.706000000000003</v>
      </c>
      <c r="O76" s="32" t="s">
        <v>115</v>
      </c>
      <c r="P76" s="32" t="s">
        <v>115</v>
      </c>
      <c r="Q76" s="253" t="s">
        <v>115</v>
      </c>
      <c r="R76" s="253" t="s">
        <v>115</v>
      </c>
      <c r="S76" s="28">
        <f t="shared" si="2"/>
        <v>56.872</v>
      </c>
      <c r="T76" s="28">
        <f t="shared" si="3"/>
        <v>56.872</v>
      </c>
      <c r="U76" s="266" t="b">
        <v>1</v>
      </c>
      <c r="V76" s="266" t="b">
        <v>0</v>
      </c>
      <c r="Z76"/>
    </row>
    <row r="77" spans="1:26" ht="27" customHeight="1">
      <c r="A77" s="252"/>
      <c r="B77" s="252" t="s">
        <v>1806</v>
      </c>
      <c r="C77" s="257"/>
      <c r="D77" s="48" t="s">
        <v>1309</v>
      </c>
      <c r="E77" s="48"/>
      <c r="F77" s="257"/>
      <c r="G77" s="252" t="s">
        <v>4280</v>
      </c>
      <c r="H77" s="252"/>
      <c r="I77" s="252"/>
      <c r="J77" s="257"/>
      <c r="K77" s="252" t="s">
        <v>9</v>
      </c>
      <c r="L77" s="268">
        <v>41</v>
      </c>
      <c r="M77" s="268">
        <v>104.40893</v>
      </c>
      <c r="N77" s="32">
        <v>109.66368</v>
      </c>
      <c r="O77" s="32" t="s">
        <v>115</v>
      </c>
      <c r="P77" s="32" t="s">
        <v>115</v>
      </c>
      <c r="Q77" s="253" t="s">
        <v>115</v>
      </c>
      <c r="R77" s="253" t="s">
        <v>115</v>
      </c>
      <c r="S77" s="28">
        <f t="shared" si="2"/>
        <v>107.036305</v>
      </c>
      <c r="T77" s="28">
        <f t="shared" si="3"/>
        <v>107.036305</v>
      </c>
      <c r="U77" s="266" t="b">
        <v>1</v>
      </c>
      <c r="V77" s="266" t="b">
        <v>0</v>
      </c>
      <c r="Z77"/>
    </row>
    <row r="78" spans="1:26" ht="27" customHeight="1">
      <c r="A78" s="54" t="s">
        <v>2731</v>
      </c>
      <c r="B78" s="257" t="s">
        <v>1458</v>
      </c>
      <c r="C78" s="252" t="s">
        <v>3306</v>
      </c>
      <c r="D78" s="250" t="s">
        <v>927</v>
      </c>
      <c r="E78" s="250" t="s">
        <v>2730</v>
      </c>
      <c r="F78" s="251">
        <v>40513</v>
      </c>
      <c r="G78" s="188"/>
      <c r="H78" s="257"/>
      <c r="I78" s="257"/>
      <c r="J78" s="257"/>
      <c r="K78" s="27" t="s">
        <v>2894</v>
      </c>
      <c r="L78" s="58">
        <f>4.6+4.6+4.6</f>
        <v>13.799999999999999</v>
      </c>
      <c r="M78" s="58">
        <v>34.726010000000002</v>
      </c>
      <c r="N78" s="130">
        <v>39.478029999999997</v>
      </c>
      <c r="O78" s="28">
        <v>40.343239999999994</v>
      </c>
      <c r="P78" s="32">
        <v>47.552</v>
      </c>
      <c r="Q78" s="32">
        <v>50.978029999999997</v>
      </c>
      <c r="R78" s="32">
        <v>12.821999999999999</v>
      </c>
      <c r="S78" s="28">
        <f t="shared" si="2"/>
        <v>37.649884999999998</v>
      </c>
      <c r="T78" s="28">
        <f t="shared" si="3"/>
        <v>37.649884999999998</v>
      </c>
      <c r="U78" s="266" t="b">
        <v>1</v>
      </c>
      <c r="V78" s="266" t="b">
        <v>0</v>
      </c>
      <c r="Z78"/>
    </row>
    <row r="79" spans="1:26" ht="27" customHeight="1">
      <c r="A79" s="143" t="s">
        <v>1765</v>
      </c>
      <c r="B79" s="143" t="s">
        <v>2804</v>
      </c>
      <c r="C79" s="254"/>
      <c r="D79" s="260"/>
      <c r="E79" s="343" t="s">
        <v>1764</v>
      </c>
      <c r="F79" s="151">
        <v>41855</v>
      </c>
      <c r="G79" s="241"/>
      <c r="H79" s="241">
        <v>59283</v>
      </c>
      <c r="I79" s="241"/>
      <c r="J79" s="134"/>
      <c r="K79" s="257" t="s">
        <v>1089</v>
      </c>
      <c r="L79" s="269">
        <v>1.05</v>
      </c>
      <c r="M79" s="269"/>
      <c r="N79" s="130">
        <v>0.77</v>
      </c>
      <c r="O79" s="343"/>
      <c r="P79" s="343"/>
      <c r="Q79" s="252"/>
      <c r="R79" s="252"/>
      <c r="S79" s="28">
        <f t="shared" si="2"/>
        <v>0.77</v>
      </c>
      <c r="T79" s="28">
        <f t="shared" si="3"/>
        <v>0.77</v>
      </c>
      <c r="U79" s="266" t="b">
        <v>1</v>
      </c>
      <c r="V79" s="266" t="b">
        <v>0</v>
      </c>
      <c r="Z79"/>
    </row>
    <row r="80" spans="1:26" ht="27" customHeight="1">
      <c r="A80" s="252" t="s">
        <v>2215</v>
      </c>
      <c r="B80" s="257" t="s">
        <v>2214</v>
      </c>
      <c r="C80" s="252" t="s">
        <v>3432</v>
      </c>
      <c r="D80" s="250" t="s">
        <v>687</v>
      </c>
      <c r="E80" s="250" t="s">
        <v>2217</v>
      </c>
      <c r="F80" s="251">
        <v>41167</v>
      </c>
      <c r="G80" s="188" t="s">
        <v>2216</v>
      </c>
      <c r="H80" s="257"/>
      <c r="I80" s="257"/>
      <c r="J80" s="257"/>
      <c r="K80" s="27" t="s">
        <v>1089</v>
      </c>
      <c r="L80" s="268">
        <v>250</v>
      </c>
      <c r="M80" s="268">
        <v>689.25800000000004</v>
      </c>
      <c r="N80" s="130">
        <v>681.11300000000006</v>
      </c>
      <c r="O80" s="28">
        <v>403.92200000000003</v>
      </c>
      <c r="P80" s="29" t="s">
        <v>115</v>
      </c>
      <c r="Q80" s="31" t="s">
        <v>115</v>
      </c>
      <c r="R80" s="29" t="s">
        <v>115</v>
      </c>
      <c r="S80" s="28">
        <f t="shared" si="2"/>
        <v>591.43100000000004</v>
      </c>
      <c r="T80" s="28">
        <f t="shared" si="3"/>
        <v>591.43100000000004</v>
      </c>
      <c r="U80" s="266" t="b">
        <v>1</v>
      </c>
      <c r="V80" s="266" t="b">
        <v>0</v>
      </c>
      <c r="Z80"/>
    </row>
    <row r="81" spans="1:26" ht="27" customHeight="1">
      <c r="A81" s="27" t="s">
        <v>78</v>
      </c>
      <c r="B81" s="27" t="s">
        <v>1459</v>
      </c>
      <c r="C81" s="252" t="s">
        <v>3338</v>
      </c>
      <c r="D81" s="250" t="s">
        <v>766</v>
      </c>
      <c r="E81" s="250" t="s">
        <v>3465</v>
      </c>
      <c r="F81" s="43" t="s">
        <v>1158</v>
      </c>
      <c r="G81" s="27" t="s">
        <v>2202</v>
      </c>
      <c r="H81" s="27"/>
      <c r="I81" s="27"/>
      <c r="J81" s="257"/>
      <c r="K81" s="27" t="s">
        <v>7</v>
      </c>
      <c r="L81" s="58">
        <f>48.5*2</f>
        <v>97</v>
      </c>
      <c r="M81" s="58">
        <v>469.988</v>
      </c>
      <c r="N81" s="130">
        <v>490.053</v>
      </c>
      <c r="O81" s="28">
        <v>470.89800000000002</v>
      </c>
      <c r="P81" s="29">
        <v>536.43600000000004</v>
      </c>
      <c r="Q81" s="28">
        <v>522.26400000000001</v>
      </c>
      <c r="R81" s="28">
        <v>538.76499999999999</v>
      </c>
      <c r="S81" s="28">
        <f t="shared" si="2"/>
        <v>504.73399999999998</v>
      </c>
      <c r="T81" s="28">
        <f t="shared" si="3"/>
        <v>504.73399999999998</v>
      </c>
      <c r="U81" s="266" t="b">
        <v>1</v>
      </c>
      <c r="V81" s="266" t="b">
        <v>0</v>
      </c>
      <c r="Z81"/>
    </row>
    <row r="82" spans="1:26" ht="27" customHeight="1">
      <c r="A82" s="27" t="s">
        <v>532</v>
      </c>
      <c r="B82" s="27" t="s">
        <v>533</v>
      </c>
      <c r="C82" s="252" t="s">
        <v>3355</v>
      </c>
      <c r="D82" s="29" t="s">
        <v>765</v>
      </c>
      <c r="E82" s="29" t="s">
        <v>3466</v>
      </c>
      <c r="F82" s="251">
        <v>40298</v>
      </c>
      <c r="G82" s="281" t="s">
        <v>2136</v>
      </c>
      <c r="H82" s="27"/>
      <c r="I82" s="27"/>
      <c r="J82" s="257"/>
      <c r="K82" s="27" t="s">
        <v>1089</v>
      </c>
      <c r="L82" s="58">
        <v>5</v>
      </c>
      <c r="M82" s="58">
        <v>10.185</v>
      </c>
      <c r="N82" s="130">
        <v>10.087</v>
      </c>
      <c r="O82" s="28">
        <v>10.786</v>
      </c>
      <c r="P82" s="29">
        <v>10.478</v>
      </c>
      <c r="Q82" s="28">
        <v>9.8870000000000005</v>
      </c>
      <c r="R82" s="28">
        <v>7.1749999999999998</v>
      </c>
      <c r="S82" s="28">
        <f t="shared" si="2"/>
        <v>9.7663333333333338</v>
      </c>
      <c r="T82" s="28">
        <f t="shared" si="3"/>
        <v>9.7663333333333338</v>
      </c>
      <c r="U82" s="266" t="b">
        <v>1</v>
      </c>
      <c r="V82" s="266" t="b">
        <v>0</v>
      </c>
      <c r="Z82"/>
    </row>
    <row r="83" spans="1:26" ht="27" customHeight="1">
      <c r="A83" s="252" t="s">
        <v>1522</v>
      </c>
      <c r="B83" s="256" t="s">
        <v>1524</v>
      </c>
      <c r="C83" s="252" t="s">
        <v>1649</v>
      </c>
      <c r="D83" s="250" t="s">
        <v>1283</v>
      </c>
      <c r="E83" s="250" t="s">
        <v>2836</v>
      </c>
      <c r="F83" s="251">
        <v>41969</v>
      </c>
      <c r="G83" s="282"/>
      <c r="H83" s="256"/>
      <c r="I83" s="256"/>
      <c r="J83" s="257" t="s">
        <v>3741</v>
      </c>
      <c r="K83" s="257" t="s">
        <v>1089</v>
      </c>
      <c r="L83" s="258">
        <v>45</v>
      </c>
      <c r="M83" s="258">
        <v>129.017</v>
      </c>
      <c r="N83" s="130"/>
      <c r="O83" s="28" t="s">
        <v>115</v>
      </c>
      <c r="P83" s="32" t="s">
        <v>115</v>
      </c>
      <c r="Q83" s="253" t="s">
        <v>115</v>
      </c>
      <c r="R83" s="253" t="s">
        <v>115</v>
      </c>
      <c r="S83" s="28">
        <f t="shared" si="2"/>
        <v>129.017</v>
      </c>
      <c r="T83" s="28">
        <f t="shared" si="3"/>
        <v>129.017</v>
      </c>
      <c r="U83" s="266" t="b">
        <v>1</v>
      </c>
      <c r="V83" s="266" t="b">
        <v>0</v>
      </c>
      <c r="Z83"/>
    </row>
    <row r="84" spans="1:26" ht="27" customHeight="1">
      <c r="A84" s="252"/>
      <c r="B84" s="252" t="s">
        <v>1807</v>
      </c>
      <c r="C84" s="257"/>
      <c r="D84" s="48" t="s">
        <v>1378</v>
      </c>
      <c r="E84" s="181" t="s">
        <v>2454</v>
      </c>
      <c r="F84" s="257"/>
      <c r="G84" s="252" t="s">
        <v>4992</v>
      </c>
      <c r="H84" s="252"/>
      <c r="I84" s="252"/>
      <c r="J84" s="257"/>
      <c r="K84" s="252" t="s">
        <v>9</v>
      </c>
      <c r="L84" s="268">
        <v>59.6</v>
      </c>
      <c r="M84" s="268">
        <v>152.56174999999999</v>
      </c>
      <c r="N84" s="32">
        <v>175.66325000000001</v>
      </c>
      <c r="O84" s="32" t="s">
        <v>115</v>
      </c>
      <c r="P84" s="32" t="s">
        <v>115</v>
      </c>
      <c r="Q84" s="253" t="s">
        <v>115</v>
      </c>
      <c r="R84" s="253" t="s">
        <v>115</v>
      </c>
      <c r="S84" s="28">
        <f t="shared" si="2"/>
        <v>164.11250000000001</v>
      </c>
      <c r="T84" s="28">
        <f t="shared" si="3"/>
        <v>164.11250000000001</v>
      </c>
      <c r="U84" s="266" t="b">
        <v>1</v>
      </c>
      <c r="V84" s="266" t="b">
        <v>0</v>
      </c>
      <c r="Z84"/>
    </row>
    <row r="85" spans="1:26" ht="27" customHeight="1">
      <c r="A85" s="252" t="s">
        <v>1115</v>
      </c>
      <c r="B85" s="256" t="s">
        <v>1200</v>
      </c>
      <c r="C85" s="252" t="s">
        <v>3294</v>
      </c>
      <c r="D85" s="261" t="s">
        <v>1023</v>
      </c>
      <c r="E85" s="261" t="s">
        <v>2732</v>
      </c>
      <c r="F85" s="138">
        <v>41572</v>
      </c>
      <c r="G85" s="282" t="s">
        <v>3735</v>
      </c>
      <c r="H85" s="256"/>
      <c r="I85" s="256"/>
      <c r="J85" s="257"/>
      <c r="K85" s="257" t="s">
        <v>1089</v>
      </c>
      <c r="L85" s="258">
        <v>139</v>
      </c>
      <c r="M85" s="258">
        <v>368.93200000000002</v>
      </c>
      <c r="N85" s="130">
        <v>372.06400000000002</v>
      </c>
      <c r="O85" s="28">
        <v>73.641089999999991</v>
      </c>
      <c r="P85" s="37" t="s">
        <v>115</v>
      </c>
      <c r="Q85" s="37" t="s">
        <v>115</v>
      </c>
      <c r="R85" s="37" t="s">
        <v>115</v>
      </c>
      <c r="S85" s="28">
        <f t="shared" si="2"/>
        <v>271.54569666666669</v>
      </c>
      <c r="T85" s="28">
        <f t="shared" si="3"/>
        <v>271.54569666666669</v>
      </c>
      <c r="U85" s="266" t="b">
        <v>1</v>
      </c>
      <c r="V85" s="266" t="b">
        <v>0</v>
      </c>
      <c r="Z85"/>
    </row>
    <row r="86" spans="1:26" ht="27" customHeight="1">
      <c r="A86" s="252" t="s">
        <v>615</v>
      </c>
      <c r="B86" s="257" t="s">
        <v>668</v>
      </c>
      <c r="C86" s="252" t="s">
        <v>3364</v>
      </c>
      <c r="D86" s="250" t="s">
        <v>807</v>
      </c>
      <c r="E86" s="250" t="s">
        <v>2733</v>
      </c>
      <c r="F86" s="251">
        <v>40969</v>
      </c>
      <c r="G86" s="188" t="s">
        <v>3712</v>
      </c>
      <c r="H86" s="257"/>
      <c r="I86" s="257"/>
      <c r="J86" s="257"/>
      <c r="K86" s="27" t="s">
        <v>1089</v>
      </c>
      <c r="L86" s="268">
        <v>20</v>
      </c>
      <c r="M86" s="268">
        <v>42.546999999999997</v>
      </c>
      <c r="N86" s="130">
        <v>44.539000000000001</v>
      </c>
      <c r="O86" s="29">
        <v>48.176000000000002</v>
      </c>
      <c r="P86" s="29">
        <v>24.082000000000001</v>
      </c>
      <c r="Q86" s="31" t="s">
        <v>115</v>
      </c>
      <c r="R86" s="29" t="s">
        <v>115</v>
      </c>
      <c r="S86" s="28">
        <f t="shared" si="2"/>
        <v>39.835999999999999</v>
      </c>
      <c r="T86" s="28">
        <f t="shared" si="3"/>
        <v>39.835999999999999</v>
      </c>
      <c r="U86" s="266" t="b">
        <v>1</v>
      </c>
      <c r="V86" s="266" t="b">
        <v>0</v>
      </c>
      <c r="Z86"/>
    </row>
    <row r="87" spans="1:26" ht="27" customHeight="1">
      <c r="A87" s="252" t="s">
        <v>1482</v>
      </c>
      <c r="B87" s="46" t="s">
        <v>1483</v>
      </c>
      <c r="C87" s="252"/>
      <c r="D87" s="48" t="s">
        <v>1270</v>
      </c>
      <c r="E87" s="48" t="s">
        <v>2734</v>
      </c>
      <c r="F87" s="43">
        <v>41632</v>
      </c>
      <c r="G87" s="243" t="s">
        <v>3738</v>
      </c>
      <c r="H87" s="46">
        <v>58590</v>
      </c>
      <c r="I87" s="46"/>
      <c r="J87" s="257"/>
      <c r="K87" s="257" t="s">
        <v>1089</v>
      </c>
      <c r="L87" s="266">
        <v>19.02</v>
      </c>
      <c r="M87" s="266">
        <v>53.139000000000003</v>
      </c>
      <c r="N87" s="130">
        <v>53.347999999999999</v>
      </c>
      <c r="O87" s="28" t="s">
        <v>115</v>
      </c>
      <c r="P87" s="37" t="s">
        <v>115</v>
      </c>
      <c r="Q87" s="37" t="s">
        <v>115</v>
      </c>
      <c r="R87" s="37" t="s">
        <v>115</v>
      </c>
      <c r="S87" s="28">
        <f t="shared" si="2"/>
        <v>53.243499999999997</v>
      </c>
      <c r="T87" s="28">
        <f t="shared" si="3"/>
        <v>53.243499999999997</v>
      </c>
      <c r="U87" s="266" t="b">
        <v>1</v>
      </c>
      <c r="V87" s="266" t="b">
        <v>0</v>
      </c>
      <c r="Z87"/>
    </row>
    <row r="88" spans="1:26" s="259" customFormat="1" ht="27" customHeight="1">
      <c r="A88" s="252" t="s">
        <v>872</v>
      </c>
      <c r="B88" s="257" t="s">
        <v>1080</v>
      </c>
      <c r="C88" s="252" t="s">
        <v>3316</v>
      </c>
      <c r="D88" s="139" t="s">
        <v>677</v>
      </c>
      <c r="E88" s="139" t="s">
        <v>3467</v>
      </c>
      <c r="F88" s="137" t="s">
        <v>1081</v>
      </c>
      <c r="G88" s="188" t="s">
        <v>2350</v>
      </c>
      <c r="H88" s="257"/>
      <c r="I88" s="257"/>
      <c r="J88" s="257"/>
      <c r="K88" s="27" t="s">
        <v>1089</v>
      </c>
      <c r="L88" s="268">
        <v>110</v>
      </c>
      <c r="M88" s="268">
        <v>279.89299999999997</v>
      </c>
      <c r="N88" s="130">
        <v>287.77199999999999</v>
      </c>
      <c r="O88" s="28">
        <v>204.24299999999999</v>
      </c>
      <c r="P88" s="29"/>
      <c r="Q88" s="29" t="s">
        <v>115</v>
      </c>
      <c r="R88" s="29" t="s">
        <v>115</v>
      </c>
      <c r="S88" s="28">
        <f t="shared" si="2"/>
        <v>257.30266666666665</v>
      </c>
      <c r="T88" s="28">
        <f t="shared" si="3"/>
        <v>0</v>
      </c>
      <c r="U88" s="266" t="b">
        <v>1</v>
      </c>
      <c r="V88" s="266" t="b">
        <v>0</v>
      </c>
      <c r="Z88"/>
    </row>
    <row r="89" spans="1:26" ht="27" customHeight="1">
      <c r="A89" s="252" t="s">
        <v>1580</v>
      </c>
      <c r="B89" s="256" t="s">
        <v>1543</v>
      </c>
      <c r="C89" s="260" t="s">
        <v>1730</v>
      </c>
      <c r="D89" s="250" t="s">
        <v>1298</v>
      </c>
      <c r="E89" s="163" t="s">
        <v>1766</v>
      </c>
      <c r="F89" s="251">
        <v>42168</v>
      </c>
      <c r="G89" s="262" t="s">
        <v>3662</v>
      </c>
      <c r="H89" s="262"/>
      <c r="I89" s="188"/>
      <c r="J89" s="262" t="s">
        <v>1576</v>
      </c>
      <c r="K89" s="257" t="s">
        <v>1089</v>
      </c>
      <c r="L89" s="258">
        <v>18</v>
      </c>
      <c r="M89" s="258">
        <v>25.318060000000003</v>
      </c>
      <c r="N89" s="144" t="s">
        <v>115</v>
      </c>
      <c r="O89" s="241" t="s">
        <v>115</v>
      </c>
      <c r="P89" s="134" t="s">
        <v>115</v>
      </c>
      <c r="Q89" s="254" t="s">
        <v>115</v>
      </c>
      <c r="R89" s="188" t="s">
        <v>115</v>
      </c>
      <c r="S89" s="28">
        <f t="shared" si="2"/>
        <v>25.318060000000003</v>
      </c>
      <c r="T89" s="28">
        <f t="shared" si="3"/>
        <v>41.785200000000003</v>
      </c>
      <c r="U89" s="266" t="b">
        <v>1</v>
      </c>
      <c r="V89" s="266" t="b">
        <v>0</v>
      </c>
      <c r="Z89"/>
    </row>
    <row r="90" spans="1:26" ht="27" customHeight="1">
      <c r="A90" s="27" t="s">
        <v>83</v>
      </c>
      <c r="B90" s="27" t="s">
        <v>110</v>
      </c>
      <c r="C90" s="252"/>
      <c r="D90" s="250" t="s">
        <v>764</v>
      </c>
      <c r="E90" s="250" t="s">
        <v>2735</v>
      </c>
      <c r="F90" s="43" t="s">
        <v>1168</v>
      </c>
      <c r="G90" s="257" t="s">
        <v>5170</v>
      </c>
      <c r="H90" s="27"/>
      <c r="I90" s="27"/>
      <c r="J90" s="257"/>
      <c r="K90" s="27" t="s">
        <v>7</v>
      </c>
      <c r="L90" s="58">
        <v>11.5</v>
      </c>
      <c r="M90" s="58">
        <v>73.873999999999995</v>
      </c>
      <c r="N90" s="130">
        <v>49.723019999999998</v>
      </c>
      <c r="O90" s="28">
        <v>54.805030000000002</v>
      </c>
      <c r="P90" s="29">
        <v>65.971000000000004</v>
      </c>
      <c r="Q90" s="28">
        <v>72.486999999999995</v>
      </c>
      <c r="R90" s="28">
        <v>14.85108</v>
      </c>
      <c r="S90" s="28">
        <f t="shared" si="2"/>
        <v>55.285188333333338</v>
      </c>
      <c r="T90" s="28">
        <f t="shared" si="3"/>
        <v>55.285188333333338</v>
      </c>
      <c r="U90" s="266" t="b">
        <v>1</v>
      </c>
      <c r="V90" s="266" t="b">
        <v>0</v>
      </c>
      <c r="Z90"/>
    </row>
    <row r="91" spans="1:26" ht="27" customHeight="1">
      <c r="A91" s="252" t="s">
        <v>1098</v>
      </c>
      <c r="B91" s="257" t="s">
        <v>2333</v>
      </c>
      <c r="C91" s="252" t="s">
        <v>3297</v>
      </c>
      <c r="D91" s="250" t="s">
        <v>1010</v>
      </c>
      <c r="E91" s="250" t="s">
        <v>2157</v>
      </c>
      <c r="F91" s="251">
        <v>41499</v>
      </c>
      <c r="G91" s="282" t="s">
        <v>2156</v>
      </c>
      <c r="H91" s="257">
        <v>58374</v>
      </c>
      <c r="I91" s="257"/>
      <c r="J91" s="257"/>
      <c r="K91" s="257" t="s">
        <v>1089</v>
      </c>
      <c r="L91" s="268">
        <v>20</v>
      </c>
      <c r="M91" s="268">
        <v>52.38</v>
      </c>
      <c r="N91" s="130">
        <v>51.228999999999999</v>
      </c>
      <c r="O91" s="28">
        <v>17.082999999999998</v>
      </c>
      <c r="P91" s="29" t="s">
        <v>115</v>
      </c>
      <c r="Q91" s="31" t="s">
        <v>115</v>
      </c>
      <c r="R91" s="29" t="s">
        <v>115</v>
      </c>
      <c r="S91" s="28">
        <f t="shared" si="2"/>
        <v>40.230666666666671</v>
      </c>
      <c r="T91" s="28">
        <f t="shared" si="3"/>
        <v>40.230666666666671</v>
      </c>
      <c r="U91" s="266" t="b">
        <v>1</v>
      </c>
      <c r="V91" s="266" t="b">
        <v>0</v>
      </c>
      <c r="Z91"/>
    </row>
    <row r="92" spans="1:26" ht="27" customHeight="1">
      <c r="A92" s="252" t="s">
        <v>1180</v>
      </c>
      <c r="B92" s="257" t="s">
        <v>2334</v>
      </c>
      <c r="C92" s="252" t="s">
        <v>3298</v>
      </c>
      <c r="D92" s="250" t="s">
        <v>1009</v>
      </c>
      <c r="E92" s="250" t="s">
        <v>3468</v>
      </c>
      <c r="F92" s="251">
        <v>41446</v>
      </c>
      <c r="G92" s="188" t="s">
        <v>2335</v>
      </c>
      <c r="H92" s="257"/>
      <c r="I92" s="257"/>
      <c r="J92" s="257"/>
      <c r="K92" s="257" t="s">
        <v>1089</v>
      </c>
      <c r="L92" s="268">
        <v>20</v>
      </c>
      <c r="M92" s="268">
        <v>52.921999999999997</v>
      </c>
      <c r="N92" s="130">
        <v>53.677</v>
      </c>
      <c r="O92" s="28">
        <v>27.963049999999999</v>
      </c>
      <c r="P92" s="29" t="s">
        <v>115</v>
      </c>
      <c r="Q92" s="31" t="s">
        <v>115</v>
      </c>
      <c r="R92" s="29" t="s">
        <v>115</v>
      </c>
      <c r="S92" s="28">
        <f t="shared" si="2"/>
        <v>44.854016666666666</v>
      </c>
      <c r="T92" s="28">
        <f t="shared" si="3"/>
        <v>44.854016666666666</v>
      </c>
      <c r="U92" s="266" t="b">
        <v>1</v>
      </c>
      <c r="V92" s="266" t="b">
        <v>0</v>
      </c>
      <c r="Z92"/>
    </row>
    <row r="93" spans="1:26" ht="27" customHeight="1">
      <c r="A93" s="252"/>
      <c r="B93" s="252" t="s">
        <v>1808</v>
      </c>
      <c r="C93" s="257"/>
      <c r="D93" s="48" t="s">
        <v>1374</v>
      </c>
      <c r="E93" s="48" t="s">
        <v>2736</v>
      </c>
      <c r="F93" s="257"/>
      <c r="G93" s="252"/>
      <c r="H93" s="252"/>
      <c r="I93" s="252"/>
      <c r="J93" s="257" t="s">
        <v>3284</v>
      </c>
      <c r="K93" s="252" t="s">
        <v>9</v>
      </c>
      <c r="L93" s="268">
        <v>3</v>
      </c>
      <c r="M93" s="268">
        <v>2.9262199999999998</v>
      </c>
      <c r="N93" s="32">
        <v>3.4834899999999998</v>
      </c>
      <c r="O93" s="32" t="s">
        <v>115</v>
      </c>
      <c r="P93" s="32" t="s">
        <v>115</v>
      </c>
      <c r="Q93" s="253" t="s">
        <v>115</v>
      </c>
      <c r="R93" s="253" t="s">
        <v>115</v>
      </c>
      <c r="S93" s="28">
        <f t="shared" si="2"/>
        <v>3.2048549999999998</v>
      </c>
      <c r="T93" s="28">
        <f t="shared" si="3"/>
        <v>3.2048549999999998</v>
      </c>
      <c r="U93" s="266" t="b">
        <v>1</v>
      </c>
      <c r="V93" s="266" t="b">
        <v>0</v>
      </c>
      <c r="Z93"/>
    </row>
    <row r="94" spans="1:26" s="259" customFormat="1" ht="27" customHeight="1">
      <c r="A94" s="252"/>
      <c r="B94" s="252" t="s">
        <v>1809</v>
      </c>
      <c r="C94" s="257"/>
      <c r="D94" s="48" t="s">
        <v>1372</v>
      </c>
      <c r="E94" s="48" t="s">
        <v>2737</v>
      </c>
      <c r="F94" s="257"/>
      <c r="G94" s="252"/>
      <c r="H94" s="252"/>
      <c r="I94" s="252"/>
      <c r="J94" s="257" t="s">
        <v>3284</v>
      </c>
      <c r="K94" s="252" t="s">
        <v>9</v>
      </c>
      <c r="L94" s="268">
        <v>1</v>
      </c>
      <c r="M94" s="268">
        <v>1.4047499999999999</v>
      </c>
      <c r="N94" s="32">
        <v>1.5383</v>
      </c>
      <c r="O94" s="32" t="s">
        <v>115</v>
      </c>
      <c r="P94" s="32" t="s">
        <v>115</v>
      </c>
      <c r="Q94" s="253" t="s">
        <v>115</v>
      </c>
      <c r="R94" s="253" t="s">
        <v>115</v>
      </c>
      <c r="S94" s="28">
        <f t="shared" si="2"/>
        <v>1.471525</v>
      </c>
      <c r="T94" s="28">
        <f t="shared" si="3"/>
        <v>1.471525</v>
      </c>
      <c r="U94" s="266" t="b">
        <v>1</v>
      </c>
      <c r="V94" s="266" t="b">
        <v>0</v>
      </c>
      <c r="Z94"/>
    </row>
    <row r="95" spans="1:26" s="259" customFormat="1" ht="27" customHeight="1">
      <c r="A95" s="252"/>
      <c r="B95" s="252" t="s">
        <v>1810</v>
      </c>
      <c r="C95" s="257"/>
      <c r="D95" s="48" t="s">
        <v>1375</v>
      </c>
      <c r="E95" s="48" t="s">
        <v>2738</v>
      </c>
      <c r="F95" s="257"/>
      <c r="G95" s="252"/>
      <c r="H95" s="252"/>
      <c r="I95" s="252"/>
      <c r="J95" s="257" t="s">
        <v>3284</v>
      </c>
      <c r="K95" s="252" t="s">
        <v>9</v>
      </c>
      <c r="L95" s="268">
        <v>3.24</v>
      </c>
      <c r="M95" s="268">
        <v>2.5807199999999999</v>
      </c>
      <c r="N95" s="32">
        <v>2.68235</v>
      </c>
      <c r="O95" s="32" t="s">
        <v>115</v>
      </c>
      <c r="P95" s="32" t="s">
        <v>115</v>
      </c>
      <c r="Q95" s="253" t="s">
        <v>115</v>
      </c>
      <c r="R95" s="253" t="s">
        <v>115</v>
      </c>
      <c r="S95" s="28">
        <f t="shared" si="2"/>
        <v>2.631535</v>
      </c>
      <c r="T95" s="28">
        <f t="shared" si="3"/>
        <v>2.631535</v>
      </c>
      <c r="U95" s="266" t="b">
        <v>1</v>
      </c>
      <c r="V95" s="266" t="b">
        <v>0</v>
      </c>
      <c r="Z95"/>
    </row>
    <row r="96" spans="1:26" s="259" customFormat="1" ht="27" customHeight="1">
      <c r="A96" s="252" t="s">
        <v>914</v>
      </c>
      <c r="B96" s="256" t="s">
        <v>676</v>
      </c>
      <c r="C96" s="252" t="s">
        <v>1651</v>
      </c>
      <c r="D96" s="250" t="s">
        <v>1042</v>
      </c>
      <c r="E96" s="250" t="s">
        <v>3469</v>
      </c>
      <c r="F96" s="43">
        <v>41790</v>
      </c>
      <c r="G96" s="282" t="s">
        <v>3740</v>
      </c>
      <c r="H96" s="256"/>
      <c r="I96" s="256"/>
      <c r="J96" s="257"/>
      <c r="K96" s="257" t="s">
        <v>1089</v>
      </c>
      <c r="L96" s="258">
        <v>174</v>
      </c>
      <c r="M96" s="258">
        <v>509.851</v>
      </c>
      <c r="N96" s="130">
        <v>449.23611999999997</v>
      </c>
      <c r="O96" s="28"/>
      <c r="P96" s="37" t="s">
        <v>115</v>
      </c>
      <c r="Q96" s="37" t="s">
        <v>115</v>
      </c>
      <c r="R96" s="37" t="s">
        <v>115</v>
      </c>
      <c r="S96" s="28">
        <f t="shared" si="2"/>
        <v>479.54355999999996</v>
      </c>
      <c r="T96" s="28">
        <f t="shared" si="3"/>
        <v>479.54355999999996</v>
      </c>
      <c r="U96" s="266" t="b">
        <v>1</v>
      </c>
      <c r="V96" s="266" t="b">
        <v>0</v>
      </c>
      <c r="Z96"/>
    </row>
    <row r="97" spans="1:26" s="259" customFormat="1" ht="27" customHeight="1">
      <c r="A97" s="54" t="s">
        <v>1133</v>
      </c>
      <c r="B97" s="252" t="s">
        <v>952</v>
      </c>
      <c r="C97" s="252"/>
      <c r="D97" s="250" t="s">
        <v>922</v>
      </c>
      <c r="E97" s="250" t="s">
        <v>2739</v>
      </c>
      <c r="F97" s="251"/>
      <c r="G97" s="200" t="s">
        <v>5000</v>
      </c>
      <c r="H97" s="252"/>
      <c r="I97" s="252"/>
      <c r="J97" s="257"/>
      <c r="K97" s="27" t="s">
        <v>2894</v>
      </c>
      <c r="L97" s="58">
        <v>3.2</v>
      </c>
      <c r="M97" s="58">
        <v>17.187999999999999</v>
      </c>
      <c r="N97" s="130">
        <v>14.151999999999999</v>
      </c>
      <c r="O97" s="28">
        <v>18.694900000000001</v>
      </c>
      <c r="P97" s="32">
        <v>18.693999999999999</v>
      </c>
      <c r="Q97" s="32">
        <v>17.990099999999998</v>
      </c>
      <c r="R97" s="32">
        <v>19.060500000000001</v>
      </c>
      <c r="S97" s="28">
        <f t="shared" si="2"/>
        <v>17.629916666666666</v>
      </c>
      <c r="T97" s="28">
        <f t="shared" si="3"/>
        <v>17.629916666666666</v>
      </c>
      <c r="U97" s="266" t="b">
        <v>1</v>
      </c>
      <c r="V97" s="266" t="b">
        <v>0</v>
      </c>
      <c r="Z97"/>
    </row>
    <row r="98" spans="1:26" s="157" customFormat="1" ht="27" customHeight="1">
      <c r="A98" s="54" t="s">
        <v>1133</v>
      </c>
      <c r="B98" s="252" t="s">
        <v>953</v>
      </c>
      <c r="C98" s="252"/>
      <c r="D98" s="250" t="s">
        <v>923</v>
      </c>
      <c r="E98" s="250" t="s">
        <v>2739</v>
      </c>
      <c r="F98" s="251"/>
      <c r="G98" s="200" t="s">
        <v>5000</v>
      </c>
      <c r="H98" s="252"/>
      <c r="I98" s="252"/>
      <c r="J98" s="257"/>
      <c r="K98" s="27" t="s">
        <v>2894</v>
      </c>
      <c r="L98" s="58">
        <v>3.2</v>
      </c>
      <c r="M98" s="58">
        <v>11.497999999999999</v>
      </c>
      <c r="N98" s="130">
        <v>14.436</v>
      </c>
      <c r="O98" s="28">
        <v>16.440100000000001</v>
      </c>
      <c r="P98" s="32">
        <v>16.440100000000001</v>
      </c>
      <c r="Q98" s="32">
        <v>21.5627</v>
      </c>
      <c r="R98" s="32">
        <v>20.028200000000002</v>
      </c>
      <c r="S98" s="28">
        <f t="shared" si="2"/>
        <v>16.734183333333334</v>
      </c>
      <c r="T98" s="28">
        <f t="shared" si="3"/>
        <v>16.734183333333334</v>
      </c>
      <c r="U98" s="266" t="b">
        <v>1</v>
      </c>
      <c r="V98" s="266" t="b">
        <v>0</v>
      </c>
      <c r="Z98"/>
    </row>
    <row r="99" spans="1:26" s="259" customFormat="1" ht="27" customHeight="1">
      <c r="A99" s="252" t="s">
        <v>2515</v>
      </c>
      <c r="B99" s="256" t="s">
        <v>1553</v>
      </c>
      <c r="C99" s="252"/>
      <c r="D99" s="250" t="s">
        <v>1306</v>
      </c>
      <c r="E99" s="250">
        <v>62292</v>
      </c>
      <c r="F99" s="251">
        <v>41642</v>
      </c>
      <c r="G99" s="282" t="s">
        <v>2516</v>
      </c>
      <c r="H99" s="256">
        <v>58581</v>
      </c>
      <c r="I99" s="256"/>
      <c r="J99" s="252" t="s">
        <v>2946</v>
      </c>
      <c r="K99" s="257" t="s">
        <v>1089</v>
      </c>
      <c r="L99" s="258">
        <v>1</v>
      </c>
      <c r="M99" s="258">
        <v>2.0059269999999998</v>
      </c>
      <c r="N99" s="130">
        <v>2.1259999999999999</v>
      </c>
      <c r="O99" s="28" t="s">
        <v>115</v>
      </c>
      <c r="P99" s="32" t="s">
        <v>115</v>
      </c>
      <c r="Q99" s="253" t="s">
        <v>115</v>
      </c>
      <c r="R99" s="253" t="s">
        <v>115</v>
      </c>
      <c r="S99" s="28">
        <f t="shared" si="2"/>
        <v>2.0659634999999996</v>
      </c>
      <c r="T99" s="28">
        <f t="shared" si="3"/>
        <v>2.0659634999999996</v>
      </c>
      <c r="U99" s="266" t="b">
        <v>1</v>
      </c>
      <c r="V99" s="266" t="b">
        <v>0</v>
      </c>
      <c r="Z99"/>
    </row>
    <row r="100" spans="1:26" ht="27" customHeight="1">
      <c r="A100" s="36" t="s">
        <v>546</v>
      </c>
      <c r="B100" s="36" t="s">
        <v>1958</v>
      </c>
      <c r="C100" s="252"/>
      <c r="D100" s="29" t="s">
        <v>762</v>
      </c>
      <c r="E100" s="29" t="s">
        <v>2740</v>
      </c>
      <c r="F100" s="251"/>
      <c r="G100" s="279"/>
      <c r="H100" s="36"/>
      <c r="I100" s="36"/>
      <c r="J100" s="257"/>
      <c r="K100" s="27" t="s">
        <v>2894</v>
      </c>
      <c r="L100" s="58">
        <f>4.6*2</f>
        <v>9.1999999999999993</v>
      </c>
      <c r="M100" s="58">
        <v>46.982999999999997</v>
      </c>
      <c r="N100" s="130">
        <v>43.807000000000002</v>
      </c>
      <c r="O100" s="28">
        <v>48.962000000000003</v>
      </c>
      <c r="P100" s="29">
        <v>44.021999999999998</v>
      </c>
      <c r="Q100" s="28">
        <v>42.68</v>
      </c>
      <c r="R100" s="28" t="s">
        <v>115</v>
      </c>
      <c r="S100" s="28">
        <f t="shared" si="2"/>
        <v>45.290800000000004</v>
      </c>
      <c r="T100" s="28">
        <f t="shared" si="3"/>
        <v>45.290800000000004</v>
      </c>
      <c r="U100" s="266" t="b">
        <v>1</v>
      </c>
      <c r="V100" s="266" t="b">
        <v>0</v>
      </c>
      <c r="Z100"/>
    </row>
    <row r="101" spans="1:26" ht="27" customHeight="1">
      <c r="A101" s="27" t="s">
        <v>507</v>
      </c>
      <c r="B101" s="27" t="s">
        <v>509</v>
      </c>
      <c r="C101" s="252" t="s">
        <v>3348</v>
      </c>
      <c r="D101" s="29" t="s">
        <v>761</v>
      </c>
      <c r="E101" s="29" t="s">
        <v>3470</v>
      </c>
      <c r="F101" s="251">
        <v>39813</v>
      </c>
      <c r="G101" s="281" t="s">
        <v>2138</v>
      </c>
      <c r="H101" s="27"/>
      <c r="I101" s="27"/>
      <c r="J101" s="257"/>
      <c r="K101" s="252" t="s">
        <v>3</v>
      </c>
      <c r="L101" s="58">
        <v>12.5</v>
      </c>
      <c r="M101" s="58">
        <v>66.028000000000006</v>
      </c>
      <c r="N101" s="130">
        <v>71.847999999999999</v>
      </c>
      <c r="O101" s="28">
        <v>68.981999999999999</v>
      </c>
      <c r="P101" s="29">
        <v>59.113999999999997</v>
      </c>
      <c r="Q101" s="29">
        <v>32.35304</v>
      </c>
      <c r="R101" s="29">
        <v>16.828060000000001</v>
      </c>
      <c r="S101" s="28">
        <f t="shared" si="2"/>
        <v>52.525516666666668</v>
      </c>
      <c r="T101" s="28">
        <f t="shared" si="3"/>
        <v>52.525516666666668</v>
      </c>
      <c r="U101" s="266" t="b">
        <v>1</v>
      </c>
      <c r="V101" s="266" t="b">
        <v>0</v>
      </c>
      <c r="Z101"/>
    </row>
    <row r="102" spans="1:26" ht="27" customHeight="1">
      <c r="A102" s="143"/>
      <c r="B102" s="143" t="s">
        <v>1582</v>
      </c>
      <c r="C102" s="260" t="s">
        <v>3869</v>
      </c>
      <c r="D102" s="257" t="s">
        <v>3779</v>
      </c>
      <c r="E102" s="209" t="s">
        <v>5238</v>
      </c>
      <c r="F102" s="151">
        <v>42352</v>
      </c>
      <c r="G102" s="262" t="s">
        <v>3663</v>
      </c>
      <c r="H102" s="262">
        <v>59738</v>
      </c>
      <c r="I102" s="188"/>
      <c r="J102" s="262" t="s">
        <v>1576</v>
      </c>
      <c r="K102" s="257" t="s">
        <v>1089</v>
      </c>
      <c r="L102" s="261">
        <v>5</v>
      </c>
      <c r="M102" s="258">
        <v>0.69299999999999995</v>
      </c>
      <c r="N102" s="144" t="s">
        <v>115</v>
      </c>
      <c r="O102" s="241" t="s">
        <v>115</v>
      </c>
      <c r="P102" s="134" t="s">
        <v>115</v>
      </c>
      <c r="Q102" s="254" t="s">
        <v>115</v>
      </c>
      <c r="R102" s="264" t="s">
        <v>115</v>
      </c>
      <c r="S102" s="28">
        <f t="shared" si="2"/>
        <v>0.69299999999999995</v>
      </c>
      <c r="T102" s="28">
        <f t="shared" si="3"/>
        <v>11.607000000000001</v>
      </c>
      <c r="U102" s="266" t="b">
        <v>1</v>
      </c>
      <c r="V102" s="266" t="b">
        <v>0</v>
      </c>
      <c r="Z102"/>
    </row>
    <row r="103" spans="1:26" ht="27" customHeight="1">
      <c r="A103" s="252"/>
      <c r="B103" s="252" t="s">
        <v>1811</v>
      </c>
      <c r="C103" s="257"/>
      <c r="D103" s="48" t="s">
        <v>1449</v>
      </c>
      <c r="E103" s="48" t="s">
        <v>2741</v>
      </c>
      <c r="F103" s="257"/>
      <c r="G103" s="252"/>
      <c r="H103" s="252"/>
      <c r="I103" s="252"/>
      <c r="J103" s="257" t="s">
        <v>3284</v>
      </c>
      <c r="K103" s="252" t="s">
        <v>9</v>
      </c>
      <c r="L103" s="268">
        <v>1</v>
      </c>
      <c r="M103" s="268">
        <v>2.9321799999999998</v>
      </c>
      <c r="N103" s="32">
        <v>0.34043000000000001</v>
      </c>
      <c r="O103" s="32" t="s">
        <v>115</v>
      </c>
      <c r="P103" s="32" t="s">
        <v>115</v>
      </c>
      <c r="Q103" s="253" t="s">
        <v>115</v>
      </c>
      <c r="R103" s="253" t="s">
        <v>115</v>
      </c>
      <c r="S103" s="28">
        <f t="shared" si="2"/>
        <v>1.6363049999999999</v>
      </c>
      <c r="T103" s="28">
        <f t="shared" si="3"/>
        <v>1.6363049999999999</v>
      </c>
      <c r="U103" s="266" t="b">
        <v>1</v>
      </c>
      <c r="V103" s="266" t="b">
        <v>0</v>
      </c>
      <c r="Z103"/>
    </row>
    <row r="104" spans="1:26" ht="27" customHeight="1">
      <c r="A104" s="261"/>
      <c r="B104" s="260" t="s">
        <v>4182</v>
      </c>
      <c r="C104" s="107"/>
      <c r="D104" s="260" t="s">
        <v>4181</v>
      </c>
      <c r="E104" s="107" t="s">
        <v>2743</v>
      </c>
      <c r="F104" s="156">
        <v>41816</v>
      </c>
      <c r="G104" s="257"/>
      <c r="H104" s="107"/>
      <c r="I104" s="107"/>
      <c r="J104" s="107"/>
      <c r="K104" s="252" t="s">
        <v>1089</v>
      </c>
      <c r="L104" s="261">
        <v>1.5</v>
      </c>
      <c r="M104" s="107">
        <v>2.9430000000000001</v>
      </c>
      <c r="N104" s="107">
        <v>1.9710000000000001</v>
      </c>
      <c r="O104" s="107"/>
      <c r="P104" s="107" t="s">
        <v>115</v>
      </c>
      <c r="Q104" s="107" t="s">
        <v>115</v>
      </c>
      <c r="R104" s="107" t="s">
        <v>115</v>
      </c>
      <c r="S104" s="28">
        <f t="shared" si="2"/>
        <v>2.4569999999999999</v>
      </c>
      <c r="T104" s="28">
        <f t="shared" si="3"/>
        <v>2.4569999999999999</v>
      </c>
      <c r="U104" s="266" t="b">
        <v>1</v>
      </c>
      <c r="V104" s="266" t="b">
        <v>0</v>
      </c>
      <c r="Z104"/>
    </row>
    <row r="105" spans="1:26" ht="27" customHeight="1">
      <c r="A105" s="252" t="s">
        <v>1521</v>
      </c>
      <c r="B105" s="46" t="s">
        <v>1520</v>
      </c>
      <c r="C105" s="252" t="s">
        <v>1652</v>
      </c>
      <c r="D105" s="48" t="s">
        <v>1279</v>
      </c>
      <c r="E105" s="48" t="s">
        <v>2743</v>
      </c>
      <c r="F105" s="43">
        <v>41816</v>
      </c>
      <c r="G105" s="243" t="s">
        <v>2200</v>
      </c>
      <c r="H105" s="46"/>
      <c r="I105" s="46"/>
      <c r="J105" s="257"/>
      <c r="K105" s="257" t="s">
        <v>1089</v>
      </c>
      <c r="L105" s="266">
        <v>1.5</v>
      </c>
      <c r="M105" s="266">
        <v>2.9430000000000001</v>
      </c>
      <c r="N105" s="130">
        <v>1.339</v>
      </c>
      <c r="O105" s="28" t="s">
        <v>115</v>
      </c>
      <c r="P105" s="37" t="s">
        <v>115</v>
      </c>
      <c r="Q105" s="37" t="s">
        <v>115</v>
      </c>
      <c r="R105" s="37" t="s">
        <v>115</v>
      </c>
      <c r="S105" s="28">
        <f t="shared" si="2"/>
        <v>2.141</v>
      </c>
      <c r="T105" s="28">
        <f t="shared" si="3"/>
        <v>2.141</v>
      </c>
      <c r="U105" s="266" t="b">
        <v>1</v>
      </c>
      <c r="V105" s="266" t="b">
        <v>0</v>
      </c>
      <c r="Z105"/>
    </row>
    <row r="106" spans="1:26" ht="27" customHeight="1">
      <c r="A106" s="27" t="s">
        <v>78</v>
      </c>
      <c r="B106" s="27" t="s">
        <v>105</v>
      </c>
      <c r="C106" s="252" t="s">
        <v>3339</v>
      </c>
      <c r="D106" s="250" t="s">
        <v>760</v>
      </c>
      <c r="E106" s="250" t="s">
        <v>3471</v>
      </c>
      <c r="F106" s="43" t="s">
        <v>1164</v>
      </c>
      <c r="G106" s="27" t="s">
        <v>2202</v>
      </c>
      <c r="H106" s="27"/>
      <c r="I106" s="27"/>
      <c r="J106" s="257"/>
      <c r="K106" s="27" t="s">
        <v>7</v>
      </c>
      <c r="L106" s="58">
        <v>110</v>
      </c>
      <c r="M106" s="58">
        <v>416.738</v>
      </c>
      <c r="N106" s="130">
        <v>447.02100000000002</v>
      </c>
      <c r="O106" s="28">
        <v>428.53199999999998</v>
      </c>
      <c r="P106" s="29">
        <v>433.79399999999998</v>
      </c>
      <c r="Q106" s="28">
        <v>425.983</v>
      </c>
      <c r="R106" s="28">
        <v>415.02499999999998</v>
      </c>
      <c r="S106" s="28">
        <f t="shared" si="2"/>
        <v>427.8488333333334</v>
      </c>
      <c r="T106" s="28">
        <f t="shared" si="3"/>
        <v>427.8488333333334</v>
      </c>
      <c r="U106" s="266" t="b">
        <v>1</v>
      </c>
      <c r="V106" s="266" t="b">
        <v>0</v>
      </c>
      <c r="Z106"/>
    </row>
    <row r="107" spans="1:26" ht="27" customHeight="1">
      <c r="A107" s="252" t="s">
        <v>1484</v>
      </c>
      <c r="B107" s="257" t="s">
        <v>1188</v>
      </c>
      <c r="C107" s="252"/>
      <c r="D107" s="48" t="s">
        <v>1387</v>
      </c>
      <c r="E107" s="48" t="s">
        <v>3472</v>
      </c>
      <c r="F107" s="43">
        <v>41476</v>
      </c>
      <c r="G107" s="188" t="s">
        <v>2315</v>
      </c>
      <c r="H107" s="257"/>
      <c r="I107" s="257"/>
      <c r="J107" s="257"/>
      <c r="K107" s="27" t="s">
        <v>2894</v>
      </c>
      <c r="L107" s="266">
        <v>1.5</v>
      </c>
      <c r="M107" s="266">
        <v>9.7550000000000008</v>
      </c>
      <c r="N107" s="130">
        <v>12.036</v>
      </c>
      <c r="O107" s="28">
        <v>5.524</v>
      </c>
      <c r="P107" s="37" t="s">
        <v>115</v>
      </c>
      <c r="Q107" s="37" t="s">
        <v>115</v>
      </c>
      <c r="R107" s="37" t="s">
        <v>115</v>
      </c>
      <c r="S107" s="28">
        <f t="shared" si="2"/>
        <v>9.1050000000000004</v>
      </c>
      <c r="T107" s="28">
        <f t="shared" si="3"/>
        <v>9.1050000000000004</v>
      </c>
      <c r="U107" s="266" t="b">
        <v>1</v>
      </c>
      <c r="V107" s="266" t="b">
        <v>0</v>
      </c>
      <c r="Z107"/>
    </row>
    <row r="108" spans="1:26" ht="27" customHeight="1">
      <c r="A108" s="27" t="s">
        <v>23</v>
      </c>
      <c r="B108" s="27" t="s">
        <v>24</v>
      </c>
      <c r="C108" s="252" t="s">
        <v>3302</v>
      </c>
      <c r="D108" s="250" t="s">
        <v>759</v>
      </c>
      <c r="E108" s="250" t="s">
        <v>3473</v>
      </c>
      <c r="F108" s="251"/>
      <c r="G108" s="281"/>
      <c r="H108" s="27"/>
      <c r="I108" s="27"/>
      <c r="J108" s="257"/>
      <c r="K108" s="252" t="s">
        <v>3</v>
      </c>
      <c r="L108" s="58">
        <v>12</v>
      </c>
      <c r="M108" s="58">
        <v>23.382000000000001</v>
      </c>
      <c r="N108" s="130">
        <v>22.654040000000002</v>
      </c>
      <c r="O108" s="28">
        <v>42.182000000000002</v>
      </c>
      <c r="P108" s="29">
        <v>31.721299999999999</v>
      </c>
      <c r="Q108" s="29">
        <v>46.521999999999998</v>
      </c>
      <c r="R108" s="29">
        <v>57.564999999999998</v>
      </c>
      <c r="S108" s="28">
        <f t="shared" si="2"/>
        <v>37.337723333333336</v>
      </c>
      <c r="T108" s="28">
        <f t="shared" si="3"/>
        <v>37.337723333333336</v>
      </c>
      <c r="U108" s="266" t="b">
        <v>1</v>
      </c>
      <c r="V108" s="266" t="b">
        <v>0</v>
      </c>
      <c r="Z108"/>
    </row>
    <row r="109" spans="1:26" ht="27" customHeight="1">
      <c r="A109" s="252" t="s">
        <v>2901</v>
      </c>
      <c r="B109" s="165" t="s">
        <v>2900</v>
      </c>
      <c r="C109" s="252"/>
      <c r="D109" s="250"/>
      <c r="E109" s="163" t="s">
        <v>5203</v>
      </c>
      <c r="F109" s="251">
        <v>42352</v>
      </c>
      <c r="G109" s="262" t="s">
        <v>480</v>
      </c>
      <c r="H109" s="354">
        <v>59798</v>
      </c>
      <c r="I109" s="262"/>
      <c r="J109" s="252" t="s">
        <v>3959</v>
      </c>
      <c r="K109" s="257" t="s">
        <v>1089</v>
      </c>
      <c r="L109" s="258">
        <v>1.29</v>
      </c>
      <c r="M109" s="144"/>
      <c r="N109" s="241"/>
      <c r="O109" s="253"/>
      <c r="P109" s="262"/>
      <c r="Q109" s="188"/>
      <c r="R109" s="252"/>
      <c r="S109" s="28">
        <f t="shared" si="2"/>
        <v>0</v>
      </c>
      <c r="T109" s="28">
        <f t="shared" si="3"/>
        <v>2.9946060000000001</v>
      </c>
      <c r="U109" s="266" t="b">
        <v>1</v>
      </c>
      <c r="V109" s="266" t="b">
        <v>0</v>
      </c>
      <c r="Z109"/>
    </row>
    <row r="110" spans="1:26" ht="27" customHeight="1">
      <c r="A110" s="252"/>
      <c r="B110" s="257" t="s">
        <v>2838</v>
      </c>
      <c r="C110" s="260"/>
      <c r="D110" s="250"/>
      <c r="E110" s="163" t="s">
        <v>2840</v>
      </c>
      <c r="F110" s="251">
        <v>42170</v>
      </c>
      <c r="G110" s="262" t="s">
        <v>5147</v>
      </c>
      <c r="H110" s="354">
        <v>59597</v>
      </c>
      <c r="I110" s="262"/>
      <c r="J110" s="252" t="s">
        <v>2946</v>
      </c>
      <c r="K110" s="257" t="s">
        <v>1089</v>
      </c>
      <c r="L110" s="258">
        <v>2.5</v>
      </c>
      <c r="M110" s="144">
        <v>2.4122189999999999</v>
      </c>
      <c r="N110" s="241"/>
      <c r="O110" s="253"/>
      <c r="P110" s="262"/>
      <c r="Q110" s="188"/>
      <c r="R110" s="252"/>
      <c r="S110" s="28">
        <f t="shared" si="2"/>
        <v>2.4122189999999999</v>
      </c>
      <c r="T110" s="28">
        <f t="shared" si="3"/>
        <v>5.8035000000000005</v>
      </c>
      <c r="U110" s="266" t="b">
        <v>1</v>
      </c>
      <c r="V110" s="266" t="b">
        <v>0</v>
      </c>
      <c r="Z110"/>
    </row>
    <row r="111" spans="1:26" ht="27" customHeight="1">
      <c r="A111" s="252"/>
      <c r="B111" s="257" t="s">
        <v>2839</v>
      </c>
      <c r="C111" s="260"/>
      <c r="D111" s="250"/>
      <c r="E111" s="163" t="s">
        <v>2841</v>
      </c>
      <c r="F111" s="251">
        <v>42124</v>
      </c>
      <c r="G111" s="262" t="s">
        <v>5147</v>
      </c>
      <c r="H111" s="354">
        <v>59598</v>
      </c>
      <c r="I111" s="262"/>
      <c r="J111" s="252" t="s">
        <v>2946</v>
      </c>
      <c r="K111" s="257" t="s">
        <v>1089</v>
      </c>
      <c r="L111" s="284">
        <v>1</v>
      </c>
      <c r="M111" s="144">
        <v>1.6150770000000001</v>
      </c>
      <c r="N111" s="241"/>
      <c r="O111" s="253"/>
      <c r="P111" s="262"/>
      <c r="Q111" s="188"/>
      <c r="R111" s="252"/>
      <c r="S111" s="28">
        <f t="shared" si="2"/>
        <v>1.6150770000000001</v>
      </c>
      <c r="T111" s="28">
        <f t="shared" si="3"/>
        <v>2.3214000000000001</v>
      </c>
      <c r="U111" s="266" t="b">
        <v>1</v>
      </c>
      <c r="V111" s="266" t="b">
        <v>0</v>
      </c>
      <c r="Z111"/>
    </row>
    <row r="112" spans="1:26" ht="27" customHeight="1">
      <c r="A112" s="143" t="s">
        <v>1570</v>
      </c>
      <c r="B112" s="143" t="s">
        <v>1569</v>
      </c>
      <c r="C112" s="260" t="s">
        <v>1653</v>
      </c>
      <c r="D112" s="260" t="s">
        <v>4199</v>
      </c>
      <c r="E112" s="209" t="s">
        <v>3215</v>
      </c>
      <c r="F112" s="151">
        <v>42144</v>
      </c>
      <c r="G112" s="262" t="s">
        <v>2609</v>
      </c>
      <c r="H112" s="354">
        <v>59979</v>
      </c>
      <c r="I112" s="188"/>
      <c r="J112" s="257"/>
      <c r="K112" s="257" t="s">
        <v>1089</v>
      </c>
      <c r="L112" s="261">
        <v>19</v>
      </c>
      <c r="M112" s="258">
        <v>9.0521309999999993</v>
      </c>
      <c r="N112" s="144"/>
      <c r="O112" s="241"/>
      <c r="P112" s="134"/>
      <c r="Q112" s="262"/>
      <c r="R112" s="264"/>
      <c r="S112" s="28">
        <f t="shared" si="2"/>
        <v>9.0521309999999993</v>
      </c>
      <c r="T112" s="28">
        <f t="shared" si="3"/>
        <v>44.1066</v>
      </c>
      <c r="U112" s="266" t="b">
        <v>1</v>
      </c>
      <c r="V112" s="266" t="b">
        <v>0</v>
      </c>
      <c r="Z112"/>
    </row>
    <row r="113" spans="1:26" ht="27" customHeight="1">
      <c r="A113" s="252" t="s">
        <v>1522</v>
      </c>
      <c r="B113" s="256" t="s">
        <v>1525</v>
      </c>
      <c r="C113" s="252" t="s">
        <v>1650</v>
      </c>
      <c r="D113" s="250" t="s">
        <v>1284</v>
      </c>
      <c r="E113" s="250">
        <v>60852</v>
      </c>
      <c r="F113" s="251">
        <v>41969</v>
      </c>
      <c r="G113" s="282" t="s">
        <v>3896</v>
      </c>
      <c r="H113" s="256"/>
      <c r="I113" s="256"/>
      <c r="J113" s="257" t="s">
        <v>3242</v>
      </c>
      <c r="K113" s="257" t="s">
        <v>1089</v>
      </c>
      <c r="L113" s="258">
        <v>15</v>
      </c>
      <c r="M113" s="258">
        <v>43.14</v>
      </c>
      <c r="N113" s="130"/>
      <c r="O113" s="28" t="s">
        <v>115</v>
      </c>
      <c r="P113" s="32" t="s">
        <v>115</v>
      </c>
      <c r="Q113" s="253" t="s">
        <v>115</v>
      </c>
      <c r="R113" s="253" t="s">
        <v>115</v>
      </c>
      <c r="S113" s="28">
        <f t="shared" si="2"/>
        <v>43.14</v>
      </c>
      <c r="T113" s="28">
        <f t="shared" si="3"/>
        <v>43.14</v>
      </c>
      <c r="U113" s="266" t="b">
        <v>1</v>
      </c>
      <c r="V113" s="266" t="b">
        <v>0</v>
      </c>
      <c r="Z113"/>
    </row>
    <row r="114" spans="1:26" ht="27" customHeight="1">
      <c r="A114" s="252" t="s">
        <v>1509</v>
      </c>
      <c r="B114" s="257" t="s">
        <v>2595</v>
      </c>
      <c r="C114" s="252"/>
      <c r="D114" s="139" t="s">
        <v>1271</v>
      </c>
      <c r="E114" s="139" t="s">
        <v>1980</v>
      </c>
      <c r="F114" s="137">
        <v>41803</v>
      </c>
      <c r="G114" s="188"/>
      <c r="H114" s="257"/>
      <c r="I114" s="257"/>
      <c r="J114" s="257"/>
      <c r="K114" s="27" t="s">
        <v>1089</v>
      </c>
      <c r="L114" s="268">
        <v>5.72</v>
      </c>
      <c r="M114" s="268">
        <v>14.478</v>
      </c>
      <c r="N114" s="130">
        <v>7.335</v>
      </c>
      <c r="O114" s="28" t="s">
        <v>115</v>
      </c>
      <c r="P114" s="29" t="s">
        <v>115</v>
      </c>
      <c r="Q114" s="29" t="s">
        <v>115</v>
      </c>
      <c r="R114" s="29" t="s">
        <v>115</v>
      </c>
      <c r="S114" s="28">
        <f t="shared" si="2"/>
        <v>10.906499999999999</v>
      </c>
      <c r="T114" s="28">
        <f t="shared" si="3"/>
        <v>10.906499999999999</v>
      </c>
      <c r="U114" s="266" t="b">
        <v>1</v>
      </c>
      <c r="V114" s="266" t="b">
        <v>0</v>
      </c>
      <c r="Z114"/>
    </row>
    <row r="115" spans="1:26" ht="27" customHeight="1">
      <c r="A115" s="252"/>
      <c r="B115" s="252" t="s">
        <v>2153</v>
      </c>
      <c r="C115" s="257"/>
      <c r="D115" s="48" t="s">
        <v>1426</v>
      </c>
      <c r="E115" s="48" t="s">
        <v>2155</v>
      </c>
      <c r="F115" s="172"/>
      <c r="G115" s="160" t="s">
        <v>2154</v>
      </c>
      <c r="H115" s="160"/>
      <c r="I115" s="160"/>
      <c r="J115" s="257"/>
      <c r="K115" s="252" t="s">
        <v>9</v>
      </c>
      <c r="L115" s="268">
        <v>102</v>
      </c>
      <c r="M115" s="268">
        <v>237.34879999999998</v>
      </c>
      <c r="N115" s="32">
        <v>280.83384999999998</v>
      </c>
      <c r="O115" s="32" t="s">
        <v>115</v>
      </c>
      <c r="P115" s="32" t="s">
        <v>115</v>
      </c>
      <c r="Q115" s="253" t="s">
        <v>115</v>
      </c>
      <c r="R115" s="253" t="s">
        <v>115</v>
      </c>
      <c r="S115" s="28">
        <f t="shared" si="2"/>
        <v>259.09132499999998</v>
      </c>
      <c r="T115" s="28">
        <f t="shared" si="3"/>
        <v>259.09132499999998</v>
      </c>
      <c r="U115" s="266" t="b">
        <v>1</v>
      </c>
      <c r="V115" s="266" t="b">
        <v>0</v>
      </c>
      <c r="Z115"/>
    </row>
    <row r="116" spans="1:26" ht="27" customHeight="1">
      <c r="A116" s="252"/>
      <c r="B116" s="252" t="s">
        <v>1812</v>
      </c>
      <c r="C116" s="257"/>
      <c r="D116" s="48" t="s">
        <v>1324</v>
      </c>
      <c r="E116" s="48" t="s">
        <v>2428</v>
      </c>
      <c r="F116" s="257"/>
      <c r="G116" s="252" t="s">
        <v>5053</v>
      </c>
      <c r="H116" s="252"/>
      <c r="I116" s="252"/>
      <c r="J116" s="257"/>
      <c r="K116" s="252" t="s">
        <v>9</v>
      </c>
      <c r="L116" s="268">
        <v>3</v>
      </c>
      <c r="M116" s="268">
        <v>8.5924300000000002</v>
      </c>
      <c r="N116" s="32">
        <v>8.3169699999999995</v>
      </c>
      <c r="O116" s="32" t="s">
        <v>115</v>
      </c>
      <c r="P116" s="32" t="s">
        <v>115</v>
      </c>
      <c r="Q116" s="253" t="s">
        <v>115</v>
      </c>
      <c r="R116" s="253" t="s">
        <v>115</v>
      </c>
      <c r="S116" s="28">
        <f t="shared" si="2"/>
        <v>8.454699999999999</v>
      </c>
      <c r="T116" s="28">
        <f t="shared" si="3"/>
        <v>8.454699999999999</v>
      </c>
      <c r="U116" s="266" t="b">
        <v>1</v>
      </c>
      <c r="V116" s="266" t="b">
        <v>0</v>
      </c>
      <c r="Z116"/>
    </row>
    <row r="117" spans="1:26" ht="27" customHeight="1">
      <c r="A117" s="252"/>
      <c r="B117" s="252" t="s">
        <v>1813</v>
      </c>
      <c r="C117" s="257"/>
      <c r="D117" s="48" t="s">
        <v>1313</v>
      </c>
      <c r="E117" s="48" t="s">
        <v>2354</v>
      </c>
      <c r="F117" s="257"/>
      <c r="G117" s="252" t="s">
        <v>2353</v>
      </c>
      <c r="H117" s="252"/>
      <c r="I117" s="252"/>
      <c r="J117" s="257"/>
      <c r="K117" s="252" t="s">
        <v>9</v>
      </c>
      <c r="L117" s="268">
        <v>7.5</v>
      </c>
      <c r="M117" s="268">
        <v>19.158080000000002</v>
      </c>
      <c r="N117" s="32">
        <v>22.46387</v>
      </c>
      <c r="O117" s="32" t="s">
        <v>115</v>
      </c>
      <c r="P117" s="32" t="s">
        <v>115</v>
      </c>
      <c r="Q117" s="253" t="s">
        <v>115</v>
      </c>
      <c r="R117" s="253" t="s">
        <v>115</v>
      </c>
      <c r="S117" s="28">
        <f t="shared" si="2"/>
        <v>20.810974999999999</v>
      </c>
      <c r="T117" s="28">
        <f t="shared" si="3"/>
        <v>20.810974999999999</v>
      </c>
      <c r="U117" s="266" t="b">
        <v>1</v>
      </c>
      <c r="V117" s="266" t="b">
        <v>0</v>
      </c>
      <c r="Z117"/>
    </row>
    <row r="118" spans="1:26" ht="27" customHeight="1">
      <c r="A118" s="252"/>
      <c r="B118" s="252" t="s">
        <v>1814</v>
      </c>
      <c r="C118" s="257"/>
      <c r="D118" s="48" t="s">
        <v>1331</v>
      </c>
      <c r="E118" s="48"/>
      <c r="F118" s="257"/>
      <c r="G118" s="252"/>
      <c r="H118" s="252"/>
      <c r="I118" s="252"/>
      <c r="J118" s="257"/>
      <c r="K118" s="252" t="s">
        <v>9</v>
      </c>
      <c r="L118" s="268">
        <v>4.5</v>
      </c>
      <c r="M118" s="268">
        <v>10.13992</v>
      </c>
      <c r="N118" s="32">
        <v>10.84862</v>
      </c>
      <c r="O118" s="32" t="s">
        <v>115</v>
      </c>
      <c r="P118" s="32" t="s">
        <v>115</v>
      </c>
      <c r="Q118" s="253" t="s">
        <v>115</v>
      </c>
      <c r="R118" s="253" t="s">
        <v>115</v>
      </c>
      <c r="S118" s="28">
        <f t="shared" si="2"/>
        <v>10.49427</v>
      </c>
      <c r="T118" s="28">
        <f t="shared" si="3"/>
        <v>10.49427</v>
      </c>
      <c r="U118" s="266" t="b">
        <v>1</v>
      </c>
      <c r="V118" s="266" t="b">
        <v>0</v>
      </c>
      <c r="Z118"/>
    </row>
    <row r="119" spans="1:26" ht="27" customHeight="1">
      <c r="A119" s="252"/>
      <c r="B119" s="252" t="s">
        <v>1815</v>
      </c>
      <c r="C119" s="257"/>
      <c r="D119" s="48" t="s">
        <v>1441</v>
      </c>
      <c r="E119" s="48"/>
      <c r="F119" s="257"/>
      <c r="G119" s="252"/>
      <c r="H119" s="252"/>
      <c r="I119" s="252"/>
      <c r="J119" s="257"/>
      <c r="K119" s="252" t="s">
        <v>9</v>
      </c>
      <c r="L119" s="268">
        <v>6.53</v>
      </c>
      <c r="M119" s="268">
        <v>11.02162</v>
      </c>
      <c r="N119" s="32">
        <v>13.236379999999999</v>
      </c>
      <c r="O119" s="32" t="s">
        <v>115</v>
      </c>
      <c r="P119" s="32" t="s">
        <v>115</v>
      </c>
      <c r="Q119" s="253" t="s">
        <v>115</v>
      </c>
      <c r="R119" s="253" t="s">
        <v>115</v>
      </c>
      <c r="S119" s="28">
        <f t="shared" si="2"/>
        <v>12.129</v>
      </c>
      <c r="T119" s="28">
        <f t="shared" si="3"/>
        <v>12.129</v>
      </c>
      <c r="U119" s="266" t="b">
        <v>1</v>
      </c>
      <c r="V119" s="266" t="b">
        <v>0</v>
      </c>
      <c r="Z119"/>
    </row>
    <row r="120" spans="1:26" ht="27" customHeight="1">
      <c r="A120" s="252" t="s">
        <v>2875</v>
      </c>
      <c r="B120" s="256" t="s">
        <v>3922</v>
      </c>
      <c r="C120" s="260" t="s">
        <v>1641</v>
      </c>
      <c r="D120" s="250" t="s">
        <v>3800</v>
      </c>
      <c r="E120" s="163" t="s">
        <v>2876</v>
      </c>
      <c r="F120" s="251">
        <v>42165</v>
      </c>
      <c r="G120" s="262" t="s">
        <v>5038</v>
      </c>
      <c r="H120" s="262"/>
      <c r="I120" s="188"/>
      <c r="J120" s="257"/>
      <c r="K120" s="257" t="s">
        <v>1089</v>
      </c>
      <c r="L120" s="32">
        <v>19.75</v>
      </c>
      <c r="M120" s="258">
        <v>41.073029999999996</v>
      </c>
      <c r="N120" s="144" t="s">
        <v>115</v>
      </c>
      <c r="O120" s="241" t="s">
        <v>115</v>
      </c>
      <c r="P120" s="253" t="s">
        <v>115</v>
      </c>
      <c r="Q120" s="262" t="s">
        <v>115</v>
      </c>
      <c r="R120" s="252" t="s">
        <v>115</v>
      </c>
      <c r="S120" s="28">
        <f t="shared" si="2"/>
        <v>41.073029999999996</v>
      </c>
      <c r="T120" s="28">
        <f t="shared" si="3"/>
        <v>45.847650000000002</v>
      </c>
      <c r="U120" s="266" t="b">
        <v>1</v>
      </c>
      <c r="V120" s="266" t="b">
        <v>0</v>
      </c>
      <c r="Z120"/>
    </row>
    <row r="121" spans="1:26" ht="27" customHeight="1">
      <c r="A121" s="252" t="s">
        <v>2949</v>
      </c>
      <c r="B121" s="256" t="s">
        <v>1528</v>
      </c>
      <c r="C121" s="252" t="s">
        <v>1648</v>
      </c>
      <c r="D121" s="250" t="s">
        <v>1287</v>
      </c>
      <c r="E121" s="250" t="s">
        <v>2877</v>
      </c>
      <c r="F121" s="251">
        <v>41995</v>
      </c>
      <c r="G121" s="200" t="s">
        <v>2633</v>
      </c>
      <c r="H121" s="252"/>
      <c r="I121" s="252"/>
      <c r="J121" s="257"/>
      <c r="K121" s="257" t="s">
        <v>1089</v>
      </c>
      <c r="L121" s="258">
        <v>20</v>
      </c>
      <c r="M121" s="258">
        <v>53.887999999999998</v>
      </c>
      <c r="N121" s="130"/>
      <c r="O121" s="28" t="s">
        <v>115</v>
      </c>
      <c r="P121" s="32" t="s">
        <v>115</v>
      </c>
      <c r="Q121" s="253" t="s">
        <v>115</v>
      </c>
      <c r="R121" s="253" t="s">
        <v>115</v>
      </c>
      <c r="S121" s="28">
        <f t="shared" si="2"/>
        <v>53.887999999999998</v>
      </c>
      <c r="T121" s="28">
        <f t="shared" si="3"/>
        <v>53.887999999999998</v>
      </c>
      <c r="U121" s="266" t="b">
        <v>1</v>
      </c>
      <c r="V121" s="266" t="b">
        <v>0</v>
      </c>
      <c r="Z121"/>
    </row>
    <row r="122" spans="1:26" ht="27" customHeight="1">
      <c r="A122" s="143" t="s">
        <v>1578</v>
      </c>
      <c r="B122" s="143" t="s">
        <v>1577</v>
      </c>
      <c r="C122" s="260" t="s">
        <v>1656</v>
      </c>
      <c r="D122" s="254" t="s">
        <v>3801</v>
      </c>
      <c r="E122" s="209" t="s">
        <v>2863</v>
      </c>
      <c r="F122" s="151">
        <v>42109</v>
      </c>
      <c r="G122" s="262" t="s">
        <v>3628</v>
      </c>
      <c r="H122" s="262"/>
      <c r="I122" s="188"/>
      <c r="J122" s="262" t="s">
        <v>1576</v>
      </c>
      <c r="K122" s="257" t="s">
        <v>1089</v>
      </c>
      <c r="L122" s="261">
        <v>20</v>
      </c>
      <c r="M122" s="258">
        <v>37.383040000000001</v>
      </c>
      <c r="N122" s="144" t="s">
        <v>115</v>
      </c>
      <c r="O122" s="241" t="s">
        <v>115</v>
      </c>
      <c r="P122" s="134" t="s">
        <v>115</v>
      </c>
      <c r="Q122" s="254" t="s">
        <v>115</v>
      </c>
      <c r="R122" s="264" t="s">
        <v>115</v>
      </c>
      <c r="S122" s="28">
        <f t="shared" si="2"/>
        <v>37.383040000000001</v>
      </c>
      <c r="T122" s="28">
        <f t="shared" si="3"/>
        <v>46.428000000000004</v>
      </c>
      <c r="U122" s="266" t="b">
        <v>1</v>
      </c>
      <c r="V122" s="266" t="b">
        <v>0</v>
      </c>
      <c r="Z122"/>
    </row>
    <row r="123" spans="1:26" ht="27" customHeight="1">
      <c r="A123" s="143"/>
      <c r="B123" s="331" t="s">
        <v>1208</v>
      </c>
      <c r="C123" s="260"/>
      <c r="D123" s="254"/>
      <c r="E123" s="209" t="s">
        <v>1767</v>
      </c>
      <c r="F123" s="151">
        <v>42026</v>
      </c>
      <c r="G123" s="262" t="s">
        <v>3655</v>
      </c>
      <c r="H123" s="354">
        <v>59536</v>
      </c>
      <c r="I123" s="262"/>
      <c r="J123" s="252" t="s">
        <v>3959</v>
      </c>
      <c r="K123" s="257" t="s">
        <v>1089</v>
      </c>
      <c r="L123" s="261">
        <v>1.5</v>
      </c>
      <c r="M123" s="144">
        <v>3.1986680000000001</v>
      </c>
      <c r="N123" s="241"/>
      <c r="O123" s="134"/>
      <c r="P123" s="254"/>
      <c r="Q123" s="264"/>
      <c r="R123" s="252"/>
      <c r="S123" s="28">
        <f t="shared" si="2"/>
        <v>3.1986680000000001</v>
      </c>
      <c r="T123" s="28">
        <f t="shared" si="3"/>
        <v>3.4821</v>
      </c>
      <c r="U123" s="266" t="b">
        <v>1</v>
      </c>
      <c r="V123" s="266" t="b">
        <v>0</v>
      </c>
      <c r="Z123"/>
    </row>
    <row r="124" spans="1:26" s="259" customFormat="1" ht="27" customHeight="1">
      <c r="A124" s="143"/>
      <c r="B124" s="331" t="s">
        <v>1209</v>
      </c>
      <c r="C124" s="260"/>
      <c r="D124" s="254"/>
      <c r="E124" s="209" t="s">
        <v>1768</v>
      </c>
      <c r="F124" s="151">
        <v>42026</v>
      </c>
      <c r="G124" s="262" t="s">
        <v>3656</v>
      </c>
      <c r="H124" s="354">
        <v>59537</v>
      </c>
      <c r="I124" s="262"/>
      <c r="J124" s="252" t="s">
        <v>3959</v>
      </c>
      <c r="K124" s="257" t="s">
        <v>1089</v>
      </c>
      <c r="L124" s="261">
        <v>1.5</v>
      </c>
      <c r="M124" s="144">
        <v>3.3038400000000001</v>
      </c>
      <c r="N124" s="241"/>
      <c r="O124" s="134"/>
      <c r="P124" s="254"/>
      <c r="Q124" s="264"/>
      <c r="R124" s="252"/>
      <c r="S124" s="28">
        <f t="shared" si="2"/>
        <v>3.3038400000000001</v>
      </c>
      <c r="T124" s="28">
        <f t="shared" si="3"/>
        <v>3.4821</v>
      </c>
      <c r="U124" s="266" t="b">
        <v>1</v>
      </c>
      <c r="V124" s="266" t="b">
        <v>0</v>
      </c>
      <c r="Z124"/>
    </row>
    <row r="125" spans="1:26" ht="27" customHeight="1">
      <c r="A125" s="27" t="s">
        <v>79</v>
      </c>
      <c r="B125" s="27" t="s">
        <v>80</v>
      </c>
      <c r="C125" s="252" t="s">
        <v>3437</v>
      </c>
      <c r="D125" s="250" t="s">
        <v>758</v>
      </c>
      <c r="E125" s="250" t="s">
        <v>3476</v>
      </c>
      <c r="F125" s="43" t="s">
        <v>1137</v>
      </c>
      <c r="G125" s="27" t="s">
        <v>2429</v>
      </c>
      <c r="H125" s="27"/>
      <c r="I125" s="27"/>
      <c r="J125" s="257"/>
      <c r="K125" s="27" t="s">
        <v>7</v>
      </c>
      <c r="L125" s="58">
        <v>99.99</v>
      </c>
      <c r="M125" s="58">
        <v>295.57900000000001</v>
      </c>
      <c r="N125" s="130">
        <v>340.99400000000003</v>
      </c>
      <c r="O125" s="28">
        <v>373.19099999999997</v>
      </c>
      <c r="P125" s="29">
        <v>358.84800000000001</v>
      </c>
      <c r="Q125" s="28">
        <v>405.65699999999998</v>
      </c>
      <c r="R125" s="28">
        <v>459.28500000000003</v>
      </c>
      <c r="S125" s="28">
        <f t="shared" si="2"/>
        <v>372.25900000000001</v>
      </c>
      <c r="T125" s="28">
        <f t="shared" si="3"/>
        <v>372.25900000000001</v>
      </c>
      <c r="U125" s="266" t="b">
        <v>1</v>
      </c>
      <c r="V125" s="266" t="b">
        <v>0</v>
      </c>
      <c r="Z125"/>
    </row>
    <row r="126" spans="1:26" ht="27" customHeight="1">
      <c r="A126" s="27" t="s">
        <v>79</v>
      </c>
      <c r="B126" s="27" t="s">
        <v>81</v>
      </c>
      <c r="C126" s="252" t="s">
        <v>3304</v>
      </c>
      <c r="D126" s="250" t="s">
        <v>757</v>
      </c>
      <c r="E126" s="250" t="s">
        <v>3474</v>
      </c>
      <c r="F126" s="43" t="s">
        <v>1138</v>
      </c>
      <c r="G126" s="27" t="s">
        <v>2430</v>
      </c>
      <c r="H126" s="27"/>
      <c r="I126" s="27"/>
      <c r="J126" s="257"/>
      <c r="K126" s="27" t="s">
        <v>7</v>
      </c>
      <c r="L126" s="58">
        <f>35.77+33.33+33.33</f>
        <v>102.42999999999999</v>
      </c>
      <c r="M126" s="58">
        <v>501.21199999999999</v>
      </c>
      <c r="N126" s="130">
        <v>473.32299999999998</v>
      </c>
      <c r="O126" s="28">
        <v>492.79599999999999</v>
      </c>
      <c r="P126" s="29">
        <v>520.00400000000002</v>
      </c>
      <c r="Q126" s="28">
        <v>553.63099999999997</v>
      </c>
      <c r="R126" s="28">
        <v>544.72699999999998</v>
      </c>
      <c r="S126" s="28">
        <f t="shared" si="2"/>
        <v>514.28216666666663</v>
      </c>
      <c r="T126" s="28">
        <f t="shared" si="3"/>
        <v>514.28216666666663</v>
      </c>
      <c r="U126" s="266" t="b">
        <v>1</v>
      </c>
      <c r="V126" s="266" t="b">
        <v>0</v>
      </c>
      <c r="Z126"/>
    </row>
    <row r="127" spans="1:26" ht="27" customHeight="1">
      <c r="A127" s="27" t="s">
        <v>79</v>
      </c>
      <c r="B127" s="27" t="s">
        <v>82</v>
      </c>
      <c r="C127" s="252" t="s">
        <v>3438</v>
      </c>
      <c r="D127" s="250" t="s">
        <v>756</v>
      </c>
      <c r="E127" s="250" t="s">
        <v>3475</v>
      </c>
      <c r="F127" s="43" t="s">
        <v>1139</v>
      </c>
      <c r="G127" s="27" t="s">
        <v>2430</v>
      </c>
      <c r="H127" s="27"/>
      <c r="I127" s="27"/>
      <c r="J127" s="257"/>
      <c r="K127" s="27" t="s">
        <v>7</v>
      </c>
      <c r="L127" s="58">
        <v>99.99</v>
      </c>
      <c r="M127" s="58">
        <v>439.32600000000002</v>
      </c>
      <c r="N127" s="130">
        <v>449.161</v>
      </c>
      <c r="O127" s="28">
        <v>488.709</v>
      </c>
      <c r="P127" s="29">
        <v>527.01300000000003</v>
      </c>
      <c r="Q127" s="28">
        <v>532.755</v>
      </c>
      <c r="R127" s="28">
        <v>586.471</v>
      </c>
      <c r="S127" s="28">
        <f t="shared" si="2"/>
        <v>503.90583333333342</v>
      </c>
      <c r="T127" s="28">
        <f t="shared" si="3"/>
        <v>503.90583333333342</v>
      </c>
      <c r="U127" s="266" t="b">
        <v>1</v>
      </c>
      <c r="V127" s="266" t="b">
        <v>0</v>
      </c>
      <c r="Z127"/>
    </row>
    <row r="128" spans="1:26" ht="27" customHeight="1">
      <c r="A128" s="254"/>
      <c r="B128" s="46" t="s">
        <v>2744</v>
      </c>
      <c r="C128" s="252"/>
      <c r="D128" s="48" t="s">
        <v>2745</v>
      </c>
      <c r="E128" s="48" t="s">
        <v>2746</v>
      </c>
      <c r="F128" s="43"/>
      <c r="G128" s="243" t="s">
        <v>478</v>
      </c>
      <c r="H128" s="243"/>
      <c r="I128" s="46"/>
      <c r="J128" s="257" t="s">
        <v>2946</v>
      </c>
      <c r="K128" s="257" t="s">
        <v>494</v>
      </c>
      <c r="L128" s="266"/>
      <c r="M128" s="258">
        <v>457.57125781639201</v>
      </c>
      <c r="N128" s="130">
        <v>516.5</v>
      </c>
      <c r="O128" s="136"/>
      <c r="P128" s="37"/>
      <c r="Q128" s="37"/>
      <c r="R128" s="37"/>
      <c r="S128" s="28">
        <f t="shared" si="2"/>
        <v>487.03562890819603</v>
      </c>
      <c r="T128" s="28">
        <f t="shared" si="3"/>
        <v>487.03562890819603</v>
      </c>
      <c r="U128" s="266" t="b">
        <v>1</v>
      </c>
      <c r="V128" s="266" t="b">
        <v>0</v>
      </c>
      <c r="Z128"/>
    </row>
    <row r="129" spans="1:26" ht="27" customHeight="1">
      <c r="A129" s="252" t="s">
        <v>1654</v>
      </c>
      <c r="B129" s="256" t="s">
        <v>3923</v>
      </c>
      <c r="C129" s="260" t="s">
        <v>1655</v>
      </c>
      <c r="D129" s="250" t="s">
        <v>1296</v>
      </c>
      <c r="E129" s="163">
        <v>62355</v>
      </c>
      <c r="F129" s="251">
        <v>42117</v>
      </c>
      <c r="G129" s="257" t="s">
        <v>2087</v>
      </c>
      <c r="H129" s="252"/>
      <c r="I129" s="188"/>
      <c r="J129" s="188" t="s">
        <v>2682</v>
      </c>
      <c r="K129" s="257" t="s">
        <v>1089</v>
      </c>
      <c r="L129" s="258">
        <v>11</v>
      </c>
      <c r="M129" s="258">
        <v>20.772029999999997</v>
      </c>
      <c r="N129" s="144" t="s">
        <v>115</v>
      </c>
      <c r="O129" s="241" t="s">
        <v>115</v>
      </c>
      <c r="P129" s="257" t="s">
        <v>115</v>
      </c>
      <c r="Q129" s="253" t="s">
        <v>115</v>
      </c>
      <c r="R129" s="172" t="s">
        <v>115</v>
      </c>
      <c r="S129" s="28">
        <f t="shared" si="2"/>
        <v>20.772029999999997</v>
      </c>
      <c r="T129" s="28">
        <f t="shared" si="3"/>
        <v>25.535399999999999</v>
      </c>
      <c r="U129" s="266" t="b">
        <v>1</v>
      </c>
      <c r="V129" s="266" t="b">
        <v>0</v>
      </c>
      <c r="Z129"/>
    </row>
    <row r="130" spans="1:26" ht="27" customHeight="1">
      <c r="A130" s="252"/>
      <c r="B130" s="256" t="s">
        <v>1541</v>
      </c>
      <c r="C130" s="252" t="s">
        <v>1657</v>
      </c>
      <c r="D130" s="250" t="s">
        <v>1295</v>
      </c>
      <c r="E130" s="163" t="s">
        <v>3218</v>
      </c>
      <c r="F130" s="251">
        <v>42122</v>
      </c>
      <c r="G130" s="253" t="s">
        <v>2087</v>
      </c>
      <c r="H130" s="252"/>
      <c r="I130" s="188"/>
      <c r="J130" s="199" t="s">
        <v>2683</v>
      </c>
      <c r="K130" s="257" t="s">
        <v>1089</v>
      </c>
      <c r="L130" s="258">
        <v>12</v>
      </c>
      <c r="M130" s="258">
        <v>24.26904</v>
      </c>
      <c r="N130" s="144" t="s">
        <v>115</v>
      </c>
      <c r="O130" s="241" t="s">
        <v>115</v>
      </c>
      <c r="P130" s="253" t="s">
        <v>115</v>
      </c>
      <c r="Q130" s="253" t="s">
        <v>115</v>
      </c>
      <c r="R130" s="172" t="s">
        <v>115</v>
      </c>
      <c r="S130" s="28">
        <f t="shared" si="2"/>
        <v>24.26904</v>
      </c>
      <c r="T130" s="28">
        <f t="shared" si="3"/>
        <v>27.8568</v>
      </c>
      <c r="U130" s="266" t="b">
        <v>1</v>
      </c>
      <c r="V130" s="266" t="b">
        <v>0</v>
      </c>
      <c r="Z130"/>
    </row>
    <row r="131" spans="1:26" s="157" customFormat="1" ht="27" customHeight="1">
      <c r="A131" s="27" t="s">
        <v>33</v>
      </c>
      <c r="B131" s="27" t="s">
        <v>47</v>
      </c>
      <c r="C131" s="252" t="s">
        <v>3323</v>
      </c>
      <c r="D131" s="250" t="s">
        <v>755</v>
      </c>
      <c r="E131" s="250" t="s">
        <v>3477</v>
      </c>
      <c r="F131" s="251"/>
      <c r="G131" s="281"/>
      <c r="H131" s="27"/>
      <c r="I131" s="27"/>
      <c r="J131" s="257"/>
      <c r="K131" s="27" t="s">
        <v>2894</v>
      </c>
      <c r="L131" s="58">
        <v>20</v>
      </c>
      <c r="M131" s="58">
        <v>26.796220000000002</v>
      </c>
      <c r="N131" s="130">
        <v>34.035019999999996</v>
      </c>
      <c r="O131" s="28">
        <v>44.795000000000002</v>
      </c>
      <c r="P131" s="29">
        <v>51.18</v>
      </c>
      <c r="Q131" s="28">
        <v>49.545999999999999</v>
      </c>
      <c r="R131" s="28">
        <v>48.679000000000002</v>
      </c>
      <c r="S131" s="28">
        <f t="shared" si="2"/>
        <v>42.505206666666666</v>
      </c>
      <c r="T131" s="28">
        <f t="shared" si="3"/>
        <v>42.505206666666666</v>
      </c>
      <c r="U131" s="266" t="b">
        <v>1</v>
      </c>
      <c r="V131" s="266" t="b">
        <v>0</v>
      </c>
      <c r="Z131"/>
    </row>
    <row r="132" spans="1:26" ht="27" customHeight="1">
      <c r="A132" s="257" t="s">
        <v>1190</v>
      </c>
      <c r="B132" s="257" t="s">
        <v>1189</v>
      </c>
      <c r="C132" s="257" t="s">
        <v>1732</v>
      </c>
      <c r="D132" s="29"/>
      <c r="E132" s="29" t="s">
        <v>2137</v>
      </c>
      <c r="F132" s="251">
        <v>41709</v>
      </c>
      <c r="G132" s="188"/>
      <c r="H132" s="188"/>
      <c r="I132" s="188"/>
      <c r="J132" s="257" t="s">
        <v>2946</v>
      </c>
      <c r="K132" s="257" t="s">
        <v>3</v>
      </c>
      <c r="L132" s="258">
        <v>1.5</v>
      </c>
      <c r="M132" s="258">
        <v>0</v>
      </c>
      <c r="N132" s="130">
        <v>9.0399999999999996E-4</v>
      </c>
      <c r="O132" s="32"/>
      <c r="P132" s="32"/>
      <c r="Q132" s="253"/>
      <c r="R132" s="253"/>
      <c r="S132" s="28">
        <f t="shared" ref="S132:S195" si="4">IF(AND(U132,NOT(V132)),IFERROR(AVERAGE(M132:R132),0),0)</f>
        <v>4.5199999999999998E-4</v>
      </c>
      <c r="T132" s="28">
        <f t="shared" si="3"/>
        <v>4.5199999999999998E-4</v>
      </c>
      <c r="U132" s="266" t="b">
        <v>1</v>
      </c>
      <c r="V132" s="266" t="b">
        <v>0</v>
      </c>
      <c r="Z132"/>
    </row>
    <row r="133" spans="1:26" ht="27" customHeight="1">
      <c r="A133" s="257"/>
      <c r="B133" s="257" t="s">
        <v>2052</v>
      </c>
      <c r="C133" s="257"/>
      <c r="D133" s="29" t="s">
        <v>2942</v>
      </c>
      <c r="E133" s="29" t="s">
        <v>2051</v>
      </c>
      <c r="F133" s="251"/>
      <c r="G133" s="188"/>
      <c r="H133" s="188"/>
      <c r="I133" s="257"/>
      <c r="J133" s="257" t="s">
        <v>2946</v>
      </c>
      <c r="K133" s="257" t="s">
        <v>494</v>
      </c>
      <c r="L133" s="258"/>
      <c r="M133" s="258">
        <v>0</v>
      </c>
      <c r="N133" s="258">
        <v>6.6719999999999997</v>
      </c>
      <c r="O133" s="32"/>
      <c r="P133" s="32"/>
      <c r="Q133" s="253"/>
      <c r="R133" s="253"/>
      <c r="S133" s="28">
        <f t="shared" si="4"/>
        <v>3.3359999999999999</v>
      </c>
      <c r="T133" s="28">
        <f t="shared" ref="T133:T196" si="5">IF(AND(U133,NOT(V133)),IFERROR(IF(YEAR(F133)=2015,AVERAGE(N133:R133,VLOOKUP(K133,$Z$3:$AA$10,2,FALSE)*L133*8.76),AVERAGE(M133:R133)),0),0)</f>
        <v>3.3359999999999999</v>
      </c>
      <c r="U133" s="266" t="b">
        <v>1</v>
      </c>
      <c r="V133" s="266" t="b">
        <v>0</v>
      </c>
      <c r="Z133"/>
    </row>
    <row r="134" spans="1:26" ht="27" customHeight="1">
      <c r="A134" s="27" t="s">
        <v>2054</v>
      </c>
      <c r="B134" s="27" t="s">
        <v>2053</v>
      </c>
      <c r="C134" s="252" t="s">
        <v>3313</v>
      </c>
      <c r="D134" s="250" t="s">
        <v>778</v>
      </c>
      <c r="E134" s="250" t="s">
        <v>3478</v>
      </c>
      <c r="F134" s="43" t="s">
        <v>1140</v>
      </c>
      <c r="G134" s="27" t="s">
        <v>2431</v>
      </c>
      <c r="H134" s="27"/>
      <c r="I134" s="27"/>
      <c r="J134" s="257" t="s">
        <v>5170</v>
      </c>
      <c r="K134" s="27" t="s">
        <v>7</v>
      </c>
      <c r="L134" s="58">
        <v>35.799999999999997</v>
      </c>
      <c r="M134" s="58">
        <v>319.00400000000002</v>
      </c>
      <c r="N134" s="130">
        <v>304</v>
      </c>
      <c r="O134" s="28">
        <v>308.98399999999998</v>
      </c>
      <c r="P134" s="29">
        <v>260.54899999999998</v>
      </c>
      <c r="Q134" s="28">
        <v>337.35500000000002</v>
      </c>
      <c r="R134" s="28">
        <v>341.48899999999998</v>
      </c>
      <c r="S134" s="28">
        <f t="shared" si="4"/>
        <v>311.89683333333335</v>
      </c>
      <c r="T134" s="28">
        <f t="shared" si="5"/>
        <v>311.89683333333335</v>
      </c>
      <c r="U134" s="266" t="b">
        <v>1</v>
      </c>
      <c r="V134" s="266" t="b">
        <v>0</v>
      </c>
      <c r="Z134"/>
    </row>
    <row r="135" spans="1:26" ht="27" customHeight="1">
      <c r="A135" s="252"/>
      <c r="B135" s="256" t="s">
        <v>1549</v>
      </c>
      <c r="C135" s="252" t="s">
        <v>1658</v>
      </c>
      <c r="D135" s="250" t="s">
        <v>1301</v>
      </c>
      <c r="E135" s="250" t="s">
        <v>2747</v>
      </c>
      <c r="F135" s="251">
        <v>41943</v>
      </c>
      <c r="G135" s="282" t="s">
        <v>3734</v>
      </c>
      <c r="H135" s="256"/>
      <c r="I135" s="256"/>
      <c r="J135" s="257"/>
      <c r="K135" s="257" t="s">
        <v>1089</v>
      </c>
      <c r="L135" s="258">
        <v>6.5</v>
      </c>
      <c r="M135" s="258">
        <v>15.465</v>
      </c>
      <c r="N135" s="130">
        <v>0.96099999999999997</v>
      </c>
      <c r="O135" s="28" t="s">
        <v>115</v>
      </c>
      <c r="P135" s="32" t="s">
        <v>115</v>
      </c>
      <c r="Q135" s="253" t="s">
        <v>115</v>
      </c>
      <c r="R135" s="253" t="s">
        <v>115</v>
      </c>
      <c r="S135" s="28">
        <f t="shared" si="4"/>
        <v>8.2129999999999992</v>
      </c>
      <c r="T135" s="28">
        <f t="shared" si="5"/>
        <v>8.2129999999999992</v>
      </c>
      <c r="U135" s="266" t="b">
        <v>1</v>
      </c>
      <c r="V135" s="266" t="b">
        <v>0</v>
      </c>
      <c r="Z135"/>
    </row>
    <row r="136" spans="1:26" ht="27" customHeight="1">
      <c r="A136" s="252" t="s">
        <v>3645</v>
      </c>
      <c r="B136" s="256" t="s">
        <v>3644</v>
      </c>
      <c r="C136" s="252"/>
      <c r="D136" s="250"/>
      <c r="E136" s="250" t="s">
        <v>3646</v>
      </c>
      <c r="F136" s="251">
        <v>41631</v>
      </c>
      <c r="G136" s="280" t="s">
        <v>3647</v>
      </c>
      <c r="H136" s="282"/>
      <c r="I136" s="256"/>
      <c r="J136" s="257" t="s">
        <v>2946</v>
      </c>
      <c r="K136" s="257" t="s">
        <v>1089</v>
      </c>
      <c r="L136" s="258">
        <v>2.5</v>
      </c>
      <c r="M136" s="258">
        <v>6.07</v>
      </c>
      <c r="N136" s="130">
        <f>2.3+3.6</f>
        <v>5.9</v>
      </c>
      <c r="O136" s="28"/>
      <c r="P136" s="32"/>
      <c r="Q136" s="253"/>
      <c r="R136" s="253"/>
      <c r="S136" s="28">
        <f t="shared" si="4"/>
        <v>5.9850000000000003</v>
      </c>
      <c r="T136" s="28">
        <f t="shared" si="5"/>
        <v>5.9850000000000003</v>
      </c>
      <c r="U136" s="266" t="b">
        <v>1</v>
      </c>
      <c r="V136" s="266" t="b">
        <v>0</v>
      </c>
      <c r="Z136"/>
    </row>
    <row r="137" spans="1:26" ht="27" customHeight="1">
      <c r="A137" s="252"/>
      <c r="B137" s="256" t="s">
        <v>3791</v>
      </c>
      <c r="C137" s="252"/>
      <c r="D137" s="261" t="s">
        <v>3792</v>
      </c>
      <c r="E137" s="261" t="s">
        <v>4682</v>
      </c>
      <c r="F137" s="138">
        <v>42348</v>
      </c>
      <c r="G137" s="282"/>
      <c r="H137" s="256"/>
      <c r="I137" s="256"/>
      <c r="J137" s="257" t="s">
        <v>475</v>
      </c>
      <c r="K137" s="257" t="s">
        <v>1089</v>
      </c>
      <c r="L137" s="258">
        <v>186.06</v>
      </c>
      <c r="M137" s="258">
        <v>4.5709999999999997</v>
      </c>
      <c r="N137" s="130" t="s">
        <v>115</v>
      </c>
      <c r="O137" s="28" t="s">
        <v>115</v>
      </c>
      <c r="P137" s="37" t="s">
        <v>115</v>
      </c>
      <c r="Q137" s="37" t="s">
        <v>115</v>
      </c>
      <c r="R137" s="37" t="s">
        <v>115</v>
      </c>
      <c r="S137" s="28">
        <f t="shared" si="4"/>
        <v>4.5709999999999997</v>
      </c>
      <c r="T137" s="28">
        <f t="shared" si="5"/>
        <v>431.91968400000002</v>
      </c>
      <c r="U137" s="266" t="b">
        <v>1</v>
      </c>
      <c r="V137" s="266" t="b">
        <v>0</v>
      </c>
      <c r="Z137"/>
    </row>
    <row r="138" spans="1:26" ht="27" customHeight="1">
      <c r="A138" s="252" t="s">
        <v>1019</v>
      </c>
      <c r="B138" s="256" t="s">
        <v>1100</v>
      </c>
      <c r="C138" s="252" t="s">
        <v>1659</v>
      </c>
      <c r="D138" s="261" t="s">
        <v>1020</v>
      </c>
      <c r="E138" s="261" t="s">
        <v>3479</v>
      </c>
      <c r="F138" s="138">
        <v>41633</v>
      </c>
      <c r="G138" s="282" t="s">
        <v>2434</v>
      </c>
      <c r="H138" s="256"/>
      <c r="I138" s="256"/>
      <c r="J138" s="257"/>
      <c r="K138" s="257" t="s">
        <v>1089</v>
      </c>
      <c r="L138" s="258">
        <v>250</v>
      </c>
      <c r="M138" s="258">
        <v>625.80499999999995</v>
      </c>
      <c r="N138" s="130">
        <v>514.63900000000001</v>
      </c>
      <c r="O138" s="28"/>
      <c r="P138" s="37" t="s">
        <v>115</v>
      </c>
      <c r="Q138" s="37" t="s">
        <v>115</v>
      </c>
      <c r="R138" s="37" t="s">
        <v>115</v>
      </c>
      <c r="S138" s="28">
        <f t="shared" si="4"/>
        <v>570.22199999999998</v>
      </c>
      <c r="T138" s="28">
        <f t="shared" si="5"/>
        <v>570.22199999999998</v>
      </c>
      <c r="U138" s="266" t="b">
        <v>1</v>
      </c>
      <c r="V138" s="266" t="b">
        <v>0</v>
      </c>
      <c r="Z138"/>
    </row>
    <row r="139" spans="1:26" ht="27" customHeight="1">
      <c r="A139" s="252" t="s">
        <v>1021</v>
      </c>
      <c r="B139" s="256" t="s">
        <v>1101</v>
      </c>
      <c r="C139" s="252" t="s">
        <v>1660</v>
      </c>
      <c r="D139" s="261" t="s">
        <v>1022</v>
      </c>
      <c r="E139" s="261" t="s">
        <v>2165</v>
      </c>
      <c r="F139" s="138">
        <v>41562</v>
      </c>
      <c r="G139" s="282" t="s">
        <v>2164</v>
      </c>
      <c r="H139" s="256"/>
      <c r="I139" s="256"/>
      <c r="J139" s="257" t="s">
        <v>3688</v>
      </c>
      <c r="K139" s="257" t="s">
        <v>1089</v>
      </c>
      <c r="L139" s="258">
        <v>300</v>
      </c>
      <c r="M139" s="258">
        <v>685.29700000000003</v>
      </c>
      <c r="N139" s="130">
        <v>595.12699999999995</v>
      </c>
      <c r="O139" s="28">
        <v>73.850999999999999</v>
      </c>
      <c r="P139" s="37" t="s">
        <v>115</v>
      </c>
      <c r="Q139" s="37" t="s">
        <v>115</v>
      </c>
      <c r="R139" s="37" t="s">
        <v>115</v>
      </c>
      <c r="S139" s="28">
        <f t="shared" si="4"/>
        <v>451.42500000000001</v>
      </c>
      <c r="T139" s="28">
        <f t="shared" si="5"/>
        <v>451.42500000000001</v>
      </c>
      <c r="U139" s="266" t="b">
        <v>1</v>
      </c>
      <c r="V139" s="266" t="b">
        <v>0</v>
      </c>
      <c r="Z139"/>
    </row>
    <row r="140" spans="1:26" ht="27" customHeight="1">
      <c r="A140" s="252"/>
      <c r="B140" s="252" t="s">
        <v>1816</v>
      </c>
      <c r="C140" s="257"/>
      <c r="D140" s="48" t="s">
        <v>1382</v>
      </c>
      <c r="E140" s="48" t="s">
        <v>3480</v>
      </c>
      <c r="F140" s="257"/>
      <c r="G140" s="252"/>
      <c r="H140" s="252"/>
      <c r="I140" s="252"/>
      <c r="J140" s="257"/>
      <c r="K140" s="252" t="s">
        <v>9</v>
      </c>
      <c r="L140" s="268">
        <v>18</v>
      </c>
      <c r="M140" s="268">
        <v>63.2288</v>
      </c>
      <c r="N140" s="32">
        <v>57.86777</v>
      </c>
      <c r="O140" s="32" t="s">
        <v>115</v>
      </c>
      <c r="P140" s="32" t="s">
        <v>115</v>
      </c>
      <c r="Q140" s="253" t="s">
        <v>115</v>
      </c>
      <c r="R140" s="253" t="s">
        <v>115</v>
      </c>
      <c r="S140" s="28">
        <f t="shared" si="4"/>
        <v>60.548285</v>
      </c>
      <c r="T140" s="28">
        <f t="shared" si="5"/>
        <v>60.548285</v>
      </c>
      <c r="U140" s="266" t="b">
        <v>1</v>
      </c>
      <c r="V140" s="266" t="b">
        <v>0</v>
      </c>
      <c r="Z140"/>
    </row>
    <row r="141" spans="1:26" ht="27" customHeight="1">
      <c r="A141" s="252"/>
      <c r="B141" s="165" t="s">
        <v>2844</v>
      </c>
      <c r="C141" s="252"/>
      <c r="D141" s="250"/>
      <c r="E141" s="163" t="s">
        <v>2845</v>
      </c>
      <c r="F141" s="251">
        <v>42005</v>
      </c>
      <c r="G141" s="253" t="s">
        <v>3654</v>
      </c>
      <c r="H141" s="188">
        <v>59405</v>
      </c>
      <c r="I141" s="253"/>
      <c r="J141" s="252" t="s">
        <v>3959</v>
      </c>
      <c r="K141" s="257" t="s">
        <v>1089</v>
      </c>
      <c r="L141" s="258">
        <v>1.25</v>
      </c>
      <c r="M141" s="144">
        <v>2.3005300000000002</v>
      </c>
      <c r="N141" s="241"/>
      <c r="O141" s="253"/>
      <c r="P141" s="253"/>
      <c r="Q141" s="252"/>
      <c r="R141" s="252"/>
      <c r="S141" s="28">
        <f t="shared" si="4"/>
        <v>2.3005300000000002</v>
      </c>
      <c r="T141" s="28">
        <f t="shared" si="5"/>
        <v>2.9017500000000003</v>
      </c>
      <c r="U141" s="266" t="b">
        <v>1</v>
      </c>
      <c r="V141" s="266" t="b">
        <v>0</v>
      </c>
      <c r="Z141"/>
    </row>
    <row r="142" spans="1:26" ht="27" customHeight="1">
      <c r="A142" s="252"/>
      <c r="B142" s="252" t="s">
        <v>1817</v>
      </c>
      <c r="C142" s="257"/>
      <c r="D142" s="48" t="s">
        <v>1354</v>
      </c>
      <c r="E142" s="48"/>
      <c r="F142" s="257"/>
      <c r="G142" s="252"/>
      <c r="H142" s="252"/>
      <c r="I142" s="252"/>
      <c r="J142" s="257"/>
      <c r="K142" s="252" t="s">
        <v>9</v>
      </c>
      <c r="L142" s="268">
        <v>7.24</v>
      </c>
      <c r="M142" s="268">
        <v>11.792069999999999</v>
      </c>
      <c r="N142" s="32">
        <v>13.259399999999999</v>
      </c>
      <c r="O142" s="32" t="s">
        <v>115</v>
      </c>
      <c r="P142" s="32" t="s">
        <v>115</v>
      </c>
      <c r="Q142" s="253" t="s">
        <v>115</v>
      </c>
      <c r="R142" s="253" t="s">
        <v>115</v>
      </c>
      <c r="S142" s="28">
        <f t="shared" si="4"/>
        <v>12.525734999999999</v>
      </c>
      <c r="T142" s="28">
        <f t="shared" si="5"/>
        <v>12.525734999999999</v>
      </c>
      <c r="U142" s="266" t="b">
        <v>1</v>
      </c>
      <c r="V142" s="266" t="b">
        <v>0</v>
      </c>
      <c r="Z142"/>
    </row>
    <row r="143" spans="1:26" ht="27" customHeight="1">
      <c r="A143" s="252"/>
      <c r="B143" s="252" t="s">
        <v>1818</v>
      </c>
      <c r="C143" s="257"/>
      <c r="D143" s="48" t="s">
        <v>1355</v>
      </c>
      <c r="E143" s="48"/>
      <c r="F143" s="257"/>
      <c r="G143" s="252"/>
      <c r="H143" s="252"/>
      <c r="I143" s="252"/>
      <c r="J143" s="257"/>
      <c r="K143" s="252" t="s">
        <v>9</v>
      </c>
      <c r="L143" s="268">
        <v>5.36</v>
      </c>
      <c r="M143" s="268">
        <v>5.6344200000000004</v>
      </c>
      <c r="N143" s="32">
        <v>6.8750799999999996</v>
      </c>
      <c r="O143" s="32" t="s">
        <v>115</v>
      </c>
      <c r="P143" s="32" t="s">
        <v>115</v>
      </c>
      <c r="Q143" s="253" t="s">
        <v>115</v>
      </c>
      <c r="R143" s="253" t="s">
        <v>115</v>
      </c>
      <c r="S143" s="28">
        <f t="shared" si="4"/>
        <v>6.2547499999999996</v>
      </c>
      <c r="T143" s="28">
        <f t="shared" si="5"/>
        <v>6.2547499999999996</v>
      </c>
      <c r="U143" s="266" t="b">
        <v>1</v>
      </c>
      <c r="V143" s="266" t="b">
        <v>0</v>
      </c>
      <c r="Z143"/>
    </row>
    <row r="144" spans="1:26" ht="27" customHeight="1">
      <c r="A144" s="252"/>
      <c r="B144" s="252" t="s">
        <v>1819</v>
      </c>
      <c r="C144" s="257"/>
      <c r="D144" s="48" t="s">
        <v>1421</v>
      </c>
      <c r="E144" s="48"/>
      <c r="F144" s="257"/>
      <c r="G144" s="252"/>
      <c r="H144" s="252"/>
      <c r="I144" s="252"/>
      <c r="J144" s="257"/>
      <c r="K144" s="252" t="s">
        <v>9</v>
      </c>
      <c r="L144" s="268">
        <v>7.51</v>
      </c>
      <c r="M144" s="268">
        <v>10.392430000000001</v>
      </c>
      <c r="N144" s="32">
        <v>18.001000000000001</v>
      </c>
      <c r="O144" s="32" t="s">
        <v>115</v>
      </c>
      <c r="P144" s="32" t="s">
        <v>115</v>
      </c>
      <c r="Q144" s="253" t="s">
        <v>115</v>
      </c>
      <c r="R144" s="253" t="s">
        <v>115</v>
      </c>
      <c r="S144" s="28">
        <f t="shared" si="4"/>
        <v>14.196715000000001</v>
      </c>
      <c r="T144" s="28">
        <f t="shared" si="5"/>
        <v>14.196715000000001</v>
      </c>
      <c r="U144" s="266" t="b">
        <v>1</v>
      </c>
      <c r="V144" s="266" t="b">
        <v>0</v>
      </c>
      <c r="Z144"/>
    </row>
    <row r="145" spans="1:26" ht="27" customHeight="1">
      <c r="A145" s="252"/>
      <c r="B145" s="252" t="s">
        <v>1820</v>
      </c>
      <c r="C145" s="257"/>
      <c r="D145" s="48" t="s">
        <v>1361</v>
      </c>
      <c r="E145" s="48" t="s">
        <v>3481</v>
      </c>
      <c r="F145" s="257"/>
      <c r="G145" s="252" t="s">
        <v>2435</v>
      </c>
      <c r="H145" s="252"/>
      <c r="I145" s="252"/>
      <c r="J145" s="257"/>
      <c r="K145" s="252" t="s">
        <v>9</v>
      </c>
      <c r="L145" s="268">
        <v>11.6</v>
      </c>
      <c r="M145" s="268">
        <v>15.87373</v>
      </c>
      <c r="N145" s="32">
        <v>18.201720000000002</v>
      </c>
      <c r="O145" s="32" t="s">
        <v>115</v>
      </c>
      <c r="P145" s="32" t="s">
        <v>115</v>
      </c>
      <c r="Q145" s="253" t="s">
        <v>115</v>
      </c>
      <c r="R145" s="253" t="s">
        <v>115</v>
      </c>
      <c r="S145" s="28">
        <f t="shared" si="4"/>
        <v>17.037725000000002</v>
      </c>
      <c r="T145" s="28">
        <f t="shared" si="5"/>
        <v>17.037725000000002</v>
      </c>
      <c r="U145" s="266" t="b">
        <v>1</v>
      </c>
      <c r="V145" s="266" t="b">
        <v>0</v>
      </c>
      <c r="Z145"/>
    </row>
    <row r="146" spans="1:26" ht="27" customHeight="1">
      <c r="A146" s="252"/>
      <c r="B146" s="252" t="s">
        <v>1821</v>
      </c>
      <c r="C146" s="257"/>
      <c r="D146" s="48" t="s">
        <v>1418</v>
      </c>
      <c r="E146" s="48"/>
      <c r="F146" s="257"/>
      <c r="G146" s="252"/>
      <c r="H146" s="252"/>
      <c r="I146" s="252"/>
      <c r="J146" s="257"/>
      <c r="K146" s="252" t="s">
        <v>9</v>
      </c>
      <c r="L146" s="268">
        <v>24.41</v>
      </c>
      <c r="M146" s="268">
        <v>30.559529999999999</v>
      </c>
      <c r="N146" s="32">
        <v>39.908699999999996</v>
      </c>
      <c r="O146" s="32" t="s">
        <v>115</v>
      </c>
      <c r="P146" s="32" t="s">
        <v>115</v>
      </c>
      <c r="Q146" s="253" t="s">
        <v>115</v>
      </c>
      <c r="R146" s="253" t="s">
        <v>115</v>
      </c>
      <c r="S146" s="28">
        <f t="shared" si="4"/>
        <v>35.234114999999996</v>
      </c>
      <c r="T146" s="28">
        <f t="shared" si="5"/>
        <v>35.234114999999996</v>
      </c>
      <c r="U146" s="266" t="b">
        <v>1</v>
      </c>
      <c r="V146" s="266" t="b">
        <v>0</v>
      </c>
      <c r="Z146"/>
    </row>
    <row r="147" spans="1:26" ht="27" customHeight="1">
      <c r="A147" s="252"/>
      <c r="B147" s="252" t="s">
        <v>1822</v>
      </c>
      <c r="C147" s="257"/>
      <c r="D147" s="48" t="s">
        <v>1419</v>
      </c>
      <c r="E147" s="48"/>
      <c r="F147" s="257"/>
      <c r="G147" s="252"/>
      <c r="H147" s="252"/>
      <c r="I147" s="252"/>
      <c r="J147" s="257"/>
      <c r="K147" s="252" t="s">
        <v>9</v>
      </c>
      <c r="L147" s="268">
        <v>21.36</v>
      </c>
      <c r="M147" s="268">
        <v>23.491779999999999</v>
      </c>
      <c r="N147" s="32">
        <v>35.9</v>
      </c>
      <c r="O147" s="32" t="s">
        <v>115</v>
      </c>
      <c r="P147" s="32" t="s">
        <v>115</v>
      </c>
      <c r="Q147" s="253" t="s">
        <v>115</v>
      </c>
      <c r="R147" s="253" t="s">
        <v>115</v>
      </c>
      <c r="S147" s="28">
        <f t="shared" si="4"/>
        <v>29.695889999999999</v>
      </c>
      <c r="T147" s="28">
        <f t="shared" si="5"/>
        <v>29.695889999999999</v>
      </c>
      <c r="U147" s="266" t="b">
        <v>1</v>
      </c>
      <c r="V147" s="266" t="b">
        <v>0</v>
      </c>
      <c r="Z147"/>
    </row>
    <row r="148" spans="1:26" ht="27" customHeight="1">
      <c r="A148" s="252"/>
      <c r="B148" s="252" t="s">
        <v>1823</v>
      </c>
      <c r="C148" s="257"/>
      <c r="D148" s="48" t="s">
        <v>1420</v>
      </c>
      <c r="E148" s="48"/>
      <c r="F148" s="257"/>
      <c r="G148" s="252"/>
      <c r="H148" s="200"/>
      <c r="I148" s="252"/>
      <c r="J148" s="257"/>
      <c r="K148" s="252" t="s">
        <v>9</v>
      </c>
      <c r="L148" s="268">
        <v>8.64</v>
      </c>
      <c r="M148" s="268"/>
      <c r="N148" s="268"/>
      <c r="O148" s="32"/>
      <c r="P148" s="32"/>
      <c r="Q148" s="253"/>
      <c r="R148" s="253"/>
      <c r="S148" s="28">
        <f t="shared" si="4"/>
        <v>0</v>
      </c>
      <c r="T148" s="28">
        <f t="shared" si="5"/>
        <v>0</v>
      </c>
      <c r="U148" s="266" t="b">
        <v>0</v>
      </c>
      <c r="V148" s="266" t="b">
        <v>0</v>
      </c>
      <c r="Z148"/>
    </row>
    <row r="149" spans="1:26" ht="27" customHeight="1">
      <c r="A149" s="252"/>
      <c r="B149" s="252" t="s">
        <v>1824</v>
      </c>
      <c r="C149" s="257"/>
      <c r="D149" s="48" t="s">
        <v>1388</v>
      </c>
      <c r="E149" s="48" t="s">
        <v>3482</v>
      </c>
      <c r="F149" s="257"/>
      <c r="G149" s="252" t="s">
        <v>2436</v>
      </c>
      <c r="H149" s="252"/>
      <c r="I149" s="252"/>
      <c r="J149" s="257"/>
      <c r="K149" s="252" t="s">
        <v>9</v>
      </c>
      <c r="L149" s="268">
        <v>45</v>
      </c>
      <c r="M149" s="268">
        <v>137.46339</v>
      </c>
      <c r="N149" s="32">
        <v>138.75431</v>
      </c>
      <c r="O149" s="32" t="s">
        <v>115</v>
      </c>
      <c r="P149" s="32" t="s">
        <v>115</v>
      </c>
      <c r="Q149" s="253" t="s">
        <v>115</v>
      </c>
      <c r="R149" s="253" t="s">
        <v>115</v>
      </c>
      <c r="S149" s="28">
        <f t="shared" si="4"/>
        <v>138.10885000000002</v>
      </c>
      <c r="T149" s="28">
        <f t="shared" si="5"/>
        <v>138.10885000000002</v>
      </c>
      <c r="U149" s="266" t="b">
        <v>1</v>
      </c>
      <c r="V149" s="266" t="b">
        <v>0</v>
      </c>
      <c r="Z149"/>
    </row>
    <row r="150" spans="1:26" ht="27" customHeight="1">
      <c r="A150" s="27" t="s">
        <v>26</v>
      </c>
      <c r="B150" s="27" t="s">
        <v>27</v>
      </c>
      <c r="C150" s="252" t="s">
        <v>3303</v>
      </c>
      <c r="D150" s="250" t="s">
        <v>754</v>
      </c>
      <c r="E150" s="250" t="s">
        <v>2748</v>
      </c>
      <c r="F150" s="251"/>
      <c r="G150" s="281"/>
      <c r="H150" s="27"/>
      <c r="I150" s="27"/>
      <c r="J150" s="257"/>
      <c r="K150" s="252" t="s">
        <v>3</v>
      </c>
      <c r="L150" s="58">
        <v>12</v>
      </c>
      <c r="M150" s="58">
        <v>44.813019999999995</v>
      </c>
      <c r="N150" s="130">
        <v>63.073999999999998</v>
      </c>
      <c r="O150" s="28">
        <v>73.587999999999994</v>
      </c>
      <c r="P150" s="29">
        <v>78.361000000000004</v>
      </c>
      <c r="Q150" s="29">
        <v>68.102999999999994</v>
      </c>
      <c r="R150" s="29">
        <v>80.552000000000007</v>
      </c>
      <c r="S150" s="28">
        <f t="shared" si="4"/>
        <v>68.081836666666661</v>
      </c>
      <c r="T150" s="28">
        <f t="shared" si="5"/>
        <v>68.081836666666661</v>
      </c>
      <c r="U150" s="266" t="b">
        <v>1</v>
      </c>
      <c r="V150" s="266" t="b">
        <v>0</v>
      </c>
      <c r="Z150"/>
    </row>
    <row r="151" spans="1:26" ht="27" customHeight="1">
      <c r="A151" s="27"/>
      <c r="B151" s="27" t="s">
        <v>3568</v>
      </c>
      <c r="C151" s="252"/>
      <c r="D151" s="250"/>
      <c r="E151" s="250" t="s">
        <v>3573</v>
      </c>
      <c r="F151" s="160">
        <v>41814</v>
      </c>
      <c r="G151" s="281" t="s">
        <v>3621</v>
      </c>
      <c r="H151" s="281">
        <v>59094</v>
      </c>
      <c r="I151" s="27"/>
      <c r="J151" s="257" t="s">
        <v>2946</v>
      </c>
      <c r="K151" s="252" t="s">
        <v>1089</v>
      </c>
      <c r="L151" s="58">
        <v>1.5</v>
      </c>
      <c r="M151" s="58">
        <v>3.0610400000000002</v>
      </c>
      <c r="N151" s="130">
        <v>1.6087499999999999</v>
      </c>
      <c r="O151" s="28"/>
      <c r="P151" s="29"/>
      <c r="Q151" s="29"/>
      <c r="R151" s="29"/>
      <c r="S151" s="28">
        <f t="shared" si="4"/>
        <v>2.3348949999999999</v>
      </c>
      <c r="T151" s="28">
        <f t="shared" si="5"/>
        <v>2.3348949999999999</v>
      </c>
      <c r="U151" s="266" t="b">
        <v>1</v>
      </c>
      <c r="V151" s="266" t="b">
        <v>0</v>
      </c>
      <c r="Z151"/>
    </row>
    <row r="152" spans="1:26" ht="27" customHeight="1">
      <c r="A152" s="27"/>
      <c r="B152" s="27" t="s">
        <v>3569</v>
      </c>
      <c r="C152" s="252"/>
      <c r="D152" s="250"/>
      <c r="E152" s="250" t="s">
        <v>3571</v>
      </c>
      <c r="F152" s="251">
        <v>41814</v>
      </c>
      <c r="G152" s="281" t="s">
        <v>3622</v>
      </c>
      <c r="H152" s="281">
        <v>59095</v>
      </c>
      <c r="I152" s="27"/>
      <c r="J152" s="257" t="s">
        <v>2946</v>
      </c>
      <c r="K152" s="252" t="s">
        <v>1089</v>
      </c>
      <c r="L152" s="58">
        <v>1</v>
      </c>
      <c r="M152" s="58">
        <v>2.0961419999999999</v>
      </c>
      <c r="N152" s="130">
        <v>1.0632600000000001</v>
      </c>
      <c r="O152" s="28"/>
      <c r="P152" s="29"/>
      <c r="Q152" s="29"/>
      <c r="R152" s="29"/>
      <c r="S152" s="28">
        <f t="shared" si="4"/>
        <v>1.579701</v>
      </c>
      <c r="T152" s="28">
        <f t="shared" si="5"/>
        <v>1.579701</v>
      </c>
      <c r="U152" s="266" t="b">
        <v>1</v>
      </c>
      <c r="V152" s="266" t="b">
        <v>0</v>
      </c>
      <c r="Z152"/>
    </row>
    <row r="153" spans="1:26" ht="27" customHeight="1">
      <c r="A153" s="27"/>
      <c r="B153" s="27" t="s">
        <v>3570</v>
      </c>
      <c r="C153" s="252"/>
      <c r="D153" s="250"/>
      <c r="E153" s="250" t="s">
        <v>3572</v>
      </c>
      <c r="F153" s="251">
        <v>41814</v>
      </c>
      <c r="G153" s="281" t="s">
        <v>3623</v>
      </c>
      <c r="H153" s="281">
        <v>59096</v>
      </c>
      <c r="I153" s="27"/>
      <c r="J153" s="257" t="s">
        <v>2946</v>
      </c>
      <c r="K153" s="252" t="s">
        <v>1089</v>
      </c>
      <c r="L153" s="58">
        <v>1</v>
      </c>
      <c r="M153" s="58">
        <v>1.950342</v>
      </c>
      <c r="N153" s="130">
        <v>1.0197000000000001</v>
      </c>
      <c r="O153" s="28"/>
      <c r="P153" s="29"/>
      <c r="Q153" s="29"/>
      <c r="R153" s="29"/>
      <c r="S153" s="28">
        <f t="shared" si="4"/>
        <v>1.4850210000000001</v>
      </c>
      <c r="T153" s="28">
        <f t="shared" si="5"/>
        <v>1.4850210000000001</v>
      </c>
      <c r="U153" s="266" t="b">
        <v>1</v>
      </c>
      <c r="V153" s="266" t="b">
        <v>0</v>
      </c>
      <c r="Z153"/>
    </row>
    <row r="154" spans="1:26" ht="27" customHeight="1">
      <c r="A154" s="252"/>
      <c r="B154" s="252" t="s">
        <v>1825</v>
      </c>
      <c r="C154" s="257"/>
      <c r="D154" s="48" t="s">
        <v>1435</v>
      </c>
      <c r="E154" s="48" t="s">
        <v>3483</v>
      </c>
      <c r="F154" s="257"/>
      <c r="G154" s="252" t="s">
        <v>2437</v>
      </c>
      <c r="H154" s="252"/>
      <c r="I154" s="252"/>
      <c r="J154" s="257"/>
      <c r="K154" s="252" t="s">
        <v>9</v>
      </c>
      <c r="L154" s="268">
        <v>8</v>
      </c>
      <c r="M154" s="268">
        <v>18.474790000000002</v>
      </c>
      <c r="N154" s="32">
        <v>20.083349999999999</v>
      </c>
      <c r="O154" s="32" t="s">
        <v>115</v>
      </c>
      <c r="P154" s="32" t="s">
        <v>115</v>
      </c>
      <c r="Q154" s="253" t="s">
        <v>115</v>
      </c>
      <c r="R154" s="253" t="s">
        <v>115</v>
      </c>
      <c r="S154" s="28">
        <f t="shared" si="4"/>
        <v>19.279070000000001</v>
      </c>
      <c r="T154" s="28">
        <f t="shared" si="5"/>
        <v>19.279070000000001</v>
      </c>
      <c r="U154" s="266" t="b">
        <v>1</v>
      </c>
      <c r="V154" s="266" t="b">
        <v>0</v>
      </c>
      <c r="Z154"/>
    </row>
    <row r="155" spans="1:26" ht="27" customHeight="1">
      <c r="A155" s="252"/>
      <c r="B155" s="252" t="s">
        <v>1826</v>
      </c>
      <c r="C155" s="257"/>
      <c r="D155" s="48" t="s">
        <v>1415</v>
      </c>
      <c r="E155" s="48"/>
      <c r="F155" s="257"/>
      <c r="G155" s="252"/>
      <c r="H155" s="200"/>
      <c r="I155" s="252"/>
      <c r="J155" s="257"/>
      <c r="K155" s="252" t="s">
        <v>9</v>
      </c>
      <c r="L155" s="268">
        <v>16.899999999999999</v>
      </c>
      <c r="M155" s="268"/>
      <c r="N155" s="268"/>
      <c r="O155" s="32"/>
      <c r="P155" s="32"/>
      <c r="Q155" s="253"/>
      <c r="R155" s="253"/>
      <c r="S155" s="28">
        <f t="shared" si="4"/>
        <v>0</v>
      </c>
      <c r="T155" s="28">
        <f t="shared" si="5"/>
        <v>0</v>
      </c>
      <c r="U155" s="266" t="b">
        <v>0</v>
      </c>
      <c r="V155" s="266" t="b">
        <v>0</v>
      </c>
      <c r="Z155"/>
    </row>
    <row r="156" spans="1:26" ht="27" customHeight="1">
      <c r="A156" s="27" t="s">
        <v>78</v>
      </c>
      <c r="B156" s="27" t="s">
        <v>104</v>
      </c>
      <c r="C156" s="252" t="s">
        <v>3340</v>
      </c>
      <c r="D156" s="250" t="s">
        <v>753</v>
      </c>
      <c r="E156" s="250" t="s">
        <v>3484</v>
      </c>
      <c r="F156" s="43" t="s">
        <v>1163</v>
      </c>
      <c r="G156" s="27" t="s">
        <v>2202</v>
      </c>
      <c r="H156" s="27"/>
      <c r="I156" s="27"/>
      <c r="J156" s="257"/>
      <c r="K156" s="27" t="s">
        <v>7</v>
      </c>
      <c r="L156" s="58">
        <v>110</v>
      </c>
      <c r="M156" s="58">
        <v>588.33299999999997</v>
      </c>
      <c r="N156" s="130">
        <v>576.59699999999998</v>
      </c>
      <c r="O156" s="28">
        <v>565.29300000000001</v>
      </c>
      <c r="P156" s="29">
        <v>601.88300000000004</v>
      </c>
      <c r="Q156" s="28">
        <v>569.98500000000001</v>
      </c>
      <c r="R156" s="28">
        <v>476.738</v>
      </c>
      <c r="S156" s="28">
        <f t="shared" si="4"/>
        <v>563.13816666666662</v>
      </c>
      <c r="T156" s="28">
        <f t="shared" si="5"/>
        <v>563.13816666666662</v>
      </c>
      <c r="U156" s="266" t="b">
        <v>1</v>
      </c>
      <c r="V156" s="266" t="b">
        <v>0</v>
      </c>
      <c r="Z156"/>
    </row>
    <row r="157" spans="1:26" ht="27" customHeight="1">
      <c r="A157" s="54" t="s">
        <v>934</v>
      </c>
      <c r="B157" s="257" t="s">
        <v>932</v>
      </c>
      <c r="C157" s="252"/>
      <c r="D157" s="250" t="s">
        <v>928</v>
      </c>
      <c r="E157" s="250" t="s">
        <v>2015</v>
      </c>
      <c r="F157" s="251">
        <v>41019</v>
      </c>
      <c r="G157" s="188"/>
      <c r="H157" s="257"/>
      <c r="I157" s="257"/>
      <c r="J157" s="257"/>
      <c r="K157" s="27" t="s">
        <v>1177</v>
      </c>
      <c r="L157" s="58">
        <v>4.5999999999999996</v>
      </c>
      <c r="M157" s="58">
        <v>29.06</v>
      </c>
      <c r="N157" s="130">
        <v>30.559000000000001</v>
      </c>
      <c r="O157" s="28">
        <v>26.091000000000001</v>
      </c>
      <c r="P157" s="32">
        <v>20.882999999999999</v>
      </c>
      <c r="Q157" s="32">
        <v>3.2149999999999999</v>
      </c>
      <c r="R157" s="32" t="s">
        <v>115</v>
      </c>
      <c r="S157" s="28">
        <f t="shared" si="4"/>
        <v>21.961600000000001</v>
      </c>
      <c r="T157" s="28">
        <f t="shared" si="5"/>
        <v>21.961600000000001</v>
      </c>
      <c r="U157" s="266" t="b">
        <v>1</v>
      </c>
      <c r="V157" s="266" t="b">
        <v>0</v>
      </c>
      <c r="Z157"/>
    </row>
    <row r="158" spans="1:26" ht="27" customHeight="1">
      <c r="A158" s="10" t="s">
        <v>512</v>
      </c>
      <c r="B158" s="27" t="s">
        <v>1460</v>
      </c>
      <c r="C158" s="252" t="s">
        <v>3315</v>
      </c>
      <c r="D158" s="29" t="s">
        <v>752</v>
      </c>
      <c r="E158" s="29" t="s">
        <v>2751</v>
      </c>
      <c r="F158" s="251"/>
      <c r="G158" s="281"/>
      <c r="H158" s="27"/>
      <c r="I158" s="27"/>
      <c r="J158" s="257"/>
      <c r="K158" s="27" t="s">
        <v>1177</v>
      </c>
      <c r="L158" s="58">
        <v>6.45</v>
      </c>
      <c r="M158" s="58">
        <v>24.631</v>
      </c>
      <c r="N158" s="130">
        <v>24.332000000000001</v>
      </c>
      <c r="O158" s="28">
        <v>26.471</v>
      </c>
      <c r="P158" s="29">
        <v>21.788</v>
      </c>
      <c r="Q158" s="29">
        <v>3.2149999999999999</v>
      </c>
      <c r="R158" s="29">
        <v>36.061999999999998</v>
      </c>
      <c r="S158" s="28">
        <f t="shared" si="4"/>
        <v>22.749833333333331</v>
      </c>
      <c r="T158" s="28">
        <f t="shared" si="5"/>
        <v>22.749833333333331</v>
      </c>
      <c r="U158" s="266" t="b">
        <v>1</v>
      </c>
      <c r="V158" s="266" t="b">
        <v>0</v>
      </c>
      <c r="Z158"/>
    </row>
    <row r="159" spans="1:26" ht="27" customHeight="1">
      <c r="A159" s="261"/>
      <c r="B159" s="260" t="s">
        <v>4269</v>
      </c>
      <c r="C159" s="107"/>
      <c r="D159" s="260" t="s">
        <v>4268</v>
      </c>
      <c r="E159" s="107" t="s">
        <v>3239</v>
      </c>
      <c r="F159" s="156">
        <v>41639</v>
      </c>
      <c r="G159" s="257"/>
      <c r="H159" s="107"/>
      <c r="I159" s="107"/>
      <c r="J159" s="107"/>
      <c r="K159" s="252" t="s">
        <v>1089</v>
      </c>
      <c r="L159" s="261">
        <v>1.5</v>
      </c>
      <c r="M159" s="107">
        <v>1.9710000000000001</v>
      </c>
      <c r="N159" s="107">
        <v>1.9710000000000001</v>
      </c>
      <c r="O159" s="107"/>
      <c r="P159" s="107" t="s">
        <v>115</v>
      </c>
      <c r="Q159" s="107" t="s">
        <v>115</v>
      </c>
      <c r="R159" s="107" t="s">
        <v>115</v>
      </c>
      <c r="S159" s="28">
        <f t="shared" si="4"/>
        <v>1.9710000000000001</v>
      </c>
      <c r="T159" s="28">
        <f t="shared" si="5"/>
        <v>1.9710000000000001</v>
      </c>
      <c r="U159" s="266" t="b">
        <v>1</v>
      </c>
      <c r="V159" s="266" t="b">
        <v>0</v>
      </c>
      <c r="Z159"/>
    </row>
    <row r="160" spans="1:26" ht="27" customHeight="1">
      <c r="A160" s="252"/>
      <c r="B160" s="252" t="s">
        <v>1827</v>
      </c>
      <c r="C160" s="257"/>
      <c r="D160" s="48" t="s">
        <v>1422</v>
      </c>
      <c r="E160" s="181" t="s">
        <v>2176</v>
      </c>
      <c r="F160" s="257"/>
      <c r="G160" s="252" t="s">
        <v>2175</v>
      </c>
      <c r="H160" s="252"/>
      <c r="I160" s="252"/>
      <c r="J160" s="257"/>
      <c r="K160" s="252" t="s">
        <v>9</v>
      </c>
      <c r="L160" s="268">
        <v>16.100000000000001</v>
      </c>
      <c r="M160" s="268">
        <v>27.045660000000002</v>
      </c>
      <c r="N160" s="32">
        <v>33.495629999999998</v>
      </c>
      <c r="O160" s="32" t="s">
        <v>115</v>
      </c>
      <c r="P160" s="32" t="s">
        <v>115</v>
      </c>
      <c r="Q160" s="253" t="s">
        <v>115</v>
      </c>
      <c r="R160" s="253" t="s">
        <v>115</v>
      </c>
      <c r="S160" s="28">
        <f t="shared" si="4"/>
        <v>30.270645000000002</v>
      </c>
      <c r="T160" s="28">
        <f t="shared" si="5"/>
        <v>30.270645000000002</v>
      </c>
      <c r="U160" s="266" t="b">
        <v>1</v>
      </c>
      <c r="V160" s="266" t="b">
        <v>0</v>
      </c>
      <c r="Z160"/>
    </row>
    <row r="161" spans="1:26" ht="27" customHeight="1">
      <c r="A161" s="252"/>
      <c r="B161" s="252" t="s">
        <v>1828</v>
      </c>
      <c r="C161" s="257"/>
      <c r="D161" s="48" t="s">
        <v>1365</v>
      </c>
      <c r="E161" s="48" t="s">
        <v>3485</v>
      </c>
      <c r="F161" s="257"/>
      <c r="G161" s="252" t="s">
        <v>5054</v>
      </c>
      <c r="H161" s="252"/>
      <c r="I161" s="252"/>
      <c r="J161" s="257"/>
      <c r="K161" s="252" t="s">
        <v>9</v>
      </c>
      <c r="L161" s="268">
        <v>20</v>
      </c>
      <c r="M161" s="268">
        <v>43.200160000000004</v>
      </c>
      <c r="N161" s="32">
        <v>46.636969999999998</v>
      </c>
      <c r="O161" s="32" t="s">
        <v>115</v>
      </c>
      <c r="P161" s="32" t="s">
        <v>115</v>
      </c>
      <c r="Q161" s="253" t="s">
        <v>115</v>
      </c>
      <c r="R161" s="253" t="s">
        <v>115</v>
      </c>
      <c r="S161" s="28">
        <f t="shared" si="4"/>
        <v>44.918565000000001</v>
      </c>
      <c r="T161" s="28">
        <f t="shared" si="5"/>
        <v>44.918565000000001</v>
      </c>
      <c r="U161" s="266" t="b">
        <v>1</v>
      </c>
      <c r="V161" s="266" t="b">
        <v>0</v>
      </c>
      <c r="Z161"/>
    </row>
    <row r="162" spans="1:26" ht="27" customHeight="1">
      <c r="A162" s="143" t="s">
        <v>1662</v>
      </c>
      <c r="B162" s="143" t="s">
        <v>3924</v>
      </c>
      <c r="C162" s="257" t="s">
        <v>1663</v>
      </c>
      <c r="D162" s="257" t="s">
        <v>3802</v>
      </c>
      <c r="E162" s="209" t="s">
        <v>2853</v>
      </c>
      <c r="F162" s="151">
        <v>42186</v>
      </c>
      <c r="G162" s="262" t="s">
        <v>2684</v>
      </c>
      <c r="H162" s="262"/>
      <c r="I162" s="188"/>
      <c r="J162" s="54" t="s">
        <v>2685</v>
      </c>
      <c r="K162" s="257" t="s">
        <v>1089</v>
      </c>
      <c r="L162" s="261">
        <v>20</v>
      </c>
      <c r="M162" s="258">
        <v>21.21406</v>
      </c>
      <c r="N162" s="144" t="s">
        <v>115</v>
      </c>
      <c r="O162" s="241" t="s">
        <v>115</v>
      </c>
      <c r="P162" s="134" t="s">
        <v>115</v>
      </c>
      <c r="Q162" s="253" t="s">
        <v>115</v>
      </c>
      <c r="R162" s="264" t="s">
        <v>115</v>
      </c>
      <c r="S162" s="28">
        <f t="shared" si="4"/>
        <v>21.21406</v>
      </c>
      <c r="T162" s="28">
        <f t="shared" si="5"/>
        <v>46.428000000000004</v>
      </c>
      <c r="U162" s="266" t="b">
        <v>1</v>
      </c>
      <c r="V162" s="266" t="b">
        <v>0</v>
      </c>
      <c r="Z162"/>
    </row>
    <row r="163" spans="1:26" ht="27" customHeight="1">
      <c r="A163" s="27" t="s">
        <v>507</v>
      </c>
      <c r="B163" s="27" t="s">
        <v>508</v>
      </c>
      <c r="C163" s="252" t="s">
        <v>3349</v>
      </c>
      <c r="D163" s="29" t="s">
        <v>751</v>
      </c>
      <c r="E163" s="29" t="s">
        <v>3486</v>
      </c>
      <c r="F163" s="251"/>
      <c r="G163" s="281" t="s">
        <v>2181</v>
      </c>
      <c r="H163" s="27"/>
      <c r="I163" s="27"/>
      <c r="J163" s="257"/>
      <c r="K163" s="252" t="s">
        <v>3</v>
      </c>
      <c r="L163" s="58">
        <v>12.5</v>
      </c>
      <c r="M163" s="58">
        <v>65.093999999999994</v>
      </c>
      <c r="N163" s="130">
        <v>67.241</v>
      </c>
      <c r="O163" s="28">
        <v>68.771000000000001</v>
      </c>
      <c r="P163" s="29">
        <v>56.77</v>
      </c>
      <c r="Q163" s="29">
        <v>20.848040000000001</v>
      </c>
      <c r="R163" s="29">
        <v>8.2740599999999986</v>
      </c>
      <c r="S163" s="28">
        <f t="shared" si="4"/>
        <v>47.833016666666673</v>
      </c>
      <c r="T163" s="28">
        <f t="shared" si="5"/>
        <v>47.833016666666673</v>
      </c>
      <c r="U163" s="266" t="b">
        <v>1</v>
      </c>
      <c r="V163" s="266" t="b">
        <v>0</v>
      </c>
      <c r="Z163"/>
    </row>
    <row r="164" spans="1:26" ht="27" customHeight="1">
      <c r="A164" s="27" t="s">
        <v>45</v>
      </c>
      <c r="B164" s="27" t="s">
        <v>667</v>
      </c>
      <c r="C164" s="252" t="s">
        <v>3424</v>
      </c>
      <c r="D164" s="250" t="s">
        <v>750</v>
      </c>
      <c r="E164" s="250" t="s">
        <v>3487</v>
      </c>
      <c r="F164" s="251"/>
      <c r="G164" s="281" t="s">
        <v>2438</v>
      </c>
      <c r="H164" s="27"/>
      <c r="I164" s="27"/>
      <c r="J164" s="257"/>
      <c r="K164" s="27" t="s">
        <v>2894</v>
      </c>
      <c r="L164" s="58">
        <v>4.0500000000000007</v>
      </c>
      <c r="M164" s="58">
        <v>21.867000000000001</v>
      </c>
      <c r="N164" s="130">
        <v>21.945</v>
      </c>
      <c r="O164" s="28">
        <v>21.466999999999999</v>
      </c>
      <c r="P164" s="29">
        <v>19.099</v>
      </c>
      <c r="Q164" s="28">
        <v>21.696000000000002</v>
      </c>
      <c r="R164" s="28">
        <v>20.884979999999999</v>
      </c>
      <c r="S164" s="28">
        <f t="shared" si="4"/>
        <v>21.159829999999999</v>
      </c>
      <c r="T164" s="28">
        <f t="shared" si="5"/>
        <v>21.159829999999999</v>
      </c>
      <c r="U164" s="266" t="b">
        <v>1</v>
      </c>
      <c r="V164" s="266" t="b">
        <v>0</v>
      </c>
      <c r="Z164"/>
    </row>
    <row r="165" spans="1:26" ht="27" customHeight="1">
      <c r="A165" s="252" t="s">
        <v>1485</v>
      </c>
      <c r="B165" s="46" t="s">
        <v>1202</v>
      </c>
      <c r="C165" s="252" t="s">
        <v>1699</v>
      </c>
      <c r="D165" s="48" t="s">
        <v>1275</v>
      </c>
      <c r="E165" s="48" t="s">
        <v>2742</v>
      </c>
      <c r="F165" s="43">
        <v>41790</v>
      </c>
      <c r="G165" s="243" t="s">
        <v>3720</v>
      </c>
      <c r="H165" s="46"/>
      <c r="I165" s="46"/>
      <c r="J165" s="257"/>
      <c r="K165" s="257" t="s">
        <v>1089</v>
      </c>
      <c r="L165" s="266">
        <v>1.5</v>
      </c>
      <c r="M165" s="266">
        <v>3.7610000000000001</v>
      </c>
      <c r="N165" s="130">
        <v>2.089</v>
      </c>
      <c r="O165" s="28" t="s">
        <v>115</v>
      </c>
      <c r="P165" s="37" t="s">
        <v>115</v>
      </c>
      <c r="Q165" s="37" t="s">
        <v>115</v>
      </c>
      <c r="R165" s="37" t="s">
        <v>115</v>
      </c>
      <c r="S165" s="28">
        <f t="shared" si="4"/>
        <v>2.9249999999999998</v>
      </c>
      <c r="T165" s="28">
        <f t="shared" si="5"/>
        <v>2.9249999999999998</v>
      </c>
      <c r="U165" s="266" t="b">
        <v>1</v>
      </c>
      <c r="V165" s="266" t="b">
        <v>0</v>
      </c>
      <c r="Z165"/>
    </row>
    <row r="166" spans="1:26" ht="27" customHeight="1">
      <c r="A166" s="252"/>
      <c r="B166" s="252" t="s">
        <v>1829</v>
      </c>
      <c r="C166" s="257"/>
      <c r="D166" s="48" t="s">
        <v>1314</v>
      </c>
      <c r="E166" s="48" t="s">
        <v>3488</v>
      </c>
      <c r="F166" s="257"/>
      <c r="G166" s="252" t="s">
        <v>2441</v>
      </c>
      <c r="H166" s="252"/>
      <c r="I166" s="252"/>
      <c r="J166" s="257"/>
      <c r="K166" s="252" t="s">
        <v>9</v>
      </c>
      <c r="L166" s="268">
        <v>25.4</v>
      </c>
      <c r="M166" s="268">
        <v>41.00835</v>
      </c>
      <c r="N166" s="32">
        <v>40.024190000000004</v>
      </c>
      <c r="O166" s="32" t="s">
        <v>115</v>
      </c>
      <c r="P166" s="32" t="s">
        <v>115</v>
      </c>
      <c r="Q166" s="253" t="s">
        <v>115</v>
      </c>
      <c r="R166" s="253" t="s">
        <v>115</v>
      </c>
      <c r="S166" s="28">
        <f t="shared" si="4"/>
        <v>40.516270000000006</v>
      </c>
      <c r="T166" s="28">
        <f t="shared" si="5"/>
        <v>40.516270000000006</v>
      </c>
      <c r="U166" s="266" t="b">
        <v>1</v>
      </c>
      <c r="V166" s="266" t="b">
        <v>0</v>
      </c>
      <c r="Z166"/>
    </row>
    <row r="167" spans="1:26" ht="27" customHeight="1">
      <c r="A167" s="143" t="s">
        <v>1753</v>
      </c>
      <c r="B167" s="143" t="s">
        <v>3546</v>
      </c>
      <c r="C167" s="257"/>
      <c r="D167" s="257"/>
      <c r="E167" s="254" t="s">
        <v>3547</v>
      </c>
      <c r="F167" s="217">
        <v>41682</v>
      </c>
      <c r="G167" s="241" t="s">
        <v>3742</v>
      </c>
      <c r="H167" s="246">
        <v>58306</v>
      </c>
      <c r="I167" s="246"/>
      <c r="J167" s="134" t="s">
        <v>2946</v>
      </c>
      <c r="K167" s="257" t="s">
        <v>1089</v>
      </c>
      <c r="L167" s="258">
        <v>3.5</v>
      </c>
      <c r="M167" s="258">
        <v>7.06</v>
      </c>
      <c r="N167" s="252">
        <v>6.5590000000000002</v>
      </c>
      <c r="O167" s="260"/>
      <c r="P167" s="252"/>
      <c r="Q167" s="252"/>
      <c r="R167" s="252"/>
      <c r="S167" s="28">
        <f t="shared" si="4"/>
        <v>6.8094999999999999</v>
      </c>
      <c r="T167" s="28">
        <f t="shared" si="5"/>
        <v>6.8094999999999999</v>
      </c>
      <c r="U167" s="266" t="b">
        <v>1</v>
      </c>
      <c r="V167" s="266" t="b">
        <v>0</v>
      </c>
      <c r="Z167"/>
    </row>
    <row r="168" spans="1:26" ht="27" customHeight="1">
      <c r="A168" s="252" t="s">
        <v>1705</v>
      </c>
      <c r="B168" s="252" t="s">
        <v>2944</v>
      </c>
      <c r="C168" s="257" t="s">
        <v>2974</v>
      </c>
      <c r="D168" s="48" t="s">
        <v>1385</v>
      </c>
      <c r="E168" s="48" t="s">
        <v>2976</v>
      </c>
      <c r="F168" s="172">
        <v>41766</v>
      </c>
      <c r="G168" s="200" t="s">
        <v>3607</v>
      </c>
      <c r="H168" s="252"/>
      <c r="I168" s="252"/>
      <c r="J168" s="257"/>
      <c r="K168" s="257" t="s">
        <v>1089</v>
      </c>
      <c r="L168" s="268">
        <v>2</v>
      </c>
      <c r="M168" s="268">
        <v>4.7569999999999997</v>
      </c>
      <c r="N168" s="32">
        <v>2.891</v>
      </c>
      <c r="O168" s="32" t="s">
        <v>115</v>
      </c>
      <c r="P168" s="32" t="s">
        <v>115</v>
      </c>
      <c r="Q168" s="253" t="s">
        <v>115</v>
      </c>
      <c r="R168" s="253" t="s">
        <v>115</v>
      </c>
      <c r="S168" s="28">
        <f t="shared" si="4"/>
        <v>3.8239999999999998</v>
      </c>
      <c r="T168" s="28">
        <f t="shared" si="5"/>
        <v>3.8239999999999998</v>
      </c>
      <c r="U168" s="266" t="b">
        <v>1</v>
      </c>
      <c r="V168" s="266" t="b">
        <v>0</v>
      </c>
      <c r="Z168"/>
    </row>
    <row r="169" spans="1:26" ht="27" customHeight="1">
      <c r="A169" s="252" t="s">
        <v>1705</v>
      </c>
      <c r="B169" s="46" t="s">
        <v>2945</v>
      </c>
      <c r="C169" s="252" t="s">
        <v>2975</v>
      </c>
      <c r="D169" s="48" t="s">
        <v>3820</v>
      </c>
      <c r="E169" s="181" t="s">
        <v>2977</v>
      </c>
      <c r="F169" s="43">
        <v>41766</v>
      </c>
      <c r="G169" s="243" t="s">
        <v>3608</v>
      </c>
      <c r="H169" s="46"/>
      <c r="I169" s="46"/>
      <c r="J169" s="252" t="s">
        <v>1576</v>
      </c>
      <c r="K169" s="257" t="s">
        <v>1089</v>
      </c>
      <c r="L169" s="266">
        <v>2</v>
      </c>
      <c r="M169" s="266">
        <v>4.3010000000000002</v>
      </c>
      <c r="N169" s="32">
        <v>2.6030000000000002</v>
      </c>
      <c r="O169" s="28" t="s">
        <v>115</v>
      </c>
      <c r="P169" s="37" t="s">
        <v>115</v>
      </c>
      <c r="Q169" s="37" t="s">
        <v>115</v>
      </c>
      <c r="R169" s="37" t="s">
        <v>115</v>
      </c>
      <c r="S169" s="28">
        <f t="shared" si="4"/>
        <v>3.452</v>
      </c>
      <c r="T169" s="28">
        <f t="shared" si="5"/>
        <v>3.452</v>
      </c>
      <c r="U169" s="266" t="b">
        <v>1</v>
      </c>
      <c r="V169" s="266" t="b">
        <v>0</v>
      </c>
      <c r="Z169"/>
    </row>
    <row r="170" spans="1:26" ht="27" customHeight="1">
      <c r="A170" s="257" t="s">
        <v>1705</v>
      </c>
      <c r="B170" s="46" t="s">
        <v>1192</v>
      </c>
      <c r="C170" s="257"/>
      <c r="D170" s="48" t="s">
        <v>3542</v>
      </c>
      <c r="E170" s="48" t="s">
        <v>1769</v>
      </c>
      <c r="F170" s="43">
        <v>41957</v>
      </c>
      <c r="G170" s="243" t="s">
        <v>3617</v>
      </c>
      <c r="H170" s="46">
        <v>58763</v>
      </c>
      <c r="I170" s="46"/>
      <c r="J170" s="257" t="s">
        <v>3541</v>
      </c>
      <c r="K170" s="257" t="s">
        <v>1089</v>
      </c>
      <c r="L170" s="266">
        <v>1.5</v>
      </c>
      <c r="M170" s="266">
        <v>3.7360000000000002</v>
      </c>
      <c r="N170" s="130">
        <v>0.223</v>
      </c>
      <c r="O170" s="28" t="s">
        <v>115</v>
      </c>
      <c r="P170" s="29" t="s">
        <v>115</v>
      </c>
      <c r="Q170" s="29" t="s">
        <v>115</v>
      </c>
      <c r="R170" s="29" t="s">
        <v>115</v>
      </c>
      <c r="S170" s="28">
        <f t="shared" si="4"/>
        <v>1.9795</v>
      </c>
      <c r="T170" s="28">
        <f t="shared" si="5"/>
        <v>1.9795</v>
      </c>
      <c r="U170" s="266" t="b">
        <v>1</v>
      </c>
      <c r="V170" s="266" t="b">
        <v>0</v>
      </c>
      <c r="Z170"/>
    </row>
    <row r="171" spans="1:26" ht="27" customHeight="1">
      <c r="A171" s="254" t="s">
        <v>2991</v>
      </c>
      <c r="B171" s="46" t="s">
        <v>1044</v>
      </c>
      <c r="C171" s="252"/>
      <c r="D171" s="261" t="s">
        <v>904</v>
      </c>
      <c r="E171" s="261" t="s">
        <v>2056</v>
      </c>
      <c r="F171" s="43" t="s">
        <v>1121</v>
      </c>
      <c r="G171" s="243" t="s">
        <v>478</v>
      </c>
      <c r="H171" s="46"/>
      <c r="I171" s="46"/>
      <c r="J171" s="257"/>
      <c r="K171" s="257" t="s">
        <v>1089</v>
      </c>
      <c r="L171" s="274">
        <v>1</v>
      </c>
      <c r="M171" s="274">
        <v>1.6519999999999999</v>
      </c>
      <c r="N171" s="130">
        <v>1.6519999999999999</v>
      </c>
      <c r="O171" s="136">
        <v>1.6519999999999999</v>
      </c>
      <c r="P171" s="37">
        <v>1.6519999999999999</v>
      </c>
      <c r="Q171" s="37" t="s">
        <v>115</v>
      </c>
      <c r="R171" s="37" t="s">
        <v>115</v>
      </c>
      <c r="S171" s="28">
        <f t="shared" si="4"/>
        <v>1.6519999999999999</v>
      </c>
      <c r="T171" s="28">
        <f t="shared" si="5"/>
        <v>1.6519999999999999</v>
      </c>
      <c r="U171" s="266" t="b">
        <v>1</v>
      </c>
      <c r="V171" s="266" t="b">
        <v>0</v>
      </c>
      <c r="Z171"/>
    </row>
    <row r="172" spans="1:26" ht="27" customHeight="1">
      <c r="A172" s="54" t="s">
        <v>918</v>
      </c>
      <c r="B172" s="260" t="s">
        <v>917</v>
      </c>
      <c r="C172" s="252" t="s">
        <v>3354</v>
      </c>
      <c r="D172" s="261" t="s">
        <v>919</v>
      </c>
      <c r="E172" s="261" t="s">
        <v>2167</v>
      </c>
      <c r="F172" s="251">
        <v>31656</v>
      </c>
      <c r="G172" s="264" t="s">
        <v>2166</v>
      </c>
      <c r="H172" s="260"/>
      <c r="I172" s="260"/>
      <c r="J172" s="257"/>
      <c r="K172" s="252" t="s">
        <v>3</v>
      </c>
      <c r="L172" s="58">
        <v>15</v>
      </c>
      <c r="M172" s="58">
        <v>118.797</v>
      </c>
      <c r="N172" s="130">
        <v>122.925</v>
      </c>
      <c r="O172" s="28">
        <v>115.52200000000001</v>
      </c>
      <c r="P172" s="29">
        <v>126.232</v>
      </c>
      <c r="Q172" s="29">
        <v>117.22801</v>
      </c>
      <c r="R172" s="29">
        <v>97.304020000000008</v>
      </c>
      <c r="S172" s="28">
        <f t="shared" si="4"/>
        <v>116.33467166666668</v>
      </c>
      <c r="T172" s="28">
        <f t="shared" si="5"/>
        <v>116.33467166666668</v>
      </c>
      <c r="U172" s="266" t="b">
        <v>1</v>
      </c>
      <c r="V172" s="266" t="b">
        <v>0</v>
      </c>
      <c r="Z172"/>
    </row>
    <row r="173" spans="1:26" ht="27" customHeight="1">
      <c r="A173" s="252" t="s">
        <v>1513</v>
      </c>
      <c r="B173" s="46" t="s">
        <v>1512</v>
      </c>
      <c r="C173" s="252" t="s">
        <v>1664</v>
      </c>
      <c r="D173" s="48" t="s">
        <v>1454</v>
      </c>
      <c r="E173" s="181" t="s">
        <v>2752</v>
      </c>
      <c r="F173" s="43">
        <v>41703</v>
      </c>
      <c r="G173" s="278" t="s">
        <v>3748</v>
      </c>
      <c r="H173" s="46"/>
      <c r="I173" s="46"/>
      <c r="J173" s="257" t="s">
        <v>2753</v>
      </c>
      <c r="K173" s="257" t="s">
        <v>1089</v>
      </c>
      <c r="L173" s="266">
        <v>3</v>
      </c>
      <c r="M173" s="266">
        <v>3.95</v>
      </c>
      <c r="N173" s="130">
        <v>6.9939999999999998</v>
      </c>
      <c r="O173" s="28" t="s">
        <v>115</v>
      </c>
      <c r="P173" s="37" t="s">
        <v>115</v>
      </c>
      <c r="Q173" s="37" t="s">
        <v>115</v>
      </c>
      <c r="R173" s="37" t="s">
        <v>115</v>
      </c>
      <c r="S173" s="28">
        <f t="shared" si="4"/>
        <v>5.4719999999999995</v>
      </c>
      <c r="T173" s="28">
        <f t="shared" si="5"/>
        <v>5.4719999999999995</v>
      </c>
      <c r="U173" s="266" t="b">
        <v>1</v>
      </c>
      <c r="V173" s="266" t="b">
        <v>0</v>
      </c>
      <c r="Z173"/>
    </row>
    <row r="174" spans="1:26" ht="27" customHeight="1">
      <c r="A174" s="252" t="s">
        <v>1754</v>
      </c>
      <c r="B174" s="46" t="s">
        <v>3555</v>
      </c>
      <c r="C174" s="252"/>
      <c r="D174" s="48"/>
      <c r="E174" s="181" t="s">
        <v>3554</v>
      </c>
      <c r="F174" s="160">
        <v>41850</v>
      </c>
      <c r="G174" s="278" t="s">
        <v>3631</v>
      </c>
      <c r="H174" s="243">
        <v>59203</v>
      </c>
      <c r="I174" s="243"/>
      <c r="J174" s="257" t="s">
        <v>2946</v>
      </c>
      <c r="K174" s="257" t="s">
        <v>1089</v>
      </c>
      <c r="L174" s="266">
        <v>4.5</v>
      </c>
      <c r="M174" s="266">
        <v>8.82</v>
      </c>
      <c r="N174" s="28">
        <v>3.1579999999999999</v>
      </c>
      <c r="O174" s="28"/>
      <c r="P174" s="37"/>
      <c r="Q174" s="37"/>
      <c r="R174" s="37"/>
      <c r="S174" s="28">
        <f t="shared" si="4"/>
        <v>5.9889999999999999</v>
      </c>
      <c r="T174" s="28">
        <f t="shared" si="5"/>
        <v>5.9889999999999999</v>
      </c>
      <c r="U174" s="266" t="b">
        <v>1</v>
      </c>
      <c r="V174" s="266" t="b">
        <v>0</v>
      </c>
      <c r="Z174"/>
    </row>
    <row r="175" spans="1:26" ht="27" customHeight="1">
      <c r="A175" s="27" t="s">
        <v>615</v>
      </c>
      <c r="B175" s="257" t="s">
        <v>1558</v>
      </c>
      <c r="C175" s="252" t="s">
        <v>3365</v>
      </c>
      <c r="D175" s="250" t="s">
        <v>621</v>
      </c>
      <c r="E175" s="250" t="s">
        <v>2754</v>
      </c>
      <c r="F175" s="251">
        <v>40814</v>
      </c>
      <c r="G175" s="188" t="s">
        <v>3710</v>
      </c>
      <c r="H175" s="257"/>
      <c r="I175" s="257"/>
      <c r="J175" s="257"/>
      <c r="K175" s="27" t="s">
        <v>1089</v>
      </c>
      <c r="L175" s="58">
        <v>15</v>
      </c>
      <c r="M175" s="58">
        <v>25.471</v>
      </c>
      <c r="N175" s="130">
        <v>29.181999999999999</v>
      </c>
      <c r="O175" s="47">
        <v>28.338000000000001</v>
      </c>
      <c r="P175" s="29">
        <v>29.946000000000002</v>
      </c>
      <c r="Q175" s="28">
        <v>6.3707500000000001</v>
      </c>
      <c r="R175" s="28" t="s">
        <v>115</v>
      </c>
      <c r="S175" s="28">
        <f t="shared" si="4"/>
        <v>23.861550000000001</v>
      </c>
      <c r="T175" s="28">
        <f t="shared" si="5"/>
        <v>23.861550000000001</v>
      </c>
      <c r="U175" s="266" t="b">
        <v>1</v>
      </c>
      <c r="V175" s="266" t="b">
        <v>0</v>
      </c>
      <c r="Z175"/>
    </row>
    <row r="176" spans="1:26" ht="27" customHeight="1">
      <c r="A176" s="252"/>
      <c r="B176" s="252" t="s">
        <v>1830</v>
      </c>
      <c r="C176" s="257"/>
      <c r="D176" s="48" t="s">
        <v>1358</v>
      </c>
      <c r="E176" s="48" t="s">
        <v>2344</v>
      </c>
      <c r="F176" s="257"/>
      <c r="G176" s="252" t="s">
        <v>2343</v>
      </c>
      <c r="H176" s="252"/>
      <c r="I176" s="252"/>
      <c r="J176" s="257"/>
      <c r="K176" s="252" t="s">
        <v>9</v>
      </c>
      <c r="L176" s="268">
        <v>36.799999999999997</v>
      </c>
      <c r="M176" s="268">
        <v>97.108860000000007</v>
      </c>
      <c r="N176" s="32">
        <v>88.036779999999993</v>
      </c>
      <c r="O176" s="32" t="s">
        <v>115</v>
      </c>
      <c r="P176" s="32" t="s">
        <v>115</v>
      </c>
      <c r="Q176" s="253" t="s">
        <v>115</v>
      </c>
      <c r="R176" s="253" t="s">
        <v>115</v>
      </c>
      <c r="S176" s="28">
        <f t="shared" si="4"/>
        <v>92.572820000000007</v>
      </c>
      <c r="T176" s="28">
        <f t="shared" si="5"/>
        <v>92.572820000000007</v>
      </c>
      <c r="U176" s="266" t="b">
        <v>1</v>
      </c>
      <c r="V176" s="266" t="b">
        <v>0</v>
      </c>
      <c r="Z176"/>
    </row>
    <row r="177" spans="1:26" ht="27" customHeight="1">
      <c r="A177" s="143" t="s">
        <v>1667</v>
      </c>
      <c r="B177" s="143" t="s">
        <v>1665</v>
      </c>
      <c r="C177" s="257" t="s">
        <v>1668</v>
      </c>
      <c r="D177" s="257" t="s">
        <v>3780</v>
      </c>
      <c r="E177" s="209" t="s">
        <v>3216</v>
      </c>
      <c r="F177" s="151">
        <v>42278</v>
      </c>
      <c r="G177" s="262" t="s">
        <v>2616</v>
      </c>
      <c r="H177" s="262"/>
      <c r="I177" s="188"/>
      <c r="J177" s="257"/>
      <c r="K177" s="257" t="s">
        <v>1089</v>
      </c>
      <c r="L177" s="261">
        <v>1.5</v>
      </c>
      <c r="M177" s="258">
        <v>0.53300000000000003</v>
      </c>
      <c r="N177" s="144" t="s">
        <v>115</v>
      </c>
      <c r="O177" s="241" t="s">
        <v>115</v>
      </c>
      <c r="P177" s="134" t="s">
        <v>115</v>
      </c>
      <c r="Q177" s="262" t="s">
        <v>115</v>
      </c>
      <c r="R177" s="264" t="s">
        <v>115</v>
      </c>
      <c r="S177" s="28">
        <f t="shared" si="4"/>
        <v>0.53300000000000003</v>
      </c>
      <c r="T177" s="28">
        <f t="shared" si="5"/>
        <v>3.4821</v>
      </c>
      <c r="U177" s="266" t="b">
        <v>1</v>
      </c>
      <c r="V177" s="266" t="b">
        <v>0</v>
      </c>
      <c r="Z177"/>
    </row>
    <row r="178" spans="1:26" ht="27" customHeight="1">
      <c r="A178" s="143" t="s">
        <v>1667</v>
      </c>
      <c r="B178" s="143" t="s">
        <v>1666</v>
      </c>
      <c r="C178" s="257" t="s">
        <v>1669</v>
      </c>
      <c r="D178" s="257" t="s">
        <v>3781</v>
      </c>
      <c r="E178" s="209" t="s">
        <v>3217</v>
      </c>
      <c r="F178" s="151">
        <v>42278</v>
      </c>
      <c r="G178" s="262" t="s">
        <v>2617</v>
      </c>
      <c r="H178" s="262"/>
      <c r="I178" s="188"/>
      <c r="J178" s="257"/>
      <c r="K178" s="257" t="s">
        <v>1089</v>
      </c>
      <c r="L178" s="261">
        <v>1.5</v>
      </c>
      <c r="M178" s="258">
        <v>0.49099999999999999</v>
      </c>
      <c r="N178" s="144" t="s">
        <v>115</v>
      </c>
      <c r="O178" s="241" t="s">
        <v>115</v>
      </c>
      <c r="P178" s="134" t="s">
        <v>115</v>
      </c>
      <c r="Q178" s="262" t="s">
        <v>115</v>
      </c>
      <c r="R178" s="264" t="s">
        <v>115</v>
      </c>
      <c r="S178" s="28">
        <f t="shared" si="4"/>
        <v>0.49099999999999999</v>
      </c>
      <c r="T178" s="28">
        <f t="shared" si="5"/>
        <v>3.4821</v>
      </c>
      <c r="U178" s="266" t="b">
        <v>1</v>
      </c>
      <c r="V178" s="266" t="b">
        <v>0</v>
      </c>
      <c r="Z178"/>
    </row>
    <row r="179" spans="1:26" ht="27" customHeight="1">
      <c r="A179" s="252" t="s">
        <v>2756</v>
      </c>
      <c r="B179" s="256" t="s">
        <v>1550</v>
      </c>
      <c r="C179" s="252" t="s">
        <v>1670</v>
      </c>
      <c r="D179" s="250" t="s">
        <v>1302</v>
      </c>
      <c r="E179" s="250" t="s">
        <v>2755</v>
      </c>
      <c r="F179" s="251">
        <v>41974</v>
      </c>
      <c r="G179" s="282" t="s">
        <v>3591</v>
      </c>
      <c r="H179" s="256"/>
      <c r="I179" s="256"/>
      <c r="J179" s="257"/>
      <c r="K179" s="257" t="s">
        <v>1089</v>
      </c>
      <c r="L179" s="258">
        <v>4</v>
      </c>
      <c r="M179" s="258">
        <v>9.4689999999999994</v>
      </c>
      <c r="N179" s="130">
        <v>0.17799999999999999</v>
      </c>
      <c r="O179" s="28" t="s">
        <v>115</v>
      </c>
      <c r="P179" s="32" t="s">
        <v>115</v>
      </c>
      <c r="Q179" s="253" t="s">
        <v>115</v>
      </c>
      <c r="R179" s="253" t="s">
        <v>115</v>
      </c>
      <c r="S179" s="28">
        <f t="shared" si="4"/>
        <v>4.8235000000000001</v>
      </c>
      <c r="T179" s="28">
        <f t="shared" si="5"/>
        <v>4.8235000000000001</v>
      </c>
      <c r="U179" s="266" t="b">
        <v>1</v>
      </c>
      <c r="V179" s="266" t="b">
        <v>0</v>
      </c>
      <c r="Z179"/>
    </row>
    <row r="180" spans="1:26" ht="27" customHeight="1">
      <c r="A180" s="252"/>
      <c r="B180" s="252" t="s">
        <v>1831</v>
      </c>
      <c r="C180" s="257" t="s">
        <v>1945</v>
      </c>
      <c r="D180" s="48" t="s">
        <v>1436</v>
      </c>
      <c r="E180" s="48" t="s">
        <v>3489</v>
      </c>
      <c r="F180" s="257"/>
      <c r="G180" s="252"/>
      <c r="H180" s="252"/>
      <c r="I180" s="252"/>
      <c r="J180" s="257"/>
      <c r="K180" s="252" t="s">
        <v>9</v>
      </c>
      <c r="L180" s="268">
        <v>6.5</v>
      </c>
      <c r="M180" s="268">
        <v>18.469900000000003</v>
      </c>
      <c r="N180" s="32">
        <v>20.071830000000002</v>
      </c>
      <c r="O180" s="32" t="s">
        <v>115</v>
      </c>
      <c r="P180" s="32" t="s">
        <v>115</v>
      </c>
      <c r="Q180" s="253" t="s">
        <v>115</v>
      </c>
      <c r="R180" s="253" t="s">
        <v>115</v>
      </c>
      <c r="S180" s="28">
        <f t="shared" si="4"/>
        <v>19.270865000000001</v>
      </c>
      <c r="T180" s="28">
        <f t="shared" si="5"/>
        <v>19.270865000000001</v>
      </c>
      <c r="U180" s="266" t="b">
        <v>1</v>
      </c>
      <c r="V180" s="266" t="b">
        <v>0</v>
      </c>
      <c r="Z180"/>
    </row>
    <row r="181" spans="1:26" ht="27" customHeight="1">
      <c r="A181" s="27" t="s">
        <v>521</v>
      </c>
      <c r="B181" s="27" t="s">
        <v>522</v>
      </c>
      <c r="C181" s="252" t="s">
        <v>3300</v>
      </c>
      <c r="D181" s="29" t="s">
        <v>748</v>
      </c>
      <c r="E181" s="29" t="s">
        <v>2757</v>
      </c>
      <c r="F181" s="251"/>
      <c r="G181" s="281" t="s">
        <v>3733</v>
      </c>
      <c r="H181" s="27"/>
      <c r="I181" s="27"/>
      <c r="J181" s="257"/>
      <c r="K181" s="27" t="s">
        <v>1177</v>
      </c>
      <c r="L181" s="58">
        <v>4.5999999999999996</v>
      </c>
      <c r="M181" s="58">
        <v>36.54</v>
      </c>
      <c r="N181" s="130">
        <v>38.545999999999999</v>
      </c>
      <c r="O181" s="28">
        <v>37.700000000000003</v>
      </c>
      <c r="P181" s="29">
        <v>37.5</v>
      </c>
      <c r="Q181" s="28">
        <v>35.037999999999997</v>
      </c>
      <c r="R181" s="28">
        <v>36.177</v>
      </c>
      <c r="S181" s="28">
        <f t="shared" si="4"/>
        <v>36.916833333333336</v>
      </c>
      <c r="T181" s="28">
        <f t="shared" si="5"/>
        <v>36.916833333333336</v>
      </c>
      <c r="U181" s="266" t="b">
        <v>1</v>
      </c>
      <c r="V181" s="266" t="b">
        <v>0</v>
      </c>
      <c r="Z181"/>
    </row>
    <row r="182" spans="1:26" ht="27" customHeight="1">
      <c r="A182" s="252" t="s">
        <v>966</v>
      </c>
      <c r="B182" s="257" t="s">
        <v>1004</v>
      </c>
      <c r="C182" s="257" t="s">
        <v>3366</v>
      </c>
      <c r="D182" s="250" t="s">
        <v>686</v>
      </c>
      <c r="E182" s="252" t="s">
        <v>2758</v>
      </c>
      <c r="F182" s="137" t="s">
        <v>1093</v>
      </c>
      <c r="G182" s="188" t="s">
        <v>3715</v>
      </c>
      <c r="H182" s="257"/>
      <c r="I182" s="257"/>
      <c r="J182" s="257"/>
      <c r="K182" s="27" t="s">
        <v>1089</v>
      </c>
      <c r="L182" s="268">
        <v>20</v>
      </c>
      <c r="M182" s="268">
        <v>43.226999999999997</v>
      </c>
      <c r="N182" s="130">
        <v>47.645000000000003</v>
      </c>
      <c r="O182" s="28">
        <v>26.440049999999999</v>
      </c>
      <c r="P182" s="29" t="s">
        <v>115</v>
      </c>
      <c r="Q182" s="29" t="s">
        <v>115</v>
      </c>
      <c r="R182" s="29" t="s">
        <v>115</v>
      </c>
      <c r="S182" s="28">
        <f t="shared" si="4"/>
        <v>39.104016666666666</v>
      </c>
      <c r="T182" s="28">
        <f t="shared" si="5"/>
        <v>39.104016666666666</v>
      </c>
      <c r="U182" s="266" t="b">
        <v>1</v>
      </c>
      <c r="V182" s="266" t="b">
        <v>0</v>
      </c>
      <c r="Z182"/>
    </row>
    <row r="183" spans="1:26" ht="27" customHeight="1">
      <c r="A183" s="27" t="s">
        <v>87</v>
      </c>
      <c r="B183" s="27" t="s">
        <v>88</v>
      </c>
      <c r="C183" s="252"/>
      <c r="D183" s="250" t="s">
        <v>747</v>
      </c>
      <c r="E183" s="250" t="s">
        <v>2759</v>
      </c>
      <c r="F183" s="43" t="s">
        <v>1144</v>
      </c>
      <c r="G183" s="27" t="s">
        <v>2506</v>
      </c>
      <c r="H183" s="27"/>
      <c r="I183" s="27"/>
      <c r="J183" s="257" t="s">
        <v>2760</v>
      </c>
      <c r="K183" s="27" t="s">
        <v>7</v>
      </c>
      <c r="L183" s="58">
        <v>18.5</v>
      </c>
      <c r="M183" s="58">
        <v>22.547080000000001</v>
      </c>
      <c r="N183" s="130">
        <v>79.198999999999998</v>
      </c>
      <c r="O183" s="28">
        <v>85.033000000000001</v>
      </c>
      <c r="P183" s="29">
        <v>85.013000000000005</v>
      </c>
      <c r="Q183" s="28">
        <v>86.353999999999999</v>
      </c>
      <c r="R183" s="28">
        <v>92.19</v>
      </c>
      <c r="S183" s="28">
        <f t="shared" si="4"/>
        <v>75.05601333333334</v>
      </c>
      <c r="T183" s="28">
        <f t="shared" si="5"/>
        <v>75.05601333333334</v>
      </c>
      <c r="U183" s="266" t="b">
        <v>1</v>
      </c>
      <c r="V183" s="266" t="b">
        <v>0</v>
      </c>
      <c r="Z183"/>
    </row>
    <row r="184" spans="1:26" ht="27" customHeight="1">
      <c r="A184" s="27" t="s">
        <v>87</v>
      </c>
      <c r="B184" s="27" t="s">
        <v>89</v>
      </c>
      <c r="C184" s="252"/>
      <c r="D184" s="250" t="s">
        <v>746</v>
      </c>
      <c r="E184" s="250" t="s">
        <v>2759</v>
      </c>
      <c r="F184" s="43" t="s">
        <v>1145</v>
      </c>
      <c r="G184" s="27" t="s">
        <v>2506</v>
      </c>
      <c r="H184" s="27"/>
      <c r="I184" s="27"/>
      <c r="J184" s="257" t="s">
        <v>2760</v>
      </c>
      <c r="K184" s="27" t="s">
        <v>7</v>
      </c>
      <c r="L184" s="58">
        <v>18.5</v>
      </c>
      <c r="M184" s="58">
        <v>109.625</v>
      </c>
      <c r="N184" s="130">
        <v>92.471000000000004</v>
      </c>
      <c r="O184" s="28">
        <v>103.92400000000001</v>
      </c>
      <c r="P184" s="29">
        <v>104.76900000000001</v>
      </c>
      <c r="Q184" s="28">
        <v>113.18600000000001</v>
      </c>
      <c r="R184" s="28">
        <v>150.416</v>
      </c>
      <c r="S184" s="28">
        <f t="shared" si="4"/>
        <v>112.39850000000001</v>
      </c>
      <c r="T184" s="28">
        <f t="shared" si="5"/>
        <v>112.39850000000001</v>
      </c>
      <c r="U184" s="266" t="b">
        <v>1</v>
      </c>
      <c r="V184" s="266" t="b">
        <v>0</v>
      </c>
      <c r="Z184"/>
    </row>
    <row r="185" spans="1:26" ht="27" customHeight="1">
      <c r="A185" s="252" t="s">
        <v>1024</v>
      </c>
      <c r="B185" s="256" t="s">
        <v>1116</v>
      </c>
      <c r="C185" s="252" t="s">
        <v>3336</v>
      </c>
      <c r="D185" s="261" t="s">
        <v>1025</v>
      </c>
      <c r="E185" s="261" t="s">
        <v>2999</v>
      </c>
      <c r="F185" s="138">
        <v>41608</v>
      </c>
      <c r="G185" s="282" t="s">
        <v>2201</v>
      </c>
      <c r="H185" s="256"/>
      <c r="I185" s="256"/>
      <c r="J185" s="257"/>
      <c r="K185" s="257" t="s">
        <v>1089</v>
      </c>
      <c r="L185" s="258">
        <v>250</v>
      </c>
      <c r="M185" s="258">
        <v>621.45100000000002</v>
      </c>
      <c r="N185" s="130">
        <v>576.11202000000003</v>
      </c>
      <c r="O185" s="28"/>
      <c r="P185" s="37" t="s">
        <v>115</v>
      </c>
      <c r="Q185" s="37" t="s">
        <v>115</v>
      </c>
      <c r="R185" s="37" t="s">
        <v>115</v>
      </c>
      <c r="S185" s="28">
        <f t="shared" si="4"/>
        <v>598.78151000000003</v>
      </c>
      <c r="T185" s="28">
        <f t="shared" si="5"/>
        <v>598.78151000000003</v>
      </c>
      <c r="U185" s="266" t="b">
        <v>1</v>
      </c>
      <c r="V185" s="266" t="b">
        <v>0</v>
      </c>
      <c r="Z185"/>
    </row>
    <row r="186" spans="1:26" ht="27" customHeight="1">
      <c r="A186" s="27" t="s">
        <v>98</v>
      </c>
      <c r="B186" s="27" t="s">
        <v>1461</v>
      </c>
      <c r="C186" s="252" t="s">
        <v>3440</v>
      </c>
      <c r="D186" s="250" t="s">
        <v>745</v>
      </c>
      <c r="E186" s="139" t="s">
        <v>2761</v>
      </c>
      <c r="F186" s="43" t="s">
        <v>1148</v>
      </c>
      <c r="G186" s="27"/>
      <c r="H186" s="27"/>
      <c r="I186" s="27"/>
      <c r="J186" s="257"/>
      <c r="K186" s="27" t="s">
        <v>7</v>
      </c>
      <c r="L186" s="58">
        <v>55</v>
      </c>
      <c r="M186" s="58">
        <v>462.01499999999999</v>
      </c>
      <c r="N186" s="130">
        <v>469.06400000000002</v>
      </c>
      <c r="O186" s="28">
        <v>417.94900000000001</v>
      </c>
      <c r="P186" s="29">
        <v>458.24299999999999</v>
      </c>
      <c r="Q186" s="28">
        <v>435.68299999999999</v>
      </c>
      <c r="R186" s="28">
        <v>454.62299999999999</v>
      </c>
      <c r="S186" s="28">
        <f t="shared" si="4"/>
        <v>449.59616666666665</v>
      </c>
      <c r="T186" s="28">
        <f t="shared" si="5"/>
        <v>449.59616666666665</v>
      </c>
      <c r="U186" s="266" t="b">
        <v>1</v>
      </c>
      <c r="V186" s="266" t="b">
        <v>0</v>
      </c>
      <c r="Z186"/>
    </row>
    <row r="187" spans="1:26" ht="27" customHeight="1">
      <c r="A187" s="27" t="s">
        <v>98</v>
      </c>
      <c r="B187" s="27" t="s">
        <v>1462</v>
      </c>
      <c r="C187" s="252" t="s">
        <v>3441</v>
      </c>
      <c r="D187" s="29" t="s">
        <v>744</v>
      </c>
      <c r="E187" s="37" t="s">
        <v>2762</v>
      </c>
      <c r="F187" s="43" t="s">
        <v>1146</v>
      </c>
      <c r="G187" s="27"/>
      <c r="H187" s="27"/>
      <c r="I187" s="27"/>
      <c r="J187" s="257"/>
      <c r="K187" s="27" t="s">
        <v>7</v>
      </c>
      <c r="L187" s="58">
        <v>55</v>
      </c>
      <c r="M187" s="58">
        <v>375.36708000000004</v>
      </c>
      <c r="N187" s="130">
        <v>393.76299999999998</v>
      </c>
      <c r="O187" s="28">
        <v>398.90812</v>
      </c>
      <c r="P187" s="29">
        <v>416.59959999999995</v>
      </c>
      <c r="Q187" s="28">
        <v>422.78111999999999</v>
      </c>
      <c r="R187" s="28">
        <v>391.18407999999999</v>
      </c>
      <c r="S187" s="28">
        <f t="shared" si="4"/>
        <v>399.7671666666667</v>
      </c>
      <c r="T187" s="28">
        <f t="shared" si="5"/>
        <v>399.7671666666667</v>
      </c>
      <c r="U187" s="266" t="b">
        <v>1</v>
      </c>
      <c r="V187" s="266" t="b">
        <v>0</v>
      </c>
      <c r="Z187"/>
    </row>
    <row r="188" spans="1:26" ht="27" customHeight="1">
      <c r="A188" s="254" t="s">
        <v>615</v>
      </c>
      <c r="B188" s="254" t="s">
        <v>887</v>
      </c>
      <c r="C188" s="252" t="s">
        <v>3367</v>
      </c>
      <c r="D188" s="37" t="s">
        <v>812</v>
      </c>
      <c r="E188" s="37" t="s">
        <v>2763</v>
      </c>
      <c r="F188" s="137">
        <v>41030</v>
      </c>
      <c r="G188" s="277" t="s">
        <v>3714</v>
      </c>
      <c r="H188" s="254"/>
      <c r="I188" s="254"/>
      <c r="J188" s="257"/>
      <c r="K188" s="27" t="s">
        <v>1089</v>
      </c>
      <c r="L188" s="271">
        <v>10</v>
      </c>
      <c r="M188" s="271">
        <v>21.771999999999998</v>
      </c>
      <c r="N188" s="130">
        <v>21.516999999999999</v>
      </c>
      <c r="O188" s="29">
        <v>24</v>
      </c>
      <c r="P188" s="37">
        <v>10.644</v>
      </c>
      <c r="Q188" s="37" t="s">
        <v>115</v>
      </c>
      <c r="R188" s="37" t="s">
        <v>115</v>
      </c>
      <c r="S188" s="28">
        <f t="shared" si="4"/>
        <v>19.483250000000002</v>
      </c>
      <c r="T188" s="28">
        <f t="shared" si="5"/>
        <v>19.483250000000002</v>
      </c>
      <c r="U188" s="266" t="b">
        <v>1</v>
      </c>
      <c r="V188" s="266" t="b">
        <v>0</v>
      </c>
      <c r="Z188"/>
    </row>
    <row r="189" spans="1:26" ht="27" customHeight="1">
      <c r="A189" s="254" t="s">
        <v>2016</v>
      </c>
      <c r="B189" s="254" t="s">
        <v>2017</v>
      </c>
      <c r="C189" s="252"/>
      <c r="D189" s="37" t="s">
        <v>2936</v>
      </c>
      <c r="E189" s="29" t="s">
        <v>3536</v>
      </c>
      <c r="F189" s="137"/>
      <c r="G189" s="277"/>
      <c r="H189" s="277"/>
      <c r="I189" s="254"/>
      <c r="J189" s="257"/>
      <c r="K189" s="27" t="s">
        <v>494</v>
      </c>
      <c r="L189" s="58"/>
      <c r="M189" s="58">
        <v>0</v>
      </c>
      <c r="N189" s="130">
        <v>0</v>
      </c>
      <c r="O189" s="29"/>
      <c r="P189" s="37"/>
      <c r="Q189" s="37"/>
      <c r="R189" s="37"/>
      <c r="S189" s="28">
        <f t="shared" si="4"/>
        <v>0</v>
      </c>
      <c r="T189" s="28">
        <f t="shared" si="5"/>
        <v>0</v>
      </c>
      <c r="U189" s="266" t="b">
        <v>1</v>
      </c>
      <c r="V189" s="266" t="b">
        <v>0</v>
      </c>
      <c r="Z189"/>
    </row>
    <row r="190" spans="1:26" ht="27" customHeight="1">
      <c r="A190" s="252"/>
      <c r="B190" s="252" t="s">
        <v>1832</v>
      </c>
      <c r="C190" s="257"/>
      <c r="D190" s="48" t="s">
        <v>1424</v>
      </c>
      <c r="E190" s="29" t="s">
        <v>2764</v>
      </c>
      <c r="F190" s="257"/>
      <c r="G190" s="252"/>
      <c r="H190" s="252"/>
      <c r="I190" s="252"/>
      <c r="J190" s="257" t="s">
        <v>3284</v>
      </c>
      <c r="K190" s="252" t="s">
        <v>9</v>
      </c>
      <c r="L190" s="268">
        <v>1</v>
      </c>
      <c r="M190" s="268">
        <v>3.52929</v>
      </c>
      <c r="N190" s="32">
        <v>1.5094799999999999</v>
      </c>
      <c r="O190" s="32" t="s">
        <v>115</v>
      </c>
      <c r="P190" s="32" t="s">
        <v>115</v>
      </c>
      <c r="Q190" s="253" t="s">
        <v>115</v>
      </c>
      <c r="R190" s="253" t="s">
        <v>115</v>
      </c>
      <c r="S190" s="28">
        <f t="shared" si="4"/>
        <v>0</v>
      </c>
      <c r="T190" s="28">
        <f t="shared" si="5"/>
        <v>0</v>
      </c>
      <c r="U190" s="266" t="b">
        <v>1</v>
      </c>
      <c r="V190" s="266" t="b">
        <v>1</v>
      </c>
      <c r="Z190"/>
    </row>
    <row r="191" spans="1:26" ht="27" customHeight="1">
      <c r="A191" s="252"/>
      <c r="B191" s="252" t="s">
        <v>3925</v>
      </c>
      <c r="C191" s="257"/>
      <c r="D191" s="48" t="s">
        <v>3926</v>
      </c>
      <c r="E191" s="37" t="s">
        <v>5239</v>
      </c>
      <c r="F191" s="172">
        <v>42005</v>
      </c>
      <c r="G191" s="252" t="s">
        <v>5143</v>
      </c>
      <c r="H191" s="252"/>
      <c r="I191" s="252"/>
      <c r="J191" s="257" t="s">
        <v>5144</v>
      </c>
      <c r="K191" s="252" t="s">
        <v>9</v>
      </c>
      <c r="L191" s="268">
        <v>85.9</v>
      </c>
      <c r="M191" s="268">
        <v>10.028</v>
      </c>
      <c r="N191" s="32" t="s">
        <v>115</v>
      </c>
      <c r="O191" s="32" t="s">
        <v>115</v>
      </c>
      <c r="P191" s="32" t="s">
        <v>115</v>
      </c>
      <c r="Q191" s="253" t="s">
        <v>115</v>
      </c>
      <c r="R191" s="253" t="s">
        <v>115</v>
      </c>
      <c r="S191" s="28">
        <f t="shared" si="4"/>
        <v>10.028</v>
      </c>
      <c r="T191" s="28">
        <f t="shared" si="5"/>
        <v>300.99360000000007</v>
      </c>
      <c r="U191" s="266" t="b">
        <v>1</v>
      </c>
      <c r="V191" s="266" t="b">
        <v>0</v>
      </c>
      <c r="Z191"/>
    </row>
    <row r="192" spans="1:26" ht="27" customHeight="1">
      <c r="A192" s="252" t="s">
        <v>2417</v>
      </c>
      <c r="B192" s="260" t="s">
        <v>902</v>
      </c>
      <c r="C192" s="252" t="s">
        <v>3289</v>
      </c>
      <c r="D192" s="261" t="s">
        <v>808</v>
      </c>
      <c r="E192" s="29" t="s">
        <v>3490</v>
      </c>
      <c r="F192" s="137">
        <v>41106</v>
      </c>
      <c r="G192" s="264" t="s">
        <v>2418</v>
      </c>
      <c r="H192" s="260"/>
      <c r="I192" s="260"/>
      <c r="J192" s="257"/>
      <c r="K192" s="27" t="s">
        <v>1089</v>
      </c>
      <c r="L192" s="271">
        <v>1.3</v>
      </c>
      <c r="M192" s="271">
        <v>1.883</v>
      </c>
      <c r="N192" s="130">
        <v>1.9179999999999999</v>
      </c>
      <c r="O192" s="29">
        <v>2.012</v>
      </c>
      <c r="P192" s="29">
        <v>1.7390000000000001</v>
      </c>
      <c r="Q192" s="29" t="s">
        <v>115</v>
      </c>
      <c r="R192" s="29" t="s">
        <v>115</v>
      </c>
      <c r="S192" s="28">
        <f t="shared" si="4"/>
        <v>1.8880000000000001</v>
      </c>
      <c r="T192" s="28">
        <f t="shared" si="5"/>
        <v>1.8880000000000001</v>
      </c>
      <c r="U192" s="266" t="b">
        <v>1</v>
      </c>
      <c r="V192" s="266" t="b">
        <v>0</v>
      </c>
      <c r="Z192"/>
    </row>
    <row r="193" spans="1:26" s="74" customFormat="1" ht="38.25">
      <c r="A193" s="252" t="s">
        <v>2417</v>
      </c>
      <c r="B193" s="260" t="s">
        <v>903</v>
      </c>
      <c r="C193" s="252" t="s">
        <v>3290</v>
      </c>
      <c r="D193" s="261" t="s">
        <v>809</v>
      </c>
      <c r="E193" s="29" t="s">
        <v>3491</v>
      </c>
      <c r="F193" s="137">
        <v>41106</v>
      </c>
      <c r="G193" s="264" t="s">
        <v>2443</v>
      </c>
      <c r="H193" s="260"/>
      <c r="I193" s="260"/>
      <c r="J193" s="257"/>
      <c r="K193" s="27" t="s">
        <v>1089</v>
      </c>
      <c r="L193" s="271">
        <v>1.2</v>
      </c>
      <c r="M193" s="271">
        <v>1.8320000000000001</v>
      </c>
      <c r="N193" s="130">
        <v>2.036</v>
      </c>
      <c r="O193" s="29">
        <v>2.1789999999999998</v>
      </c>
      <c r="P193" s="29">
        <v>0.71399999999999997</v>
      </c>
      <c r="Q193" s="29" t="s">
        <v>115</v>
      </c>
      <c r="R193" s="442" t="s">
        <v>115</v>
      </c>
      <c r="S193" s="28">
        <f t="shared" si="4"/>
        <v>1.6902500000000003</v>
      </c>
      <c r="T193" s="28">
        <f t="shared" si="5"/>
        <v>1.6902500000000003</v>
      </c>
      <c r="U193" s="266" t="b">
        <v>1</v>
      </c>
      <c r="V193" s="266" t="b">
        <v>0</v>
      </c>
      <c r="Z193"/>
    </row>
    <row r="194" spans="1:26" s="259" customFormat="1" ht="27" customHeight="1">
      <c r="A194" s="143" t="s">
        <v>1191</v>
      </c>
      <c r="B194" s="143" t="s">
        <v>1589</v>
      </c>
      <c r="C194" s="260" t="s">
        <v>1618</v>
      </c>
      <c r="D194" s="257" t="s">
        <v>4032</v>
      </c>
      <c r="E194" s="209" t="s">
        <v>2870</v>
      </c>
      <c r="F194" s="151">
        <v>42089</v>
      </c>
      <c r="G194" s="262" t="s">
        <v>3675</v>
      </c>
      <c r="H194" s="354"/>
      <c r="I194" s="262"/>
      <c r="J194" s="257" t="s">
        <v>2946</v>
      </c>
      <c r="K194" s="257" t="s">
        <v>1089</v>
      </c>
      <c r="L194" s="261">
        <v>1.5</v>
      </c>
      <c r="M194" s="144">
        <v>2.3278970000000001</v>
      </c>
      <c r="N194" s="241"/>
      <c r="O194" s="134"/>
      <c r="P194" s="254"/>
      <c r="Q194" s="264"/>
      <c r="R194" s="17"/>
      <c r="S194" s="28">
        <f t="shared" si="4"/>
        <v>2.3278970000000001</v>
      </c>
      <c r="T194" s="28">
        <f t="shared" si="5"/>
        <v>3.4821</v>
      </c>
      <c r="U194" s="266" t="b">
        <v>1</v>
      </c>
      <c r="V194" s="266" t="b">
        <v>0</v>
      </c>
      <c r="Z194"/>
    </row>
    <row r="195" spans="1:26" s="259" customFormat="1" ht="27" customHeight="1">
      <c r="A195" s="143" t="s">
        <v>1191</v>
      </c>
      <c r="B195" s="143" t="s">
        <v>1590</v>
      </c>
      <c r="C195" s="260" t="s">
        <v>1619</v>
      </c>
      <c r="D195" s="257" t="s">
        <v>4033</v>
      </c>
      <c r="E195" s="209" t="s">
        <v>2871</v>
      </c>
      <c r="F195" s="151">
        <v>42089</v>
      </c>
      <c r="G195" s="262" t="s">
        <v>3676</v>
      </c>
      <c r="H195" s="354"/>
      <c r="I195" s="262"/>
      <c r="J195" s="257" t="s">
        <v>2946</v>
      </c>
      <c r="K195" s="257" t="s">
        <v>1089</v>
      </c>
      <c r="L195" s="261">
        <v>1.75</v>
      </c>
      <c r="M195" s="144">
        <v>2.8449270000000002</v>
      </c>
      <c r="N195" s="241"/>
      <c r="O195" s="134"/>
      <c r="P195" s="254"/>
      <c r="Q195" s="264"/>
      <c r="R195" s="17"/>
      <c r="S195" s="28">
        <f t="shared" si="4"/>
        <v>2.8449270000000002</v>
      </c>
      <c r="T195" s="28">
        <f t="shared" si="5"/>
        <v>4.0624500000000001</v>
      </c>
      <c r="U195" s="266" t="b">
        <v>1</v>
      </c>
      <c r="V195" s="266" t="b">
        <v>0</v>
      </c>
      <c r="Z195"/>
    </row>
    <row r="196" spans="1:26" ht="27" customHeight="1">
      <c r="A196" s="27" t="s">
        <v>78</v>
      </c>
      <c r="B196" s="27" t="s">
        <v>93</v>
      </c>
      <c r="C196" s="252" t="s">
        <v>3341</v>
      </c>
      <c r="D196" s="250" t="s">
        <v>743</v>
      </c>
      <c r="E196" s="29" t="s">
        <v>3492</v>
      </c>
      <c r="F196" s="43" t="s">
        <v>1149</v>
      </c>
      <c r="G196" s="27" t="s">
        <v>2202</v>
      </c>
      <c r="H196" s="27"/>
      <c r="I196" s="27"/>
      <c r="J196" s="257"/>
      <c r="K196" s="27" t="s">
        <v>7</v>
      </c>
      <c r="L196" s="58">
        <v>124</v>
      </c>
      <c r="M196" s="58">
        <v>219.53603000000001</v>
      </c>
      <c r="N196" s="130">
        <v>295.21800000000002</v>
      </c>
      <c r="O196" s="28">
        <v>329.34800000000001</v>
      </c>
      <c r="P196" s="29">
        <v>346.995</v>
      </c>
      <c r="Q196" s="28">
        <v>309.72800000000001</v>
      </c>
      <c r="R196" s="28">
        <v>329.67599999999999</v>
      </c>
      <c r="S196" s="28">
        <f t="shared" ref="S196:S259" si="6">IF(AND(U196,NOT(V196)),IFERROR(AVERAGE(M196:R196),0),0)</f>
        <v>305.083505</v>
      </c>
      <c r="T196" s="28">
        <f t="shared" si="5"/>
        <v>305.083505</v>
      </c>
      <c r="U196" s="266" t="b">
        <v>1</v>
      </c>
      <c r="V196" s="266" t="b">
        <v>0</v>
      </c>
      <c r="Z196"/>
    </row>
    <row r="197" spans="1:26" ht="27" customHeight="1">
      <c r="A197" s="252" t="s">
        <v>526</v>
      </c>
      <c r="B197" s="257" t="s">
        <v>1487</v>
      </c>
      <c r="C197" s="252"/>
      <c r="D197" s="48" t="s">
        <v>1280</v>
      </c>
      <c r="E197" s="29" t="s">
        <v>2206</v>
      </c>
      <c r="F197" s="43">
        <v>41456</v>
      </c>
      <c r="G197" s="264" t="s">
        <v>2204</v>
      </c>
      <c r="H197" s="260"/>
      <c r="I197" s="260"/>
      <c r="J197" s="257"/>
      <c r="K197" s="257" t="s">
        <v>1089</v>
      </c>
      <c r="L197" s="266">
        <v>2.5</v>
      </c>
      <c r="M197" s="266">
        <v>4.5490000000000004</v>
      </c>
      <c r="N197" s="130">
        <v>4.4000000000000004</v>
      </c>
      <c r="O197" s="28" t="s">
        <v>115</v>
      </c>
      <c r="P197" s="37" t="s">
        <v>115</v>
      </c>
      <c r="Q197" s="37" t="s">
        <v>115</v>
      </c>
      <c r="R197" s="37" t="s">
        <v>115</v>
      </c>
      <c r="S197" s="28">
        <f t="shared" si="6"/>
        <v>4.4745000000000008</v>
      </c>
      <c r="T197" s="28">
        <f t="shared" ref="T197:T260" si="7">IF(AND(U197,NOT(V197)),IFERROR(IF(YEAR(F197)=2015,AVERAGE(N197:R197,VLOOKUP(K197,$Z$3:$AA$10,2,FALSE)*L197*8.76),AVERAGE(M197:R197)),0),0)</f>
        <v>4.4745000000000008</v>
      </c>
      <c r="U197" s="266" t="b">
        <v>1</v>
      </c>
      <c r="V197" s="266" t="b">
        <v>0</v>
      </c>
      <c r="Z197"/>
    </row>
    <row r="198" spans="1:26" ht="27" customHeight="1">
      <c r="A198" s="252" t="s">
        <v>526</v>
      </c>
      <c r="B198" s="257" t="s">
        <v>1488</v>
      </c>
      <c r="C198" s="252"/>
      <c r="D198" s="48" t="s">
        <v>1281</v>
      </c>
      <c r="E198" s="29" t="s">
        <v>2207</v>
      </c>
      <c r="F198" s="43">
        <v>41456</v>
      </c>
      <c r="G198" s="264" t="s">
        <v>2205</v>
      </c>
      <c r="H198" s="260"/>
      <c r="I198" s="260"/>
      <c r="J198" s="257"/>
      <c r="K198" s="257" t="s">
        <v>1089</v>
      </c>
      <c r="L198" s="266">
        <v>2.5</v>
      </c>
      <c r="M198" s="266">
        <v>4.6980000000000004</v>
      </c>
      <c r="N198" s="130">
        <v>4.617</v>
      </c>
      <c r="O198" s="28" t="s">
        <v>115</v>
      </c>
      <c r="P198" s="37" t="s">
        <v>115</v>
      </c>
      <c r="Q198" s="37" t="s">
        <v>115</v>
      </c>
      <c r="R198" s="37" t="s">
        <v>115</v>
      </c>
      <c r="S198" s="28">
        <f t="shared" si="6"/>
        <v>4.6575000000000006</v>
      </c>
      <c r="T198" s="28">
        <f t="shared" si="7"/>
        <v>4.6575000000000006</v>
      </c>
      <c r="U198" s="266" t="b">
        <v>1</v>
      </c>
      <c r="V198" s="266" t="b">
        <v>0</v>
      </c>
      <c r="Z198"/>
    </row>
    <row r="199" spans="1:26" ht="27" customHeight="1">
      <c r="A199" s="248" t="s">
        <v>485</v>
      </c>
      <c r="B199" s="248" t="s">
        <v>1078</v>
      </c>
      <c r="C199" s="257"/>
      <c r="D199" s="250" t="s">
        <v>800</v>
      </c>
      <c r="E199" s="29" t="s">
        <v>2765</v>
      </c>
      <c r="F199" s="251"/>
      <c r="G199" s="264" t="s">
        <v>485</v>
      </c>
      <c r="H199" s="264"/>
      <c r="I199" s="260"/>
      <c r="J199" s="257" t="s">
        <v>2946</v>
      </c>
      <c r="K199" s="248" t="s">
        <v>494</v>
      </c>
      <c r="L199" s="58"/>
      <c r="M199" s="58">
        <v>52.732999999999997</v>
      </c>
      <c r="N199" s="130">
        <v>65.171999999999997</v>
      </c>
      <c r="O199" s="28">
        <v>70.338341241004329</v>
      </c>
      <c r="P199" s="29">
        <v>75.306763071353075</v>
      </c>
      <c r="Q199" s="28">
        <v>80.219094383690219</v>
      </c>
      <c r="R199" s="28">
        <v>80.213135604637415</v>
      </c>
      <c r="S199" s="28">
        <f t="shared" si="6"/>
        <v>70.663722383447507</v>
      </c>
      <c r="T199" s="28">
        <f t="shared" si="7"/>
        <v>70.663722383447507</v>
      </c>
      <c r="U199" s="266" t="b">
        <v>1</v>
      </c>
      <c r="V199" s="266" t="b">
        <v>0</v>
      </c>
      <c r="Z199"/>
    </row>
    <row r="200" spans="1:26" s="259" customFormat="1" ht="27" customHeight="1">
      <c r="A200" s="254" t="s">
        <v>1090</v>
      </c>
      <c r="B200" s="254" t="s">
        <v>893</v>
      </c>
      <c r="C200" s="252"/>
      <c r="D200" s="261" t="s">
        <v>670</v>
      </c>
      <c r="E200" s="29" t="s">
        <v>2042</v>
      </c>
      <c r="F200" s="137">
        <v>41153</v>
      </c>
      <c r="G200" s="264"/>
      <c r="H200" s="260"/>
      <c r="I200" s="260"/>
      <c r="J200" s="257"/>
      <c r="K200" s="27" t="s">
        <v>1089</v>
      </c>
      <c r="L200" s="271">
        <v>3.42</v>
      </c>
      <c r="M200" s="271">
        <v>2.39</v>
      </c>
      <c r="N200" s="130">
        <v>2.3290000000000002</v>
      </c>
      <c r="O200" s="29">
        <v>2.5289999999999999</v>
      </c>
      <c r="P200" s="37">
        <v>0.57799999999999996</v>
      </c>
      <c r="Q200" s="37" t="s">
        <v>115</v>
      </c>
      <c r="R200" s="37" t="s">
        <v>115</v>
      </c>
      <c r="S200" s="28">
        <f t="shared" si="6"/>
        <v>1.9565000000000001</v>
      </c>
      <c r="T200" s="28">
        <f t="shared" si="7"/>
        <v>1.9565000000000001</v>
      </c>
      <c r="U200" s="266" t="b">
        <v>1</v>
      </c>
      <c r="V200" s="266" t="b">
        <v>0</v>
      </c>
      <c r="Z200"/>
    </row>
    <row r="201" spans="1:26" s="157" customFormat="1" ht="27" customHeight="1">
      <c r="A201" s="254" t="s">
        <v>1090</v>
      </c>
      <c r="B201" s="254" t="s">
        <v>894</v>
      </c>
      <c r="C201" s="252"/>
      <c r="D201" s="261" t="s">
        <v>671</v>
      </c>
      <c r="E201" s="29" t="s">
        <v>2043</v>
      </c>
      <c r="F201" s="137">
        <v>41153</v>
      </c>
      <c r="G201" s="264"/>
      <c r="H201" s="260"/>
      <c r="I201" s="260"/>
      <c r="J201" s="257"/>
      <c r="K201" s="27" t="s">
        <v>1089</v>
      </c>
      <c r="L201" s="271">
        <v>1.41</v>
      </c>
      <c r="M201" s="271">
        <v>7.07</v>
      </c>
      <c r="N201" s="130">
        <v>6.9859999999999998</v>
      </c>
      <c r="O201" s="29">
        <v>7.78</v>
      </c>
      <c r="P201" s="37">
        <v>1.742</v>
      </c>
      <c r="Q201" s="37" t="s">
        <v>115</v>
      </c>
      <c r="R201" s="37" t="s">
        <v>115</v>
      </c>
      <c r="S201" s="28">
        <f t="shared" si="6"/>
        <v>5.8945000000000007</v>
      </c>
      <c r="T201" s="28">
        <f t="shared" si="7"/>
        <v>5.8945000000000007</v>
      </c>
      <c r="U201" s="266" t="b">
        <v>1</v>
      </c>
      <c r="V201" s="266" t="b">
        <v>0</v>
      </c>
      <c r="Z201"/>
    </row>
    <row r="202" spans="1:26" s="157" customFormat="1" ht="27" customHeight="1">
      <c r="A202" s="252"/>
      <c r="B202" s="252" t="s">
        <v>1833</v>
      </c>
      <c r="C202" s="257"/>
      <c r="D202" s="48" t="s">
        <v>1334</v>
      </c>
      <c r="E202" s="29" t="s">
        <v>3493</v>
      </c>
      <c r="F202" s="257"/>
      <c r="G202" s="160" t="s">
        <v>2356</v>
      </c>
      <c r="H202" s="160"/>
      <c r="I202" s="160"/>
      <c r="J202" s="257"/>
      <c r="K202" s="252" t="s">
        <v>9</v>
      </c>
      <c r="L202" s="268">
        <v>16.5</v>
      </c>
      <c r="M202" s="268">
        <v>25.399000000000001</v>
      </c>
      <c r="N202" s="32">
        <v>26.896999999999998</v>
      </c>
      <c r="O202" s="32" t="s">
        <v>115</v>
      </c>
      <c r="P202" s="32" t="s">
        <v>115</v>
      </c>
      <c r="Q202" s="253" t="s">
        <v>115</v>
      </c>
      <c r="R202" s="253" t="s">
        <v>115</v>
      </c>
      <c r="S202" s="28">
        <f t="shared" si="6"/>
        <v>26.148</v>
      </c>
      <c r="T202" s="28">
        <f t="shared" si="7"/>
        <v>26.148</v>
      </c>
      <c r="U202" s="266" t="b">
        <v>1</v>
      </c>
      <c r="V202" s="266" t="b">
        <v>0</v>
      </c>
      <c r="Z202"/>
    </row>
    <row r="203" spans="1:26" s="157" customFormat="1" ht="27.75" customHeight="1">
      <c r="A203" s="252"/>
      <c r="B203" s="252" t="s">
        <v>1834</v>
      </c>
      <c r="C203" s="257"/>
      <c r="D203" s="48" t="s">
        <v>1408</v>
      </c>
      <c r="E203" s="181" t="s">
        <v>3494</v>
      </c>
      <c r="F203" s="257"/>
      <c r="G203" s="252"/>
      <c r="H203" s="252"/>
      <c r="I203" s="252"/>
      <c r="J203" s="257"/>
      <c r="K203" s="252" t="s">
        <v>9</v>
      </c>
      <c r="L203" s="268">
        <v>86.97</v>
      </c>
      <c r="M203" s="268">
        <v>15.548020000000001</v>
      </c>
      <c r="N203" s="32">
        <v>107.12200999999999</v>
      </c>
      <c r="O203" s="32" t="s">
        <v>115</v>
      </c>
      <c r="P203" s="32" t="s">
        <v>115</v>
      </c>
      <c r="Q203" s="253" t="s">
        <v>115</v>
      </c>
      <c r="R203" s="253" t="s">
        <v>115</v>
      </c>
      <c r="S203" s="28">
        <f t="shared" si="6"/>
        <v>61.335014999999999</v>
      </c>
      <c r="T203" s="28">
        <f t="shared" si="7"/>
        <v>61.335014999999999</v>
      </c>
      <c r="U203" s="266" t="b">
        <v>1</v>
      </c>
      <c r="V203" s="266" t="b">
        <v>0</v>
      </c>
      <c r="Z203"/>
    </row>
    <row r="204" spans="1:26" s="157" customFormat="1" ht="27.75" customHeight="1">
      <c r="A204" s="252" t="s">
        <v>1050</v>
      </c>
      <c r="B204" s="252" t="s">
        <v>1186</v>
      </c>
      <c r="C204" s="257"/>
      <c r="D204" s="48"/>
      <c r="E204" s="48" t="s">
        <v>1968</v>
      </c>
      <c r="F204" s="172">
        <v>41334</v>
      </c>
      <c r="G204" s="200" t="s">
        <v>5162</v>
      </c>
      <c r="H204" s="200">
        <v>58370</v>
      </c>
      <c r="I204" s="252"/>
      <c r="J204" s="257" t="s">
        <v>3541</v>
      </c>
      <c r="K204" s="252" t="s">
        <v>1089</v>
      </c>
      <c r="L204" s="268">
        <v>1</v>
      </c>
      <c r="M204" s="268">
        <v>2.0538400000000001</v>
      </c>
      <c r="N204" s="130">
        <v>1.919</v>
      </c>
      <c r="O204" s="32">
        <v>2.1219999999999999</v>
      </c>
      <c r="P204" s="32"/>
      <c r="Q204" s="253"/>
      <c r="R204" s="253"/>
      <c r="S204" s="28">
        <f t="shared" si="6"/>
        <v>2.031613333333333</v>
      </c>
      <c r="T204" s="28">
        <f t="shared" si="7"/>
        <v>2.031613333333333</v>
      </c>
      <c r="U204" s="266" t="b">
        <v>1</v>
      </c>
      <c r="V204" s="266" t="b">
        <v>0</v>
      </c>
      <c r="Z204"/>
    </row>
    <row r="205" spans="1:26" ht="27" customHeight="1">
      <c r="A205" s="252" t="s">
        <v>1050</v>
      </c>
      <c r="B205" s="46" t="s">
        <v>1052</v>
      </c>
      <c r="C205" s="252" t="s">
        <v>3350</v>
      </c>
      <c r="D205" s="250" t="s">
        <v>1051</v>
      </c>
      <c r="E205" s="250" t="s">
        <v>1969</v>
      </c>
      <c r="F205" s="43">
        <v>41366</v>
      </c>
      <c r="G205" s="200" t="s">
        <v>5162</v>
      </c>
      <c r="H205" s="46">
        <v>58371</v>
      </c>
      <c r="I205" s="46"/>
      <c r="J205" s="257" t="s">
        <v>3541</v>
      </c>
      <c r="K205" s="257" t="s">
        <v>1089</v>
      </c>
      <c r="L205" s="258">
        <v>2.5</v>
      </c>
      <c r="M205" s="258">
        <v>5.024</v>
      </c>
      <c r="N205" s="130">
        <v>4.843</v>
      </c>
      <c r="O205" s="136">
        <v>4.6260000000000003</v>
      </c>
      <c r="P205" s="40" t="s">
        <v>115</v>
      </c>
      <c r="Q205" s="37" t="s">
        <v>115</v>
      </c>
      <c r="R205" s="37" t="s">
        <v>115</v>
      </c>
      <c r="S205" s="28">
        <f t="shared" si="6"/>
        <v>4.8310000000000004</v>
      </c>
      <c r="T205" s="28">
        <f t="shared" si="7"/>
        <v>4.8310000000000004</v>
      </c>
      <c r="U205" s="266" t="b">
        <v>1</v>
      </c>
      <c r="V205" s="266" t="b">
        <v>0</v>
      </c>
      <c r="Z205"/>
    </row>
    <row r="206" spans="1:26" ht="27" customHeight="1">
      <c r="A206" s="252" t="s">
        <v>1082</v>
      </c>
      <c r="B206" s="257" t="s">
        <v>976</v>
      </c>
      <c r="C206" s="252"/>
      <c r="D206" s="29" t="s">
        <v>975</v>
      </c>
      <c r="E206" s="29" t="s">
        <v>2023</v>
      </c>
      <c r="F206" s="251">
        <v>40905</v>
      </c>
      <c r="G206" s="188" t="s">
        <v>478</v>
      </c>
      <c r="H206" s="257"/>
      <c r="I206" s="257"/>
      <c r="J206" s="257"/>
      <c r="K206" s="27" t="s">
        <v>1089</v>
      </c>
      <c r="L206" s="58">
        <v>18</v>
      </c>
      <c r="M206" s="58">
        <v>35.384239999999998</v>
      </c>
      <c r="N206" s="130">
        <v>36.284089999999999</v>
      </c>
      <c r="O206" s="28">
        <v>37.676000000000002</v>
      </c>
      <c r="P206" s="29">
        <v>35.488999999999997</v>
      </c>
      <c r="Q206" s="28" t="s">
        <v>115</v>
      </c>
      <c r="R206" s="28" t="s">
        <v>115</v>
      </c>
      <c r="S206" s="28">
        <f t="shared" si="6"/>
        <v>36.208332499999997</v>
      </c>
      <c r="T206" s="28">
        <f t="shared" si="7"/>
        <v>36.208332499999997</v>
      </c>
      <c r="U206" s="266" t="b">
        <v>1</v>
      </c>
      <c r="V206" s="266" t="b">
        <v>0</v>
      </c>
      <c r="Z206"/>
    </row>
    <row r="207" spans="1:26" ht="27" customHeight="1">
      <c r="A207" s="252" t="s">
        <v>966</v>
      </c>
      <c r="B207" s="257" t="s">
        <v>694</v>
      </c>
      <c r="C207" s="252" t="s">
        <v>3368</v>
      </c>
      <c r="D207" s="139" t="s">
        <v>896</v>
      </c>
      <c r="E207" s="139" t="s">
        <v>2766</v>
      </c>
      <c r="F207" s="251">
        <v>41525</v>
      </c>
      <c r="G207" s="188" t="s">
        <v>3717</v>
      </c>
      <c r="H207" s="257"/>
      <c r="I207" s="257"/>
      <c r="J207" s="257"/>
      <c r="K207" s="27" t="s">
        <v>1089</v>
      </c>
      <c r="L207" s="268">
        <v>20</v>
      </c>
      <c r="M207" s="268">
        <v>46.155999999999999</v>
      </c>
      <c r="N207" s="130">
        <v>47.359000000000002</v>
      </c>
      <c r="O207" s="28">
        <v>11.48808</v>
      </c>
      <c r="P207" s="29" t="s">
        <v>115</v>
      </c>
      <c r="Q207" s="29" t="s">
        <v>115</v>
      </c>
      <c r="R207" s="29" t="s">
        <v>115</v>
      </c>
      <c r="S207" s="28">
        <f t="shared" si="6"/>
        <v>35.001026666666668</v>
      </c>
      <c r="T207" s="28">
        <f t="shared" si="7"/>
        <v>35.001026666666668</v>
      </c>
      <c r="U207" s="266" t="b">
        <v>1</v>
      </c>
      <c r="V207" s="266" t="b">
        <v>0</v>
      </c>
      <c r="Z207"/>
    </row>
    <row r="208" spans="1:26" ht="27" customHeight="1">
      <c r="A208" s="252" t="s">
        <v>3642</v>
      </c>
      <c r="B208" s="257" t="s">
        <v>3556</v>
      </c>
      <c r="C208" s="252"/>
      <c r="D208" s="139"/>
      <c r="E208" s="139" t="s">
        <v>3557</v>
      </c>
      <c r="F208" s="251">
        <v>41865</v>
      </c>
      <c r="G208" s="200" t="s">
        <v>3643</v>
      </c>
      <c r="H208" s="188">
        <v>59300</v>
      </c>
      <c r="I208" s="188"/>
      <c r="J208" s="134" t="s">
        <v>2946</v>
      </c>
      <c r="K208" s="27" t="s">
        <v>1089</v>
      </c>
      <c r="L208" s="268">
        <v>3</v>
      </c>
      <c r="M208" s="268">
        <v>6.05</v>
      </c>
      <c r="N208" s="130">
        <v>1.6539999999999999</v>
      </c>
      <c r="O208" s="28"/>
      <c r="P208" s="29"/>
      <c r="Q208" s="29"/>
      <c r="R208" s="29"/>
      <c r="S208" s="28">
        <f t="shared" si="6"/>
        <v>3.8519999999999999</v>
      </c>
      <c r="T208" s="28">
        <f t="shared" si="7"/>
        <v>3.8519999999999999</v>
      </c>
      <c r="U208" s="266" t="b">
        <v>1</v>
      </c>
      <c r="V208" s="266" t="b">
        <v>0</v>
      </c>
      <c r="Z208"/>
    </row>
    <row r="209" spans="1:26" ht="27" customHeight="1">
      <c r="A209" s="257" t="s">
        <v>480</v>
      </c>
      <c r="B209" s="257" t="s">
        <v>1988</v>
      </c>
      <c r="C209" s="257"/>
      <c r="D209" s="250" t="s">
        <v>2940</v>
      </c>
      <c r="E209" s="250" t="s">
        <v>1985</v>
      </c>
      <c r="F209" s="251"/>
      <c r="G209" s="188" t="s">
        <v>480</v>
      </c>
      <c r="H209" s="188"/>
      <c r="I209" s="257"/>
      <c r="J209" s="257" t="s">
        <v>2946</v>
      </c>
      <c r="K209" s="248" t="s">
        <v>494</v>
      </c>
      <c r="L209" s="58"/>
      <c r="M209" s="58">
        <v>3.252669</v>
      </c>
      <c r="N209" s="130">
        <v>92.353999999999999</v>
      </c>
      <c r="O209" s="28"/>
      <c r="P209" s="29"/>
      <c r="Q209" s="29"/>
      <c r="R209" s="29"/>
      <c r="S209" s="28">
        <f t="shared" si="6"/>
        <v>47.803334499999998</v>
      </c>
      <c r="T209" s="28">
        <f t="shared" si="7"/>
        <v>47.803334499999998</v>
      </c>
      <c r="U209" s="266" t="b">
        <v>1</v>
      </c>
      <c r="V209" s="266" t="b">
        <v>0</v>
      </c>
      <c r="Z209"/>
    </row>
    <row r="210" spans="1:26" ht="27" customHeight="1">
      <c r="A210" s="252"/>
      <c r="B210" s="252" t="s">
        <v>1835</v>
      </c>
      <c r="C210" s="257"/>
      <c r="D210" s="48" t="s">
        <v>1356</v>
      </c>
      <c r="E210" s="48" t="s">
        <v>3495</v>
      </c>
      <c r="F210" s="257"/>
      <c r="G210" s="252" t="s">
        <v>2345</v>
      </c>
      <c r="H210" s="252"/>
      <c r="I210" s="252"/>
      <c r="J210" s="257"/>
      <c r="K210" s="252" t="s">
        <v>9</v>
      </c>
      <c r="L210" s="268">
        <v>101.2</v>
      </c>
      <c r="M210" s="268">
        <v>266.26400000000001</v>
      </c>
      <c r="N210" s="32">
        <v>295.51259999999996</v>
      </c>
      <c r="O210" s="32" t="s">
        <v>115</v>
      </c>
      <c r="P210" s="32" t="s">
        <v>115</v>
      </c>
      <c r="Q210" s="253" t="s">
        <v>115</v>
      </c>
      <c r="R210" s="253" t="s">
        <v>115</v>
      </c>
      <c r="S210" s="28">
        <f t="shared" si="6"/>
        <v>280.88829999999996</v>
      </c>
      <c r="T210" s="28">
        <f t="shared" si="7"/>
        <v>280.88829999999996</v>
      </c>
      <c r="U210" s="266" t="b">
        <v>1</v>
      </c>
      <c r="V210" s="266" t="b">
        <v>0</v>
      </c>
      <c r="Z210"/>
    </row>
    <row r="211" spans="1:26" ht="27" customHeight="1">
      <c r="A211" s="10" t="s">
        <v>1481</v>
      </c>
      <c r="B211" s="256" t="s">
        <v>959</v>
      </c>
      <c r="C211" s="252" t="s">
        <v>3374</v>
      </c>
      <c r="D211" s="250" t="s">
        <v>1384</v>
      </c>
      <c r="E211" s="250" t="s">
        <v>2767</v>
      </c>
      <c r="F211" s="251">
        <v>41600</v>
      </c>
      <c r="G211" s="282"/>
      <c r="H211" s="256"/>
      <c r="I211" s="256"/>
      <c r="J211" s="257"/>
      <c r="K211" s="27" t="s">
        <v>2894</v>
      </c>
      <c r="L211" s="268">
        <v>1.6</v>
      </c>
      <c r="M211" s="268">
        <v>11.272</v>
      </c>
      <c r="N211" s="130">
        <v>11.523999999999999</v>
      </c>
      <c r="O211" s="29">
        <v>6.2809999999999997</v>
      </c>
      <c r="P211" s="29" t="s">
        <v>115</v>
      </c>
      <c r="Q211" s="29" t="s">
        <v>115</v>
      </c>
      <c r="R211" s="29" t="s">
        <v>115</v>
      </c>
      <c r="S211" s="28">
        <f t="shared" si="6"/>
        <v>9.6923333333333321</v>
      </c>
      <c r="T211" s="28">
        <f t="shared" si="7"/>
        <v>9.6923333333333321</v>
      </c>
      <c r="U211" s="266" t="b">
        <v>1</v>
      </c>
      <c r="V211" s="266" t="b">
        <v>0</v>
      </c>
      <c r="Z211"/>
    </row>
    <row r="212" spans="1:26" ht="27" customHeight="1">
      <c r="A212" s="257" t="s">
        <v>480</v>
      </c>
      <c r="B212" s="257" t="s">
        <v>1990</v>
      </c>
      <c r="C212" s="257"/>
      <c r="D212" s="250" t="s">
        <v>2939</v>
      </c>
      <c r="E212" s="250" t="s">
        <v>1989</v>
      </c>
      <c r="F212" s="251"/>
      <c r="G212" s="188" t="s">
        <v>480</v>
      </c>
      <c r="H212" s="188"/>
      <c r="I212" s="257"/>
      <c r="J212" s="257" t="s">
        <v>2946</v>
      </c>
      <c r="K212" s="248" t="s">
        <v>494</v>
      </c>
      <c r="L212" s="268"/>
      <c r="M212" s="268">
        <v>243.04771600000001</v>
      </c>
      <c r="N212" s="130">
        <v>502.8</v>
      </c>
      <c r="O212" s="28"/>
      <c r="P212" s="29"/>
      <c r="Q212" s="29"/>
      <c r="R212" s="29"/>
      <c r="S212" s="28">
        <f t="shared" si="6"/>
        <v>372.923858</v>
      </c>
      <c r="T212" s="28">
        <f t="shared" si="7"/>
        <v>372.923858</v>
      </c>
      <c r="U212" s="266" t="b">
        <v>1</v>
      </c>
      <c r="V212" s="266" t="b">
        <v>0</v>
      </c>
      <c r="Z212"/>
    </row>
    <row r="213" spans="1:26" ht="27" customHeight="1">
      <c r="A213" s="143" t="s">
        <v>2905</v>
      </c>
      <c r="B213" s="143" t="s">
        <v>2902</v>
      </c>
      <c r="C213" s="260"/>
      <c r="D213" s="257" t="s">
        <v>3803</v>
      </c>
      <c r="E213" s="209" t="s">
        <v>2903</v>
      </c>
      <c r="F213" s="151">
        <v>42217</v>
      </c>
      <c r="G213" s="262" t="s">
        <v>1947</v>
      </c>
      <c r="H213" s="262"/>
      <c r="I213" s="188"/>
      <c r="J213" s="257"/>
      <c r="K213" s="257" t="s">
        <v>1089</v>
      </c>
      <c r="L213" s="261">
        <v>33.299999999999997</v>
      </c>
      <c r="M213" s="258">
        <v>2.9531000000000001</v>
      </c>
      <c r="N213" s="144" t="s">
        <v>115</v>
      </c>
      <c r="O213" s="241" t="s">
        <v>115</v>
      </c>
      <c r="P213" s="134" t="s">
        <v>115</v>
      </c>
      <c r="Q213" s="253" t="s">
        <v>115</v>
      </c>
      <c r="R213" s="264" t="s">
        <v>115</v>
      </c>
      <c r="S213" s="28">
        <f t="shared" si="6"/>
        <v>2.9531000000000001</v>
      </c>
      <c r="T213" s="28">
        <f t="shared" si="7"/>
        <v>77.302620000000005</v>
      </c>
      <c r="U213" s="266" t="b">
        <v>1</v>
      </c>
      <c r="V213" s="266" t="b">
        <v>0</v>
      </c>
      <c r="Z213"/>
    </row>
    <row r="214" spans="1:26" ht="27" customHeight="1">
      <c r="A214" s="27" t="s">
        <v>78</v>
      </c>
      <c r="B214" s="27" t="s">
        <v>1463</v>
      </c>
      <c r="C214" s="252" t="s">
        <v>3313</v>
      </c>
      <c r="D214" s="250" t="s">
        <v>742</v>
      </c>
      <c r="E214" s="250" t="s">
        <v>5164</v>
      </c>
      <c r="F214" s="43" t="s">
        <v>1150</v>
      </c>
      <c r="G214" s="27" t="s">
        <v>5165</v>
      </c>
      <c r="H214" s="27"/>
      <c r="I214" s="27"/>
      <c r="J214" s="257"/>
      <c r="K214" s="27" t="s">
        <v>7</v>
      </c>
      <c r="L214" s="58">
        <v>63.5</v>
      </c>
      <c r="M214" s="58">
        <v>338.30700000000002</v>
      </c>
      <c r="N214" s="130">
        <v>265.37003000000004</v>
      </c>
      <c r="O214" s="28">
        <v>301.46371999999997</v>
      </c>
      <c r="P214" s="29">
        <v>323.99459999999999</v>
      </c>
      <c r="Q214" s="28">
        <v>332.56</v>
      </c>
      <c r="R214" s="28">
        <v>335.96211999999997</v>
      </c>
      <c r="S214" s="28">
        <f t="shared" si="6"/>
        <v>316.27624499999996</v>
      </c>
      <c r="T214" s="28">
        <f t="shared" si="7"/>
        <v>316.27624499999996</v>
      </c>
      <c r="U214" s="266" t="b">
        <v>1</v>
      </c>
      <c r="V214" s="266" t="b">
        <v>0</v>
      </c>
      <c r="Z214"/>
    </row>
    <row r="215" spans="1:26" ht="27" customHeight="1">
      <c r="A215" s="252" t="s">
        <v>1511</v>
      </c>
      <c r="B215" s="46" t="s">
        <v>1510</v>
      </c>
      <c r="C215" s="252"/>
      <c r="D215" s="48" t="s">
        <v>1401</v>
      </c>
      <c r="E215" s="48" t="s">
        <v>2768</v>
      </c>
      <c r="F215" s="43">
        <v>41752</v>
      </c>
      <c r="G215" s="243"/>
      <c r="H215" s="46"/>
      <c r="I215" s="46"/>
      <c r="J215" s="257"/>
      <c r="K215" s="257" t="s">
        <v>1089</v>
      </c>
      <c r="L215" s="266">
        <v>10</v>
      </c>
      <c r="M215" s="266">
        <v>26.463999999999999</v>
      </c>
      <c r="N215" s="130">
        <v>19.729029999999998</v>
      </c>
      <c r="O215" s="28" t="s">
        <v>115</v>
      </c>
      <c r="P215" s="37" t="s">
        <v>115</v>
      </c>
      <c r="Q215" s="37" t="s">
        <v>115</v>
      </c>
      <c r="R215" s="37" t="s">
        <v>115</v>
      </c>
      <c r="S215" s="28">
        <f t="shared" si="6"/>
        <v>23.096514999999997</v>
      </c>
      <c r="T215" s="28">
        <f t="shared" si="7"/>
        <v>23.096514999999997</v>
      </c>
      <c r="U215" s="266" t="b">
        <v>1</v>
      </c>
      <c r="V215" s="266" t="b">
        <v>0</v>
      </c>
      <c r="Z215"/>
    </row>
    <row r="216" spans="1:26" ht="27" customHeight="1">
      <c r="A216" s="261"/>
      <c r="B216" s="260" t="s">
        <v>77</v>
      </c>
      <c r="C216" s="107"/>
      <c r="D216" s="260" t="s">
        <v>741</v>
      </c>
      <c r="E216" s="107" t="s">
        <v>2987</v>
      </c>
      <c r="F216" s="156">
        <v>34486</v>
      </c>
      <c r="G216" s="257"/>
      <c r="H216" s="107"/>
      <c r="I216" s="107"/>
      <c r="J216" s="107"/>
      <c r="K216" s="252" t="s">
        <v>1089</v>
      </c>
      <c r="L216" s="261">
        <v>0.2</v>
      </c>
      <c r="M216" s="107">
        <v>0.10100000000000001</v>
      </c>
      <c r="N216" s="107">
        <v>4.0000000000000001E-3</v>
      </c>
      <c r="O216" s="107">
        <v>4.4999999999999998E-2</v>
      </c>
      <c r="P216" s="107">
        <v>0.126</v>
      </c>
      <c r="Q216" s="107">
        <v>0.34300000000000003</v>
      </c>
      <c r="R216" s="107">
        <v>0.27100000000000002</v>
      </c>
      <c r="S216" s="28">
        <f t="shared" si="6"/>
        <v>0.14833333333333334</v>
      </c>
      <c r="T216" s="28">
        <f t="shared" si="7"/>
        <v>0.14833333333333334</v>
      </c>
      <c r="U216" s="266" t="b">
        <v>1</v>
      </c>
      <c r="V216" s="266" t="b">
        <v>0</v>
      </c>
      <c r="Z216"/>
    </row>
    <row r="217" spans="1:26" ht="27" customHeight="1">
      <c r="A217" s="27" t="s">
        <v>2446</v>
      </c>
      <c r="B217" s="27" t="s">
        <v>2445</v>
      </c>
      <c r="C217" s="252"/>
      <c r="D217" s="260" t="s">
        <v>4341</v>
      </c>
      <c r="E217" s="250" t="s">
        <v>2448</v>
      </c>
      <c r="F217" s="251">
        <v>40908</v>
      </c>
      <c r="G217" s="281" t="s">
        <v>2447</v>
      </c>
      <c r="H217" s="247">
        <v>57831</v>
      </c>
      <c r="I217" s="247"/>
      <c r="J217" s="257" t="s">
        <v>2946</v>
      </c>
      <c r="K217" s="27" t="s">
        <v>1089</v>
      </c>
      <c r="L217" s="58">
        <v>1.5</v>
      </c>
      <c r="M217" s="58">
        <v>2.9926520000000001</v>
      </c>
      <c r="N217" s="130">
        <v>3.1280000000000001</v>
      </c>
      <c r="O217" s="28">
        <v>3.3620000000000001</v>
      </c>
      <c r="P217" s="29">
        <v>1.3580000000000001</v>
      </c>
      <c r="Q217" s="28"/>
      <c r="R217" s="28"/>
      <c r="S217" s="28">
        <f t="shared" si="6"/>
        <v>2.7101630000000001</v>
      </c>
      <c r="T217" s="28">
        <f t="shared" si="7"/>
        <v>2.7101630000000001</v>
      </c>
      <c r="U217" s="266" t="b">
        <v>1</v>
      </c>
      <c r="V217" s="266" t="b">
        <v>0</v>
      </c>
      <c r="Z217"/>
    </row>
    <row r="218" spans="1:26" ht="27" customHeight="1">
      <c r="A218" s="252"/>
      <c r="B218" s="252" t="s">
        <v>1836</v>
      </c>
      <c r="C218" s="257"/>
      <c r="D218" s="48" t="s">
        <v>1432</v>
      </c>
      <c r="E218" s="48"/>
      <c r="F218" s="257"/>
      <c r="G218" s="252"/>
      <c r="H218" s="252"/>
      <c r="I218" s="252"/>
      <c r="J218" s="257"/>
      <c r="K218" s="252" t="s">
        <v>9</v>
      </c>
      <c r="L218" s="268">
        <v>1.8</v>
      </c>
      <c r="M218" s="268">
        <v>2.1566700000000001</v>
      </c>
      <c r="N218" s="32">
        <v>2.5390000000000001</v>
      </c>
      <c r="O218" s="32" t="s">
        <v>115</v>
      </c>
      <c r="P218" s="32" t="s">
        <v>115</v>
      </c>
      <c r="Q218" s="253" t="s">
        <v>115</v>
      </c>
      <c r="R218" s="253" t="s">
        <v>115</v>
      </c>
      <c r="S218" s="28">
        <f t="shared" si="6"/>
        <v>2.3478349999999999</v>
      </c>
      <c r="T218" s="28">
        <f t="shared" si="7"/>
        <v>2.3478349999999999</v>
      </c>
      <c r="U218" s="266" t="b">
        <v>1</v>
      </c>
      <c r="V218" s="266" t="b">
        <v>0</v>
      </c>
      <c r="Z218"/>
    </row>
    <row r="219" spans="1:26" ht="27" customHeight="1">
      <c r="A219" s="257" t="s">
        <v>1181</v>
      </c>
      <c r="B219" s="256" t="s">
        <v>1557</v>
      </c>
      <c r="C219" s="257" t="s">
        <v>1671</v>
      </c>
      <c r="D219" s="250" t="s">
        <v>1087</v>
      </c>
      <c r="E219" s="250" t="s">
        <v>2769</v>
      </c>
      <c r="F219" s="251" t="s">
        <v>1556</v>
      </c>
      <c r="G219" s="282" t="s">
        <v>3634</v>
      </c>
      <c r="H219" s="256">
        <v>59182</v>
      </c>
      <c r="I219" s="256" t="s">
        <v>3704</v>
      </c>
      <c r="J219" s="257" t="s">
        <v>3541</v>
      </c>
      <c r="K219" s="257" t="s">
        <v>1089</v>
      </c>
      <c r="L219" s="258">
        <v>1.5</v>
      </c>
      <c r="M219" s="258">
        <v>3.331</v>
      </c>
      <c r="N219" s="130">
        <v>1.1950000000000001</v>
      </c>
      <c r="O219" s="28" t="s">
        <v>115</v>
      </c>
      <c r="P219" s="32" t="s">
        <v>115</v>
      </c>
      <c r="Q219" s="253" t="s">
        <v>115</v>
      </c>
      <c r="R219" s="253" t="s">
        <v>115</v>
      </c>
      <c r="S219" s="28">
        <f t="shared" si="6"/>
        <v>2.2629999999999999</v>
      </c>
      <c r="T219" s="28">
        <f t="shared" si="7"/>
        <v>0</v>
      </c>
      <c r="U219" s="266" t="b">
        <v>1</v>
      </c>
      <c r="V219" s="266" t="b">
        <v>0</v>
      </c>
      <c r="Z219"/>
    </row>
    <row r="220" spans="1:26" ht="27" customHeight="1">
      <c r="A220" s="252"/>
      <c r="B220" s="252" t="s">
        <v>1837</v>
      </c>
      <c r="C220" s="257"/>
      <c r="D220" s="48" t="s">
        <v>1348</v>
      </c>
      <c r="E220" s="48">
        <v>60726</v>
      </c>
      <c r="F220" s="257"/>
      <c r="G220" s="252" t="s">
        <v>478</v>
      </c>
      <c r="H220" s="252"/>
      <c r="I220" s="252"/>
      <c r="J220" s="257"/>
      <c r="K220" s="252" t="s">
        <v>9</v>
      </c>
      <c r="L220" s="268">
        <v>162</v>
      </c>
      <c r="M220" s="268">
        <v>344.61887999999999</v>
      </c>
      <c r="N220" s="32">
        <v>329.41924999999998</v>
      </c>
      <c r="O220" s="32" t="s">
        <v>115</v>
      </c>
      <c r="P220" s="32" t="s">
        <v>115</v>
      </c>
      <c r="Q220" s="253" t="s">
        <v>115</v>
      </c>
      <c r="R220" s="253" t="s">
        <v>115</v>
      </c>
      <c r="S220" s="28">
        <f t="shared" si="6"/>
        <v>337.01906499999996</v>
      </c>
      <c r="T220" s="28">
        <f t="shared" si="7"/>
        <v>337.01906499999996</v>
      </c>
      <c r="U220" s="266" t="b">
        <v>1</v>
      </c>
      <c r="V220" s="266" t="b">
        <v>0</v>
      </c>
      <c r="Z220"/>
    </row>
    <row r="221" spans="1:26" ht="27" customHeight="1">
      <c r="A221" s="252" t="s">
        <v>1486</v>
      </c>
      <c r="B221" s="46" t="s">
        <v>3885</v>
      </c>
      <c r="C221" s="252"/>
      <c r="D221" s="48" t="s">
        <v>3821</v>
      </c>
      <c r="E221" s="48" t="s">
        <v>2451</v>
      </c>
      <c r="F221" s="43">
        <v>41426</v>
      </c>
      <c r="G221" s="243" t="s">
        <v>2449</v>
      </c>
      <c r="H221" s="46"/>
      <c r="I221" s="46"/>
      <c r="J221" s="257"/>
      <c r="K221" s="257" t="s">
        <v>1089</v>
      </c>
      <c r="L221" s="266">
        <v>12</v>
      </c>
      <c r="M221" s="266">
        <v>34.143000000000001</v>
      </c>
      <c r="N221" s="130">
        <v>34.548000000000002</v>
      </c>
      <c r="O221" s="28">
        <v>18.306999999999999</v>
      </c>
      <c r="P221" s="37" t="s">
        <v>115</v>
      </c>
      <c r="Q221" s="37" t="s">
        <v>115</v>
      </c>
      <c r="R221" s="37" t="s">
        <v>115</v>
      </c>
      <c r="S221" s="28">
        <f t="shared" si="6"/>
        <v>28.999333333333336</v>
      </c>
      <c r="T221" s="28">
        <f t="shared" si="7"/>
        <v>28.999333333333336</v>
      </c>
      <c r="U221" s="266" t="b">
        <v>1</v>
      </c>
      <c r="V221" s="266" t="b">
        <v>0</v>
      </c>
      <c r="Z221"/>
    </row>
    <row r="222" spans="1:26" ht="27" customHeight="1">
      <c r="A222" s="252" t="s">
        <v>1486</v>
      </c>
      <c r="B222" s="46" t="s">
        <v>3886</v>
      </c>
      <c r="C222" s="252"/>
      <c r="D222" s="48" t="s">
        <v>3822</v>
      </c>
      <c r="E222" s="48" t="s">
        <v>2452</v>
      </c>
      <c r="F222" s="43">
        <v>41426</v>
      </c>
      <c r="G222" s="243" t="s">
        <v>2450</v>
      </c>
      <c r="H222" s="46"/>
      <c r="I222" s="46"/>
      <c r="J222" s="257"/>
      <c r="K222" s="257" t="s">
        <v>1089</v>
      </c>
      <c r="L222" s="266">
        <v>9</v>
      </c>
      <c r="M222" s="266">
        <v>25.486999999999998</v>
      </c>
      <c r="N222" s="130">
        <v>26.033000000000001</v>
      </c>
      <c r="O222" s="28">
        <v>14.22</v>
      </c>
      <c r="P222" s="37" t="s">
        <v>115</v>
      </c>
      <c r="Q222" s="37" t="s">
        <v>115</v>
      </c>
      <c r="R222" s="37" t="s">
        <v>115</v>
      </c>
      <c r="S222" s="28">
        <f t="shared" si="6"/>
        <v>21.91333333333333</v>
      </c>
      <c r="T222" s="28">
        <f t="shared" si="7"/>
        <v>21.91333333333333</v>
      </c>
      <c r="U222" s="266" t="b">
        <v>1</v>
      </c>
      <c r="V222" s="266" t="b">
        <v>0</v>
      </c>
      <c r="Z222"/>
    </row>
    <row r="223" spans="1:26" ht="27" customHeight="1">
      <c r="A223" s="27" t="s">
        <v>28</v>
      </c>
      <c r="B223" s="27" t="s">
        <v>29</v>
      </c>
      <c r="C223" s="252"/>
      <c r="D223" s="250" t="s">
        <v>740</v>
      </c>
      <c r="E223" s="250" t="s">
        <v>3496</v>
      </c>
      <c r="F223" s="251"/>
      <c r="G223" s="281" t="s">
        <v>2218</v>
      </c>
      <c r="H223" s="27"/>
      <c r="I223" s="27"/>
      <c r="J223" s="257"/>
      <c r="K223" s="252" t="s">
        <v>3</v>
      </c>
      <c r="L223" s="58">
        <v>35.5</v>
      </c>
      <c r="M223" s="58">
        <v>194.76599999999999</v>
      </c>
      <c r="N223" s="130">
        <v>189.18100000000001</v>
      </c>
      <c r="O223" s="28">
        <v>200.71201000000002</v>
      </c>
      <c r="P223" s="29">
        <v>198.50800000000001</v>
      </c>
      <c r="Q223" s="29">
        <v>160.285</v>
      </c>
      <c r="R223" s="29">
        <v>168.834</v>
      </c>
      <c r="S223" s="28">
        <f t="shared" si="6"/>
        <v>185.38100166666666</v>
      </c>
      <c r="T223" s="28">
        <f t="shared" si="7"/>
        <v>185.38100166666666</v>
      </c>
      <c r="U223" s="266" t="b">
        <v>1</v>
      </c>
      <c r="V223" s="266" t="b">
        <v>0</v>
      </c>
      <c r="Z223"/>
    </row>
    <row r="224" spans="1:26" ht="27" customHeight="1">
      <c r="A224" s="143" t="s">
        <v>1739</v>
      </c>
      <c r="B224" s="143" t="s">
        <v>1673</v>
      </c>
      <c r="C224" s="252" t="s">
        <v>1674</v>
      </c>
      <c r="D224" s="257" t="s">
        <v>3782</v>
      </c>
      <c r="E224" s="209" t="s">
        <v>2847</v>
      </c>
      <c r="F224" s="151">
        <v>42095</v>
      </c>
      <c r="G224" s="262" t="s">
        <v>2613</v>
      </c>
      <c r="H224" s="188"/>
      <c r="I224" s="188"/>
      <c r="J224" s="262" t="s">
        <v>474</v>
      </c>
      <c r="K224" s="257" t="s">
        <v>1089</v>
      </c>
      <c r="L224" s="261">
        <v>1.5</v>
      </c>
      <c r="M224" s="258">
        <v>3.101</v>
      </c>
      <c r="N224" s="144" t="s">
        <v>115</v>
      </c>
      <c r="O224" s="241" t="s">
        <v>115</v>
      </c>
      <c r="P224" s="134" t="s">
        <v>115</v>
      </c>
      <c r="Q224" s="253" t="s">
        <v>115</v>
      </c>
      <c r="R224" s="264" t="s">
        <v>115</v>
      </c>
      <c r="S224" s="28">
        <f t="shared" si="6"/>
        <v>3.101</v>
      </c>
      <c r="T224" s="28">
        <f t="shared" si="7"/>
        <v>3.4821</v>
      </c>
      <c r="U224" s="266" t="b">
        <v>1</v>
      </c>
      <c r="V224" s="266" t="b">
        <v>0</v>
      </c>
      <c r="Z224"/>
    </row>
    <row r="225" spans="1:26" s="259" customFormat="1" ht="25.5">
      <c r="A225" s="27" t="s">
        <v>2458</v>
      </c>
      <c r="B225" s="27" t="s">
        <v>2455</v>
      </c>
      <c r="C225" s="252"/>
      <c r="D225" s="250" t="s">
        <v>3691</v>
      </c>
      <c r="E225" s="250" t="s">
        <v>2457</v>
      </c>
      <c r="F225" s="251">
        <v>41548</v>
      </c>
      <c r="G225" s="281" t="s">
        <v>2456</v>
      </c>
      <c r="H225" s="247">
        <v>58452</v>
      </c>
      <c r="I225" s="247"/>
      <c r="J225" s="257" t="s">
        <v>2946</v>
      </c>
      <c r="K225" s="27" t="s">
        <v>1089</v>
      </c>
      <c r="L225" s="58">
        <v>1.5</v>
      </c>
      <c r="M225" s="58">
        <v>4.2529190000000003</v>
      </c>
      <c r="N225" s="130">
        <v>4.0460000000000003</v>
      </c>
      <c r="O225" s="28">
        <v>0.75734999999999997</v>
      </c>
      <c r="P225" s="29"/>
      <c r="Q225" s="29"/>
      <c r="R225" s="29"/>
      <c r="S225" s="28">
        <f t="shared" si="6"/>
        <v>3.018756333333334</v>
      </c>
      <c r="T225" s="28">
        <f t="shared" si="7"/>
        <v>3.018756333333334</v>
      </c>
      <c r="U225" s="266" t="b">
        <v>1</v>
      </c>
      <c r="V225" s="266" t="b">
        <v>0</v>
      </c>
      <c r="Z225"/>
    </row>
    <row r="226" spans="1:26" ht="27" customHeight="1">
      <c r="A226" s="27"/>
      <c r="B226" s="257" t="s">
        <v>936</v>
      </c>
      <c r="C226" s="252"/>
      <c r="D226" s="250" t="s">
        <v>937</v>
      </c>
      <c r="E226" s="250" t="s">
        <v>2770</v>
      </c>
      <c r="F226" s="43" t="s">
        <v>1171</v>
      </c>
      <c r="G226" s="257"/>
      <c r="H226" s="257"/>
      <c r="I226" s="257"/>
      <c r="J226" s="257" t="s">
        <v>3768</v>
      </c>
      <c r="K226" s="27" t="s">
        <v>7</v>
      </c>
      <c r="L226" s="58">
        <v>49.9</v>
      </c>
      <c r="M226" s="58">
        <v>435.255</v>
      </c>
      <c r="N226" s="130">
        <v>429.536</v>
      </c>
      <c r="O226" s="28">
        <v>386.399</v>
      </c>
      <c r="P226" s="29">
        <v>352.755</v>
      </c>
      <c r="Q226" s="28" t="s">
        <v>115</v>
      </c>
      <c r="R226" s="28" t="s">
        <v>115</v>
      </c>
      <c r="S226" s="28">
        <f t="shared" si="6"/>
        <v>400.98625000000004</v>
      </c>
      <c r="T226" s="28">
        <f t="shared" si="7"/>
        <v>400.98625000000004</v>
      </c>
      <c r="U226" s="266" t="b">
        <v>1</v>
      </c>
      <c r="V226" s="266" t="b">
        <v>0</v>
      </c>
      <c r="Z226"/>
    </row>
    <row r="227" spans="1:26" ht="27" customHeight="1">
      <c r="A227" s="54" t="s">
        <v>615</v>
      </c>
      <c r="B227" s="254" t="s">
        <v>669</v>
      </c>
      <c r="C227" s="252" t="s">
        <v>3369</v>
      </c>
      <c r="D227" s="261" t="s">
        <v>813</v>
      </c>
      <c r="E227" s="261" t="s">
        <v>2771</v>
      </c>
      <c r="F227" s="137">
        <v>41085</v>
      </c>
      <c r="G227" s="277" t="s">
        <v>3713</v>
      </c>
      <c r="H227" s="254"/>
      <c r="I227" s="254"/>
      <c r="J227" s="257"/>
      <c r="K227" s="27" t="s">
        <v>1089</v>
      </c>
      <c r="L227" s="271">
        <v>20</v>
      </c>
      <c r="M227" s="271">
        <v>42.784999999999997</v>
      </c>
      <c r="N227" s="130">
        <v>44.014000000000003</v>
      </c>
      <c r="O227" s="29">
        <v>45.055999999999997</v>
      </c>
      <c r="P227" s="37">
        <v>20.895</v>
      </c>
      <c r="Q227" s="37" t="s">
        <v>115</v>
      </c>
      <c r="R227" s="37" t="s">
        <v>115</v>
      </c>
      <c r="S227" s="28">
        <f t="shared" si="6"/>
        <v>38.187500000000007</v>
      </c>
      <c r="T227" s="28">
        <f t="shared" si="7"/>
        <v>38.187500000000007</v>
      </c>
      <c r="U227" s="266" t="b">
        <v>1</v>
      </c>
      <c r="V227" s="266" t="b">
        <v>0</v>
      </c>
      <c r="Z227"/>
    </row>
    <row r="228" spans="1:26" ht="27" customHeight="1">
      <c r="A228" s="252"/>
      <c r="B228" s="252" t="s">
        <v>1838</v>
      </c>
      <c r="C228" s="257"/>
      <c r="D228" s="48" t="s">
        <v>1425</v>
      </c>
      <c r="E228" s="48"/>
      <c r="F228" s="257"/>
      <c r="G228" s="252"/>
      <c r="H228" s="252"/>
      <c r="I228" s="252"/>
      <c r="J228" s="257" t="s">
        <v>3284</v>
      </c>
      <c r="K228" s="252" t="s">
        <v>9</v>
      </c>
      <c r="L228" s="268">
        <v>1</v>
      </c>
      <c r="M228" s="268">
        <v>0.46650000000000003</v>
      </c>
      <c r="N228" s="32">
        <v>0.38712999999999997</v>
      </c>
      <c r="O228" s="32" t="s">
        <v>115</v>
      </c>
      <c r="P228" s="32" t="s">
        <v>115</v>
      </c>
      <c r="Q228" s="253" t="s">
        <v>115</v>
      </c>
      <c r="R228" s="253" t="s">
        <v>115</v>
      </c>
      <c r="S228" s="28">
        <f t="shared" si="6"/>
        <v>0.426815</v>
      </c>
      <c r="T228" s="28">
        <f t="shared" si="7"/>
        <v>0.426815</v>
      </c>
      <c r="U228" s="266" t="b">
        <v>1</v>
      </c>
      <c r="V228" s="266" t="b">
        <v>0</v>
      </c>
      <c r="Z228"/>
    </row>
    <row r="229" spans="1:26" ht="27" customHeight="1">
      <c r="A229" s="252" t="s">
        <v>1017</v>
      </c>
      <c r="B229" s="256" t="s">
        <v>888</v>
      </c>
      <c r="C229" s="252" t="s">
        <v>3312</v>
      </c>
      <c r="D229" s="261" t="s">
        <v>1018</v>
      </c>
      <c r="E229" s="261" t="s">
        <v>3003</v>
      </c>
      <c r="F229" s="138">
        <v>41579</v>
      </c>
      <c r="G229" s="282" t="s">
        <v>2355</v>
      </c>
      <c r="H229" s="256"/>
      <c r="I229" s="256"/>
      <c r="J229" s="257"/>
      <c r="K229" s="257" t="s">
        <v>1089</v>
      </c>
      <c r="L229" s="258">
        <v>128.9</v>
      </c>
      <c r="M229" s="258">
        <v>319.81200000000001</v>
      </c>
      <c r="N229" s="130">
        <v>323.96499999999997</v>
      </c>
      <c r="O229" s="28"/>
      <c r="P229" s="37" t="s">
        <v>115</v>
      </c>
      <c r="Q229" s="37" t="s">
        <v>115</v>
      </c>
      <c r="R229" s="37" t="s">
        <v>115</v>
      </c>
      <c r="S229" s="28">
        <f t="shared" si="6"/>
        <v>321.88850000000002</v>
      </c>
      <c r="T229" s="28">
        <f t="shared" si="7"/>
        <v>321.88850000000002</v>
      </c>
      <c r="U229" s="266" t="b">
        <v>1</v>
      </c>
      <c r="V229" s="266" t="b">
        <v>0</v>
      </c>
      <c r="Z229"/>
    </row>
    <row r="230" spans="1:26" ht="27" customHeight="1">
      <c r="A230" s="143" t="s">
        <v>2848</v>
      </c>
      <c r="B230" s="143" t="s">
        <v>4034</v>
      </c>
      <c r="C230" s="252"/>
      <c r="D230" s="257" t="s">
        <v>3804</v>
      </c>
      <c r="E230" s="209" t="s">
        <v>2849</v>
      </c>
      <c r="F230" s="151">
        <v>42222</v>
      </c>
      <c r="G230" s="262" t="s">
        <v>1970</v>
      </c>
      <c r="H230" s="262"/>
      <c r="I230" s="188"/>
      <c r="J230" s="134" t="s">
        <v>2850</v>
      </c>
      <c r="K230" s="257" t="s">
        <v>1089</v>
      </c>
      <c r="L230" s="261">
        <v>20</v>
      </c>
      <c r="M230" s="144">
        <v>18.588069999999998</v>
      </c>
      <c r="N230" s="241" t="s">
        <v>115</v>
      </c>
      <c r="O230" s="32" t="s">
        <v>115</v>
      </c>
      <c r="P230" s="264" t="s">
        <v>115</v>
      </c>
      <c r="Q230" s="260" t="s">
        <v>115</v>
      </c>
      <c r="R230" s="252" t="s">
        <v>115</v>
      </c>
      <c r="S230" s="28">
        <f t="shared" si="6"/>
        <v>18.588069999999998</v>
      </c>
      <c r="T230" s="28">
        <f t="shared" si="7"/>
        <v>46.428000000000004</v>
      </c>
      <c r="U230" s="266" t="b">
        <v>1</v>
      </c>
      <c r="V230" s="266" t="b">
        <v>0</v>
      </c>
      <c r="Z230"/>
    </row>
    <row r="231" spans="1:26" ht="27" customHeight="1">
      <c r="A231" s="252" t="s">
        <v>1001</v>
      </c>
      <c r="B231" s="257" t="s">
        <v>1003</v>
      </c>
      <c r="C231" s="252" t="s">
        <v>3299</v>
      </c>
      <c r="D231" s="139" t="s">
        <v>1002</v>
      </c>
      <c r="E231" s="139" t="s">
        <v>3498</v>
      </c>
      <c r="F231" s="137">
        <v>41030</v>
      </c>
      <c r="G231" s="188" t="s">
        <v>2460</v>
      </c>
      <c r="H231" s="257"/>
      <c r="I231" s="257"/>
      <c r="J231" s="257"/>
      <c r="K231" s="27" t="s">
        <v>1089</v>
      </c>
      <c r="L231" s="268">
        <v>1.5</v>
      </c>
      <c r="M231" s="268">
        <v>3.1829999999999998</v>
      </c>
      <c r="N231" s="130">
        <v>3.246</v>
      </c>
      <c r="O231" s="29">
        <v>3.2930000000000001</v>
      </c>
      <c r="P231" s="29">
        <v>2.2189999999999999</v>
      </c>
      <c r="Q231" s="29" t="s">
        <v>115</v>
      </c>
      <c r="R231" s="29" t="s">
        <v>115</v>
      </c>
      <c r="S231" s="28">
        <f t="shared" si="6"/>
        <v>2.9852500000000002</v>
      </c>
      <c r="T231" s="28">
        <f t="shared" si="7"/>
        <v>2.9852500000000002</v>
      </c>
      <c r="U231" s="266" t="b">
        <v>1</v>
      </c>
      <c r="V231" s="266" t="b">
        <v>0</v>
      </c>
      <c r="Z231"/>
    </row>
    <row r="232" spans="1:26" ht="27" customHeight="1">
      <c r="A232" s="143" t="s">
        <v>1088</v>
      </c>
      <c r="B232" s="46" t="s">
        <v>2851</v>
      </c>
      <c r="C232" s="257"/>
      <c r="D232" s="48" t="s">
        <v>3545</v>
      </c>
      <c r="E232" s="48" t="s">
        <v>2852</v>
      </c>
      <c r="F232" s="43">
        <v>41636</v>
      </c>
      <c r="G232" s="243" t="s">
        <v>3604</v>
      </c>
      <c r="H232" s="46">
        <v>58609</v>
      </c>
      <c r="I232" s="46"/>
      <c r="J232" s="257" t="s">
        <v>3541</v>
      </c>
      <c r="K232" s="257" t="s">
        <v>1089</v>
      </c>
      <c r="L232" s="266">
        <v>1.5</v>
      </c>
      <c r="M232" s="266">
        <v>4.274</v>
      </c>
      <c r="N232" s="130">
        <v>4.016</v>
      </c>
      <c r="O232" s="28" t="s">
        <v>115</v>
      </c>
      <c r="P232" s="29" t="s">
        <v>115</v>
      </c>
      <c r="Q232" s="29" t="s">
        <v>115</v>
      </c>
      <c r="R232" s="29" t="s">
        <v>115</v>
      </c>
      <c r="S232" s="28">
        <f t="shared" si="6"/>
        <v>4.1449999999999996</v>
      </c>
      <c r="T232" s="28">
        <f t="shared" si="7"/>
        <v>4.1449999999999996</v>
      </c>
      <c r="U232" s="266" t="b">
        <v>1</v>
      </c>
      <c r="V232" s="266" t="b">
        <v>0</v>
      </c>
      <c r="Z232"/>
    </row>
    <row r="233" spans="1:26" ht="27" customHeight="1">
      <c r="A233" s="252"/>
      <c r="B233" s="46" t="s">
        <v>2775</v>
      </c>
      <c r="C233" s="252"/>
      <c r="D233" s="48" t="s">
        <v>1129</v>
      </c>
      <c r="E233" s="48" t="s">
        <v>2777</v>
      </c>
      <c r="F233" s="43">
        <v>40365</v>
      </c>
      <c r="G233" s="243" t="s">
        <v>478</v>
      </c>
      <c r="H233" s="46"/>
      <c r="I233" s="46"/>
      <c r="J233" s="257"/>
      <c r="K233" s="257" t="s">
        <v>1089</v>
      </c>
      <c r="L233" s="270">
        <v>1</v>
      </c>
      <c r="M233" s="270">
        <v>1.651</v>
      </c>
      <c r="N233" s="130">
        <v>1.651</v>
      </c>
      <c r="O233" s="136">
        <v>1.651</v>
      </c>
      <c r="P233" s="37">
        <v>1.651</v>
      </c>
      <c r="Q233" s="37" t="s">
        <v>115</v>
      </c>
      <c r="R233" s="37" t="s">
        <v>115</v>
      </c>
      <c r="S233" s="28">
        <f t="shared" si="6"/>
        <v>1.651</v>
      </c>
      <c r="T233" s="28">
        <f t="shared" si="7"/>
        <v>1.651</v>
      </c>
      <c r="U233" s="266" t="b">
        <v>1</v>
      </c>
      <c r="V233" s="266" t="b">
        <v>0</v>
      </c>
      <c r="Z233"/>
    </row>
    <row r="234" spans="1:26" ht="27" customHeight="1">
      <c r="A234" s="254"/>
      <c r="B234" s="46" t="s">
        <v>2776</v>
      </c>
      <c r="C234" s="252"/>
      <c r="D234" s="48" t="s">
        <v>1132</v>
      </c>
      <c r="E234" s="48" t="s">
        <v>2778</v>
      </c>
      <c r="F234" s="43">
        <v>41176</v>
      </c>
      <c r="G234" s="243" t="s">
        <v>478</v>
      </c>
      <c r="H234" s="46"/>
      <c r="I234" s="46"/>
      <c r="J234" s="257"/>
      <c r="K234" s="257" t="s">
        <v>1089</v>
      </c>
      <c r="L234" s="266">
        <v>1</v>
      </c>
      <c r="M234" s="266">
        <v>1.653</v>
      </c>
      <c r="N234" s="130">
        <v>1.653</v>
      </c>
      <c r="O234" s="136">
        <v>1.653</v>
      </c>
      <c r="P234" s="37">
        <v>1.653</v>
      </c>
      <c r="Q234" s="37" t="s">
        <v>115</v>
      </c>
      <c r="R234" s="37" t="s">
        <v>115</v>
      </c>
      <c r="S234" s="28">
        <f t="shared" si="6"/>
        <v>1.653</v>
      </c>
      <c r="T234" s="28">
        <f t="shared" si="7"/>
        <v>1.653</v>
      </c>
      <c r="U234" s="266" t="b">
        <v>1</v>
      </c>
      <c r="V234" s="266" t="b">
        <v>0</v>
      </c>
      <c r="Z234"/>
    </row>
    <row r="235" spans="1:26" ht="27" customHeight="1">
      <c r="A235" s="252"/>
      <c r="B235" s="252" t="s">
        <v>1839</v>
      </c>
      <c r="C235" s="257"/>
      <c r="D235" s="48" t="s">
        <v>1347</v>
      </c>
      <c r="E235" s="48" t="s">
        <v>3497</v>
      </c>
      <c r="F235" s="257"/>
      <c r="G235" s="252" t="s">
        <v>2222</v>
      </c>
      <c r="H235" s="252"/>
      <c r="I235" s="252"/>
      <c r="J235" s="257"/>
      <c r="K235" s="252" t="s">
        <v>9</v>
      </c>
      <c r="L235" s="268">
        <v>18.5</v>
      </c>
      <c r="M235" s="268">
        <v>27.015180000000001</v>
      </c>
      <c r="N235" s="32">
        <v>24.13213</v>
      </c>
      <c r="O235" s="32" t="s">
        <v>115</v>
      </c>
      <c r="P235" s="32" t="s">
        <v>115</v>
      </c>
      <c r="Q235" s="253" t="s">
        <v>115</v>
      </c>
      <c r="R235" s="253" t="s">
        <v>115</v>
      </c>
      <c r="S235" s="28">
        <f t="shared" si="6"/>
        <v>25.573655000000002</v>
      </c>
      <c r="T235" s="28">
        <f t="shared" si="7"/>
        <v>25.573655000000002</v>
      </c>
      <c r="U235" s="266" t="b">
        <v>1</v>
      </c>
      <c r="V235" s="266" t="b">
        <v>0</v>
      </c>
      <c r="Z235"/>
    </row>
    <row r="236" spans="1:26" s="259" customFormat="1" ht="27" customHeight="1">
      <c r="A236" s="143" t="s">
        <v>1753</v>
      </c>
      <c r="B236" s="143" t="s">
        <v>3548</v>
      </c>
      <c r="C236" s="257"/>
      <c r="D236" s="257"/>
      <c r="E236" s="254" t="s">
        <v>3549</v>
      </c>
      <c r="F236" s="217">
        <v>41656</v>
      </c>
      <c r="G236" s="241" t="s">
        <v>3739</v>
      </c>
      <c r="H236" s="246">
        <v>58307</v>
      </c>
      <c r="I236" s="246"/>
      <c r="J236" s="257" t="s">
        <v>2946</v>
      </c>
      <c r="K236" s="257" t="s">
        <v>1089</v>
      </c>
      <c r="L236" s="258">
        <v>3.5</v>
      </c>
      <c r="M236" s="258">
        <v>6.9</v>
      </c>
      <c r="N236" s="252">
        <v>6.7220000000000004</v>
      </c>
      <c r="O236" s="260"/>
      <c r="P236" s="252"/>
      <c r="Q236" s="252"/>
      <c r="R236" s="252"/>
      <c r="S236" s="28">
        <f t="shared" si="6"/>
        <v>6.8109999999999999</v>
      </c>
      <c r="T236" s="28">
        <f t="shared" si="7"/>
        <v>6.8109999999999999</v>
      </c>
      <c r="U236" s="266" t="b">
        <v>1</v>
      </c>
      <c r="V236" s="266" t="b">
        <v>0</v>
      </c>
      <c r="Z236"/>
    </row>
    <row r="237" spans="1:26" ht="27" customHeight="1">
      <c r="A237" s="27" t="s">
        <v>938</v>
      </c>
      <c r="B237" s="257" t="s">
        <v>2593</v>
      </c>
      <c r="C237" s="252" t="s">
        <v>3389</v>
      </c>
      <c r="D237" s="250" t="s">
        <v>961</v>
      </c>
      <c r="E237" s="250" t="s">
        <v>3499</v>
      </c>
      <c r="F237" s="251">
        <v>41541</v>
      </c>
      <c r="G237" s="188" t="s">
        <v>2223</v>
      </c>
      <c r="H237" s="257"/>
      <c r="I237" s="257"/>
      <c r="J237" s="257"/>
      <c r="K237" s="27" t="s">
        <v>1079</v>
      </c>
      <c r="L237" s="258">
        <v>126</v>
      </c>
      <c r="M237" s="258">
        <v>209.726</v>
      </c>
      <c r="N237" s="130">
        <v>151.97300000000001</v>
      </c>
      <c r="O237" s="28"/>
      <c r="P237" s="29" t="s">
        <v>115</v>
      </c>
      <c r="Q237" s="28" t="s">
        <v>115</v>
      </c>
      <c r="R237" s="28" t="s">
        <v>115</v>
      </c>
      <c r="S237" s="28">
        <f t="shared" si="6"/>
        <v>180.84950000000001</v>
      </c>
      <c r="T237" s="28">
        <f t="shared" si="7"/>
        <v>180.84950000000001</v>
      </c>
      <c r="U237" s="266" t="b">
        <v>1</v>
      </c>
      <c r="V237" s="266" t="b">
        <v>0</v>
      </c>
      <c r="Z237"/>
    </row>
    <row r="238" spans="1:26" ht="27" customHeight="1">
      <c r="A238" s="27" t="s">
        <v>2780</v>
      </c>
      <c r="B238" s="257" t="s">
        <v>963</v>
      </c>
      <c r="C238" s="252" t="s">
        <v>3390</v>
      </c>
      <c r="D238" s="250" t="s">
        <v>962</v>
      </c>
      <c r="E238" s="250" t="s">
        <v>2779</v>
      </c>
      <c r="F238" s="251">
        <v>41638</v>
      </c>
      <c r="G238" s="188" t="s">
        <v>3586</v>
      </c>
      <c r="H238" s="257"/>
      <c r="I238" s="257"/>
      <c r="J238" s="257"/>
      <c r="K238" s="27" t="s">
        <v>1079</v>
      </c>
      <c r="L238" s="258">
        <v>133</v>
      </c>
      <c r="M238" s="258">
        <v>218.74100000000001</v>
      </c>
      <c r="N238" s="130">
        <v>128.24799999999999</v>
      </c>
      <c r="O238" s="28"/>
      <c r="P238" s="29" t="s">
        <v>115</v>
      </c>
      <c r="Q238" s="28" t="s">
        <v>115</v>
      </c>
      <c r="R238" s="28" t="s">
        <v>115</v>
      </c>
      <c r="S238" s="28">
        <f t="shared" si="6"/>
        <v>173.49450000000002</v>
      </c>
      <c r="T238" s="28">
        <f t="shared" si="7"/>
        <v>173.49450000000002</v>
      </c>
      <c r="U238" s="266" t="b">
        <v>1</v>
      </c>
      <c r="V238" s="266" t="b">
        <v>0</v>
      </c>
      <c r="Z238"/>
    </row>
    <row r="239" spans="1:26" ht="27" customHeight="1">
      <c r="A239" s="27" t="s">
        <v>938</v>
      </c>
      <c r="B239" s="257" t="s">
        <v>965</v>
      </c>
      <c r="C239" s="252" t="s">
        <v>3391</v>
      </c>
      <c r="D239" s="250" t="s">
        <v>964</v>
      </c>
      <c r="E239" s="250" t="s">
        <v>3500</v>
      </c>
      <c r="F239" s="251">
        <v>41639</v>
      </c>
      <c r="G239" s="188" t="s">
        <v>2224</v>
      </c>
      <c r="H239" s="257"/>
      <c r="I239" s="257"/>
      <c r="J239" s="257"/>
      <c r="K239" s="27" t="s">
        <v>1079</v>
      </c>
      <c r="L239" s="258">
        <v>133</v>
      </c>
      <c r="M239" s="258">
        <v>223.99</v>
      </c>
      <c r="N239" s="130">
        <v>137.846</v>
      </c>
      <c r="O239" s="28"/>
      <c r="P239" s="29" t="s">
        <v>115</v>
      </c>
      <c r="Q239" s="28" t="s">
        <v>115</v>
      </c>
      <c r="R239" s="28" t="s">
        <v>115</v>
      </c>
      <c r="S239" s="28">
        <f t="shared" si="6"/>
        <v>180.91800000000001</v>
      </c>
      <c r="T239" s="28">
        <f t="shared" si="7"/>
        <v>180.91800000000001</v>
      </c>
      <c r="U239" s="266" t="b">
        <v>1</v>
      </c>
      <c r="V239" s="266" t="b">
        <v>0</v>
      </c>
      <c r="Z239"/>
    </row>
    <row r="240" spans="1:26" ht="27" customHeight="1">
      <c r="A240" s="252" t="s">
        <v>2996</v>
      </c>
      <c r="B240" s="46" t="s">
        <v>2997</v>
      </c>
      <c r="C240" s="252" t="s">
        <v>1700</v>
      </c>
      <c r="D240" s="48" t="s">
        <v>1053</v>
      </c>
      <c r="E240" s="48" t="s">
        <v>2954</v>
      </c>
      <c r="F240" s="43" t="s">
        <v>1124</v>
      </c>
      <c r="G240" s="243" t="s">
        <v>3737</v>
      </c>
      <c r="H240" s="46">
        <v>56917</v>
      </c>
      <c r="I240" s="46"/>
      <c r="J240" s="257"/>
      <c r="K240" s="257" t="s">
        <v>1089</v>
      </c>
      <c r="L240" s="266">
        <v>200</v>
      </c>
      <c r="M240" s="266">
        <v>539.173</v>
      </c>
      <c r="N240" s="130">
        <v>500.54</v>
      </c>
      <c r="O240" s="28"/>
      <c r="P240" s="37" t="s">
        <v>115</v>
      </c>
      <c r="Q240" s="37" t="s">
        <v>115</v>
      </c>
      <c r="R240" s="37" t="s">
        <v>115</v>
      </c>
      <c r="S240" s="28">
        <f t="shared" si="6"/>
        <v>519.85649999999998</v>
      </c>
      <c r="T240" s="28">
        <f t="shared" si="7"/>
        <v>519.85649999999998</v>
      </c>
      <c r="U240" s="266" t="b">
        <v>1</v>
      </c>
      <c r="V240" s="266" t="b">
        <v>0</v>
      </c>
      <c r="Z240"/>
    </row>
    <row r="241" spans="1:26" ht="27" customHeight="1">
      <c r="A241" s="252" t="s">
        <v>1975</v>
      </c>
      <c r="B241" s="257" t="s">
        <v>1976</v>
      </c>
      <c r="C241" s="252"/>
      <c r="D241" s="250" t="s">
        <v>892</v>
      </c>
      <c r="E241" s="250" t="s">
        <v>2782</v>
      </c>
      <c r="F241" s="49">
        <v>41061</v>
      </c>
      <c r="G241" s="188" t="s">
        <v>1970</v>
      </c>
      <c r="H241" s="257">
        <v>58062</v>
      </c>
      <c r="I241" s="257"/>
      <c r="J241" s="257"/>
      <c r="K241" s="27" t="s">
        <v>1089</v>
      </c>
      <c r="L241" s="266">
        <v>23</v>
      </c>
      <c r="M241" s="266">
        <v>52.613999999999997</v>
      </c>
      <c r="N241" s="130">
        <v>52.445999999999998</v>
      </c>
      <c r="O241" s="47">
        <v>54.527999999999999</v>
      </c>
      <c r="P241" s="47">
        <v>28.8215</v>
      </c>
      <c r="Q241" s="31" t="s">
        <v>115</v>
      </c>
      <c r="R241" s="29" t="s">
        <v>115</v>
      </c>
      <c r="S241" s="28">
        <f t="shared" si="6"/>
        <v>47.102374999999995</v>
      </c>
      <c r="T241" s="28">
        <f t="shared" si="7"/>
        <v>47.102374999999995</v>
      </c>
      <c r="U241" s="266" t="b">
        <v>1</v>
      </c>
      <c r="V241" s="266" t="b">
        <v>0</v>
      </c>
      <c r="Z241"/>
    </row>
    <row r="242" spans="1:26" ht="27" customHeight="1">
      <c r="A242" s="27" t="s">
        <v>83</v>
      </c>
      <c r="B242" s="27" t="s">
        <v>84</v>
      </c>
      <c r="C242" s="252" t="s">
        <v>3313</v>
      </c>
      <c r="D242" s="250" t="s">
        <v>739</v>
      </c>
      <c r="E242" s="250" t="s">
        <v>3501</v>
      </c>
      <c r="F242" s="43" t="s">
        <v>1141</v>
      </c>
      <c r="G242" s="27" t="s">
        <v>2440</v>
      </c>
      <c r="H242" s="27"/>
      <c r="I242" s="27"/>
      <c r="J242" s="257" t="s">
        <v>5170</v>
      </c>
      <c r="K242" s="27" t="s">
        <v>7</v>
      </c>
      <c r="L242" s="58">
        <v>35.799999999999997</v>
      </c>
      <c r="M242" s="58">
        <v>341.53100000000001</v>
      </c>
      <c r="N242" s="130">
        <v>330.78699999999998</v>
      </c>
      <c r="O242" s="28">
        <v>312.89499999999998</v>
      </c>
      <c r="P242" s="29">
        <v>340.78199999999998</v>
      </c>
      <c r="Q242" s="28">
        <v>343.74900000000002</v>
      </c>
      <c r="R242" s="28">
        <v>328.50400000000002</v>
      </c>
      <c r="S242" s="28">
        <f t="shared" si="6"/>
        <v>333.04133333333334</v>
      </c>
      <c r="T242" s="28">
        <f t="shared" si="7"/>
        <v>333.04133333333334</v>
      </c>
      <c r="U242" s="266" t="b">
        <v>1</v>
      </c>
      <c r="V242" s="266" t="b">
        <v>0</v>
      </c>
      <c r="Z242"/>
    </row>
    <row r="243" spans="1:26" ht="27" customHeight="1">
      <c r="A243" s="27"/>
      <c r="B243" s="27" t="s">
        <v>94</v>
      </c>
      <c r="C243" s="252" t="s">
        <v>3313</v>
      </c>
      <c r="D243" s="250" t="s">
        <v>738</v>
      </c>
      <c r="E243" s="250" t="s">
        <v>3502</v>
      </c>
      <c r="F243" s="43" t="s">
        <v>1141</v>
      </c>
      <c r="G243" s="27" t="s">
        <v>2439</v>
      </c>
      <c r="H243" s="27"/>
      <c r="I243" s="27"/>
      <c r="J243" s="257" t="s">
        <v>5170</v>
      </c>
      <c r="K243" s="27" t="s">
        <v>7</v>
      </c>
      <c r="L243" s="58">
        <v>35.799999999999997</v>
      </c>
      <c r="M243" s="58">
        <v>336.52699999999999</v>
      </c>
      <c r="N243" s="130">
        <v>345.81799999999998</v>
      </c>
      <c r="O243" s="28">
        <v>310.47699999999998</v>
      </c>
      <c r="P243" s="29">
        <v>335.96199999999999</v>
      </c>
      <c r="Q243" s="28">
        <v>347.56099999999998</v>
      </c>
      <c r="R243" s="28">
        <v>339.34300000000002</v>
      </c>
      <c r="S243" s="28">
        <f t="shared" si="6"/>
        <v>335.94800000000004</v>
      </c>
      <c r="T243" s="28">
        <f t="shared" si="7"/>
        <v>335.94800000000004</v>
      </c>
      <c r="U243" s="266" t="b">
        <v>1</v>
      </c>
      <c r="V243" s="266" t="b">
        <v>0</v>
      </c>
      <c r="Z243"/>
    </row>
    <row r="244" spans="1:26" ht="27" customHeight="1">
      <c r="A244" s="252" t="s">
        <v>1765</v>
      </c>
      <c r="B244" s="256" t="s">
        <v>1551</v>
      </c>
      <c r="C244" s="252"/>
      <c r="D244" s="250" t="s">
        <v>1304</v>
      </c>
      <c r="E244" s="250" t="s">
        <v>2453</v>
      </c>
      <c r="F244" s="251">
        <v>41642</v>
      </c>
      <c r="G244" s="282" t="s">
        <v>2419</v>
      </c>
      <c r="H244" s="256">
        <v>58582</v>
      </c>
      <c r="I244" s="256"/>
      <c r="J244" s="257" t="s">
        <v>2946</v>
      </c>
      <c r="K244" s="257" t="s">
        <v>1089</v>
      </c>
      <c r="L244" s="258">
        <v>1.5</v>
      </c>
      <c r="M244" s="258">
        <v>3.2420499999999999</v>
      </c>
      <c r="N244" s="130">
        <v>3.4470000000000001</v>
      </c>
      <c r="O244" s="28" t="s">
        <v>115</v>
      </c>
      <c r="P244" s="32" t="s">
        <v>115</v>
      </c>
      <c r="Q244" s="253" t="s">
        <v>115</v>
      </c>
      <c r="R244" s="253" t="s">
        <v>115</v>
      </c>
      <c r="S244" s="28">
        <f t="shared" si="6"/>
        <v>3.344525</v>
      </c>
      <c r="T244" s="28">
        <f t="shared" si="7"/>
        <v>3.344525</v>
      </c>
      <c r="U244" s="266" t="b">
        <v>1</v>
      </c>
      <c r="V244" s="266" t="b">
        <v>0</v>
      </c>
      <c r="Z244"/>
    </row>
    <row r="245" spans="1:26" ht="27" customHeight="1">
      <c r="A245" s="252" t="s">
        <v>1026</v>
      </c>
      <c r="B245" s="256" t="s">
        <v>1102</v>
      </c>
      <c r="C245" s="252" t="s">
        <v>3358</v>
      </c>
      <c r="D245" s="261" t="s">
        <v>1027</v>
      </c>
      <c r="E245" s="261" t="s">
        <v>2227</v>
      </c>
      <c r="F245" s="138">
        <v>41450</v>
      </c>
      <c r="G245" s="282" t="s">
        <v>2226</v>
      </c>
      <c r="H245" s="256"/>
      <c r="I245" s="256"/>
      <c r="J245" s="257"/>
      <c r="K245" s="257" t="s">
        <v>1089</v>
      </c>
      <c r="L245" s="258">
        <v>20</v>
      </c>
      <c r="M245" s="258">
        <v>52.581000000000003</v>
      </c>
      <c r="N245" s="130">
        <v>53.069000000000003</v>
      </c>
      <c r="O245" s="28">
        <v>30.76905</v>
      </c>
      <c r="P245" s="37" t="s">
        <v>115</v>
      </c>
      <c r="Q245" s="37" t="s">
        <v>115</v>
      </c>
      <c r="R245" s="37" t="s">
        <v>115</v>
      </c>
      <c r="S245" s="28">
        <f t="shared" si="6"/>
        <v>45.473016666666666</v>
      </c>
      <c r="T245" s="28">
        <f t="shared" si="7"/>
        <v>45.473016666666666</v>
      </c>
      <c r="U245" s="266" t="b">
        <v>1</v>
      </c>
      <c r="V245" s="266" t="b">
        <v>0</v>
      </c>
      <c r="Z245"/>
    </row>
    <row r="246" spans="1:26" ht="27" customHeight="1">
      <c r="A246" s="252" t="s">
        <v>1522</v>
      </c>
      <c r="B246" s="256" t="s">
        <v>1530</v>
      </c>
      <c r="C246" s="252" t="s">
        <v>1677</v>
      </c>
      <c r="D246" s="250" t="s">
        <v>1289</v>
      </c>
      <c r="E246" s="250" t="s">
        <v>2783</v>
      </c>
      <c r="F246" s="251">
        <v>41963</v>
      </c>
      <c r="G246" s="282" t="s">
        <v>3722</v>
      </c>
      <c r="H246" s="256"/>
      <c r="I246" s="256"/>
      <c r="J246" s="257"/>
      <c r="K246" s="257" t="s">
        <v>1089</v>
      </c>
      <c r="L246" s="258">
        <v>20</v>
      </c>
      <c r="M246" s="258">
        <v>49.84</v>
      </c>
      <c r="N246" s="130">
        <v>1.8780999999999999</v>
      </c>
      <c r="O246" s="28" t="s">
        <v>115</v>
      </c>
      <c r="P246" s="32" t="s">
        <v>115</v>
      </c>
      <c r="Q246" s="253" t="s">
        <v>115</v>
      </c>
      <c r="R246" s="253" t="s">
        <v>115</v>
      </c>
      <c r="S246" s="28">
        <f t="shared" si="6"/>
        <v>25.859050000000003</v>
      </c>
      <c r="T246" s="28">
        <f t="shared" si="7"/>
        <v>25.859050000000003</v>
      </c>
      <c r="U246" s="266" t="b">
        <v>1</v>
      </c>
      <c r="V246" s="266" t="b">
        <v>0</v>
      </c>
      <c r="Z246"/>
    </row>
    <row r="247" spans="1:26" ht="27" customHeight="1">
      <c r="A247" s="252"/>
      <c r="B247" s="252" t="s">
        <v>1840</v>
      </c>
      <c r="C247" s="257"/>
      <c r="D247" s="48" t="s">
        <v>1328</v>
      </c>
      <c r="E247" s="48" t="s">
        <v>3503</v>
      </c>
      <c r="F247" s="257"/>
      <c r="G247" s="252"/>
      <c r="H247" s="252"/>
      <c r="I247" s="252"/>
      <c r="J247" s="257"/>
      <c r="K247" s="252" t="s">
        <v>9</v>
      </c>
      <c r="L247" s="268">
        <v>11.7</v>
      </c>
      <c r="M247" s="268">
        <v>28.754639999999998</v>
      </c>
      <c r="N247" s="32">
        <v>28.64724</v>
      </c>
      <c r="O247" s="32" t="s">
        <v>115</v>
      </c>
      <c r="P247" s="32" t="s">
        <v>115</v>
      </c>
      <c r="Q247" s="253" t="s">
        <v>115</v>
      </c>
      <c r="R247" s="253" t="s">
        <v>115</v>
      </c>
      <c r="S247" s="28">
        <f t="shared" si="6"/>
        <v>28.700939999999999</v>
      </c>
      <c r="T247" s="28">
        <f t="shared" si="7"/>
        <v>28.700939999999999</v>
      </c>
      <c r="U247" s="266" t="b">
        <v>1</v>
      </c>
      <c r="V247" s="266" t="b">
        <v>0</v>
      </c>
      <c r="Z247"/>
    </row>
    <row r="248" spans="1:26" ht="27" customHeight="1">
      <c r="A248" s="30" t="s">
        <v>550</v>
      </c>
      <c r="B248" s="27" t="s">
        <v>1465</v>
      </c>
      <c r="C248" s="252" t="s">
        <v>3287</v>
      </c>
      <c r="D248" s="35" t="s">
        <v>737</v>
      </c>
      <c r="E248" s="174">
        <v>61298</v>
      </c>
      <c r="F248" s="137">
        <v>40026</v>
      </c>
      <c r="G248" s="281"/>
      <c r="H248" s="27"/>
      <c r="I248" s="27"/>
      <c r="J248" s="257"/>
      <c r="K248" s="27" t="s">
        <v>2894</v>
      </c>
      <c r="L248" s="58">
        <v>3.84</v>
      </c>
      <c r="M248" s="58">
        <v>25.512</v>
      </c>
      <c r="N248" s="130">
        <v>29.170999999999999</v>
      </c>
      <c r="O248" s="28">
        <v>28.821000000000002</v>
      </c>
      <c r="P248" s="29">
        <v>30.170999999999999</v>
      </c>
      <c r="Q248" s="28">
        <v>30.507999999999999</v>
      </c>
      <c r="R248" s="28">
        <v>29.84</v>
      </c>
      <c r="S248" s="28">
        <f t="shared" si="6"/>
        <v>29.003833333333336</v>
      </c>
      <c r="T248" s="28">
        <f t="shared" si="7"/>
        <v>29.003833333333336</v>
      </c>
      <c r="U248" s="266" t="b">
        <v>1</v>
      </c>
      <c r="V248" s="266" t="b">
        <v>0</v>
      </c>
      <c r="Z248"/>
    </row>
    <row r="249" spans="1:26" ht="27" customHeight="1">
      <c r="A249" s="252" t="s">
        <v>1522</v>
      </c>
      <c r="B249" s="256" t="s">
        <v>1526</v>
      </c>
      <c r="C249" s="252" t="s">
        <v>1678</v>
      </c>
      <c r="D249" s="250" t="s">
        <v>1285</v>
      </c>
      <c r="E249" s="250" t="s">
        <v>3504</v>
      </c>
      <c r="F249" s="251">
        <v>41974</v>
      </c>
      <c r="G249" s="282" t="s">
        <v>2268</v>
      </c>
      <c r="H249" s="256"/>
      <c r="I249" s="256"/>
      <c r="J249" s="257"/>
      <c r="K249" s="257" t="s">
        <v>1089</v>
      </c>
      <c r="L249" s="258">
        <v>20</v>
      </c>
      <c r="M249" s="258">
        <v>53.779000000000003</v>
      </c>
      <c r="N249" s="130"/>
      <c r="O249" s="28" t="s">
        <v>115</v>
      </c>
      <c r="P249" s="32" t="s">
        <v>115</v>
      </c>
      <c r="Q249" s="253" t="s">
        <v>115</v>
      </c>
      <c r="R249" s="253" t="s">
        <v>115</v>
      </c>
      <c r="S249" s="28">
        <f t="shared" si="6"/>
        <v>53.779000000000003</v>
      </c>
      <c r="T249" s="28">
        <f t="shared" si="7"/>
        <v>53.779000000000003</v>
      </c>
      <c r="U249" s="266" t="b">
        <v>1</v>
      </c>
      <c r="V249" s="266" t="b">
        <v>0</v>
      </c>
      <c r="Z249"/>
    </row>
    <row r="250" spans="1:26" ht="27" customHeight="1">
      <c r="A250" s="252"/>
      <c r="B250" s="46" t="s">
        <v>3574</v>
      </c>
      <c r="C250" s="252"/>
      <c r="D250" s="48"/>
      <c r="E250" s="48" t="s">
        <v>3577</v>
      </c>
      <c r="F250" s="43">
        <v>41837</v>
      </c>
      <c r="G250" s="243" t="s">
        <v>3624</v>
      </c>
      <c r="H250" s="243">
        <v>59098</v>
      </c>
      <c r="I250" s="46"/>
      <c r="J250" s="257" t="s">
        <v>2946</v>
      </c>
      <c r="K250" s="257" t="s">
        <v>1089</v>
      </c>
      <c r="L250" s="266">
        <v>1</v>
      </c>
      <c r="M250" s="266">
        <v>2.1340159999999999</v>
      </c>
      <c r="N250" s="130">
        <v>0.89693999999999996</v>
      </c>
      <c r="O250" s="28"/>
      <c r="P250" s="37"/>
      <c r="Q250" s="37"/>
      <c r="R250" s="37"/>
      <c r="S250" s="28">
        <f t="shared" si="6"/>
        <v>1.5154779999999999</v>
      </c>
      <c r="T250" s="28">
        <f t="shared" si="7"/>
        <v>1.5154779999999999</v>
      </c>
      <c r="U250" s="266" t="b">
        <v>1</v>
      </c>
      <c r="V250" s="266" t="b">
        <v>0</v>
      </c>
      <c r="Z250"/>
    </row>
    <row r="251" spans="1:26" ht="27" customHeight="1">
      <c r="A251" s="252"/>
      <c r="B251" s="46" t="s">
        <v>3575</v>
      </c>
      <c r="C251" s="252"/>
      <c r="D251" s="48"/>
      <c r="E251" s="48" t="s">
        <v>3576</v>
      </c>
      <c r="F251" s="43">
        <v>41837</v>
      </c>
      <c r="G251" s="243" t="s">
        <v>3625</v>
      </c>
      <c r="H251" s="243">
        <v>59099</v>
      </c>
      <c r="I251" s="46"/>
      <c r="J251" s="257" t="s">
        <v>2946</v>
      </c>
      <c r="K251" s="257" t="s">
        <v>1089</v>
      </c>
      <c r="L251" s="266">
        <v>1</v>
      </c>
      <c r="M251" s="266">
        <v>2.1098439999999998</v>
      </c>
      <c r="N251" s="130">
        <v>0.87317999999999996</v>
      </c>
      <c r="O251" s="28"/>
      <c r="P251" s="37"/>
      <c r="Q251" s="37"/>
      <c r="R251" s="37"/>
      <c r="S251" s="28">
        <f t="shared" si="6"/>
        <v>1.4915119999999999</v>
      </c>
      <c r="T251" s="28">
        <f t="shared" si="7"/>
        <v>1.4915119999999999</v>
      </c>
      <c r="U251" s="266" t="b">
        <v>1</v>
      </c>
      <c r="V251" s="266" t="b">
        <v>0</v>
      </c>
      <c r="Z251"/>
    </row>
    <row r="252" spans="1:26" ht="27" customHeight="1">
      <c r="A252" s="252"/>
      <c r="B252" s="46" t="s">
        <v>1212</v>
      </c>
      <c r="C252" s="252" t="s">
        <v>1679</v>
      </c>
      <c r="D252" s="48" t="s">
        <v>1272</v>
      </c>
      <c r="E252" s="48" t="s">
        <v>2784</v>
      </c>
      <c r="F252" s="43">
        <v>41699</v>
      </c>
      <c r="G252" s="243" t="s">
        <v>3721</v>
      </c>
      <c r="H252" s="46"/>
      <c r="I252" s="46"/>
      <c r="J252" s="257"/>
      <c r="K252" s="257" t="s">
        <v>1089</v>
      </c>
      <c r="L252" s="266">
        <v>1</v>
      </c>
      <c r="M252" s="266">
        <v>2.6240000000000001</v>
      </c>
      <c r="N252" s="130">
        <v>2.2069999999999999</v>
      </c>
      <c r="O252" s="28" t="s">
        <v>115</v>
      </c>
      <c r="P252" s="37" t="s">
        <v>115</v>
      </c>
      <c r="Q252" s="37" t="s">
        <v>115</v>
      </c>
      <c r="R252" s="37" t="s">
        <v>115</v>
      </c>
      <c r="S252" s="28">
        <f t="shared" si="6"/>
        <v>2.4154999999999998</v>
      </c>
      <c r="T252" s="28">
        <f t="shared" si="7"/>
        <v>2.4154999999999998</v>
      </c>
      <c r="U252" s="266" t="b">
        <v>1</v>
      </c>
      <c r="V252" s="266" t="b">
        <v>0</v>
      </c>
      <c r="Z252"/>
    </row>
    <row r="253" spans="1:26" ht="27" customHeight="1">
      <c r="A253" s="27" t="s">
        <v>60</v>
      </c>
      <c r="B253" s="27" t="s">
        <v>1464</v>
      </c>
      <c r="C253" s="252"/>
      <c r="D253" s="250" t="s">
        <v>736</v>
      </c>
      <c r="E253" s="250" t="s">
        <v>2785</v>
      </c>
      <c r="F253" s="251"/>
      <c r="G253" s="281" t="s">
        <v>478</v>
      </c>
      <c r="H253" s="27"/>
      <c r="I253" s="27"/>
      <c r="J253" s="257"/>
      <c r="K253" s="27" t="s">
        <v>2894</v>
      </c>
      <c r="L253" s="58">
        <v>9.15</v>
      </c>
      <c r="M253" s="58">
        <v>57.738</v>
      </c>
      <c r="N253" s="130">
        <v>65.724999999999994</v>
      </c>
      <c r="O253" s="28">
        <v>69.25</v>
      </c>
      <c r="P253" s="29">
        <v>69.123000000000005</v>
      </c>
      <c r="Q253" s="28">
        <v>68.617999999999995</v>
      </c>
      <c r="R253" s="28">
        <v>60.44</v>
      </c>
      <c r="S253" s="28">
        <f t="shared" si="6"/>
        <v>65.149000000000001</v>
      </c>
      <c r="T253" s="28">
        <f t="shared" si="7"/>
        <v>65.149000000000001</v>
      </c>
      <c r="U253" s="266" t="b">
        <v>1</v>
      </c>
      <c r="V253" s="266" t="b">
        <v>0</v>
      </c>
      <c r="Z253"/>
    </row>
    <row r="254" spans="1:26" ht="27" customHeight="1">
      <c r="A254" s="252"/>
      <c r="B254" s="46" t="s">
        <v>1062</v>
      </c>
      <c r="C254" s="252" t="s">
        <v>3435</v>
      </c>
      <c r="D254" s="48" t="s">
        <v>1061</v>
      </c>
      <c r="E254" s="181" t="s">
        <v>3505</v>
      </c>
      <c r="F254" s="43" t="s">
        <v>1123</v>
      </c>
      <c r="G254" s="243" t="s">
        <v>2236</v>
      </c>
      <c r="H254" s="46"/>
      <c r="I254" s="46"/>
      <c r="J254" s="257"/>
      <c r="K254" s="257" t="s">
        <v>1089</v>
      </c>
      <c r="L254" s="266">
        <v>3</v>
      </c>
      <c r="M254" s="266">
        <v>6.0730000000000004</v>
      </c>
      <c r="N254" s="130">
        <v>6.0730000000000004</v>
      </c>
      <c r="O254" s="28"/>
      <c r="P254" s="37" t="s">
        <v>115</v>
      </c>
      <c r="Q254" s="37" t="s">
        <v>115</v>
      </c>
      <c r="R254" s="37" t="s">
        <v>115</v>
      </c>
      <c r="S254" s="28">
        <f t="shared" si="6"/>
        <v>6.0730000000000004</v>
      </c>
      <c r="T254" s="28">
        <f t="shared" si="7"/>
        <v>6.0730000000000004</v>
      </c>
      <c r="U254" s="266" t="b">
        <v>1</v>
      </c>
      <c r="V254" s="266" t="b">
        <v>0</v>
      </c>
      <c r="Z254"/>
    </row>
    <row r="255" spans="1:26" ht="27" customHeight="1">
      <c r="A255" s="252" t="s">
        <v>1082</v>
      </c>
      <c r="B255" s="257" t="s">
        <v>974</v>
      </c>
      <c r="C255" s="252"/>
      <c r="D255" s="29" t="s">
        <v>973</v>
      </c>
      <c r="E255" s="29" t="s">
        <v>2024</v>
      </c>
      <c r="F255" s="251">
        <v>40866</v>
      </c>
      <c r="G255" s="188"/>
      <c r="H255" s="257"/>
      <c r="I255" s="257"/>
      <c r="J255" s="254"/>
      <c r="K255" s="27" t="s">
        <v>1089</v>
      </c>
      <c r="L255" s="58">
        <v>3</v>
      </c>
      <c r="M255" s="58">
        <v>5.65</v>
      </c>
      <c r="N255" s="130">
        <v>5.7519999999999998</v>
      </c>
      <c r="O255" s="28">
        <v>6.399</v>
      </c>
      <c r="P255" s="29">
        <v>5.8680000000000003</v>
      </c>
      <c r="Q255" s="28" t="s">
        <v>115</v>
      </c>
      <c r="R255" s="28" t="s">
        <v>115</v>
      </c>
      <c r="S255" s="28">
        <f t="shared" si="6"/>
        <v>5.917250000000001</v>
      </c>
      <c r="T255" s="28">
        <f t="shared" si="7"/>
        <v>5.917250000000001</v>
      </c>
      <c r="U255" s="266" t="b">
        <v>1</v>
      </c>
      <c r="V255" s="266" t="b">
        <v>0</v>
      </c>
      <c r="Z255"/>
    </row>
    <row r="256" spans="1:26" ht="27" customHeight="1">
      <c r="A256" s="252"/>
      <c r="B256" s="252" t="s">
        <v>1841</v>
      </c>
      <c r="C256" s="257"/>
      <c r="D256" s="48" t="s">
        <v>1352</v>
      </c>
      <c r="E256" s="48" t="s">
        <v>3506</v>
      </c>
      <c r="F256" s="257"/>
      <c r="G256" s="252" t="s">
        <v>2362</v>
      </c>
      <c r="H256" s="252"/>
      <c r="I256" s="252"/>
      <c r="J256" s="257"/>
      <c r="K256" s="252" t="s">
        <v>9</v>
      </c>
      <c r="L256" s="268">
        <v>50</v>
      </c>
      <c r="M256" s="268">
        <v>132.7097</v>
      </c>
      <c r="N256" s="32">
        <v>139.93409</v>
      </c>
      <c r="O256" s="32" t="s">
        <v>115</v>
      </c>
      <c r="P256" s="32" t="s">
        <v>115</v>
      </c>
      <c r="Q256" s="253" t="s">
        <v>115</v>
      </c>
      <c r="R256" s="253" t="s">
        <v>115</v>
      </c>
      <c r="S256" s="28">
        <f t="shared" si="6"/>
        <v>136.32189499999998</v>
      </c>
      <c r="T256" s="28">
        <f t="shared" si="7"/>
        <v>136.32189499999998</v>
      </c>
      <c r="U256" s="266" t="b">
        <v>1</v>
      </c>
      <c r="V256" s="266" t="b">
        <v>0</v>
      </c>
      <c r="Z256"/>
    </row>
    <row r="257" spans="1:26" ht="27" customHeight="1">
      <c r="A257" s="54" t="s">
        <v>897</v>
      </c>
      <c r="B257" s="254" t="s">
        <v>2481</v>
      </c>
      <c r="C257" s="252"/>
      <c r="D257" s="261" t="s">
        <v>898</v>
      </c>
      <c r="E257" s="261" t="s">
        <v>3507</v>
      </c>
      <c r="F257" s="137">
        <v>41060</v>
      </c>
      <c r="G257" s="277" t="s">
        <v>2482</v>
      </c>
      <c r="H257" s="254"/>
      <c r="I257" s="254"/>
      <c r="J257" s="257"/>
      <c r="K257" s="27" t="s">
        <v>1089</v>
      </c>
      <c r="L257" s="269">
        <v>1.5</v>
      </c>
      <c r="M257" s="269">
        <v>2.7170000000000001</v>
      </c>
      <c r="N257" s="130">
        <v>2.6930000000000001</v>
      </c>
      <c r="O257" s="51">
        <v>3.427</v>
      </c>
      <c r="P257" s="37">
        <v>0.129</v>
      </c>
      <c r="Q257" s="37" t="s">
        <v>115</v>
      </c>
      <c r="R257" s="37" t="s">
        <v>115</v>
      </c>
      <c r="S257" s="28">
        <f t="shared" si="6"/>
        <v>2.2414999999999998</v>
      </c>
      <c r="T257" s="28">
        <f t="shared" si="7"/>
        <v>2.2414999999999998</v>
      </c>
      <c r="U257" s="266" t="b">
        <v>1</v>
      </c>
      <c r="V257" s="266" t="b">
        <v>0</v>
      </c>
      <c r="Z257"/>
    </row>
    <row r="258" spans="1:26" ht="27" customHeight="1">
      <c r="A258" s="54" t="s">
        <v>900</v>
      </c>
      <c r="B258" s="254" t="s">
        <v>889</v>
      </c>
      <c r="C258" s="252" t="s">
        <v>3335</v>
      </c>
      <c r="D258" s="261" t="s">
        <v>899</v>
      </c>
      <c r="E258" s="261" t="s">
        <v>3508</v>
      </c>
      <c r="F258" s="137">
        <v>41213</v>
      </c>
      <c r="G258" s="277" t="s">
        <v>2238</v>
      </c>
      <c r="H258" s="254"/>
      <c r="I258" s="254"/>
      <c r="J258" s="252"/>
      <c r="K258" s="27" t="s">
        <v>1089</v>
      </c>
      <c r="L258" s="271">
        <v>1.5</v>
      </c>
      <c r="M258" s="271">
        <v>3.41</v>
      </c>
      <c r="N258" s="130">
        <v>3.2770000000000001</v>
      </c>
      <c r="O258" s="29">
        <v>3.6930000000000001</v>
      </c>
      <c r="P258" s="37" t="s">
        <v>115</v>
      </c>
      <c r="Q258" s="37" t="s">
        <v>115</v>
      </c>
      <c r="R258" s="37" t="s">
        <v>115</v>
      </c>
      <c r="S258" s="28">
        <f t="shared" si="6"/>
        <v>3.4600000000000004</v>
      </c>
      <c r="T258" s="28">
        <f t="shared" si="7"/>
        <v>3.4600000000000004</v>
      </c>
      <c r="U258" s="266" t="b">
        <v>1</v>
      </c>
      <c r="V258" s="266" t="b">
        <v>0</v>
      </c>
      <c r="Z258"/>
    </row>
    <row r="259" spans="1:26" ht="27" customHeight="1">
      <c r="A259" s="27"/>
      <c r="B259" s="27" t="s">
        <v>1962</v>
      </c>
      <c r="C259" s="252"/>
      <c r="D259" s="250" t="s">
        <v>2937</v>
      </c>
      <c r="E259" s="250" t="s">
        <v>2786</v>
      </c>
      <c r="F259" s="43"/>
      <c r="G259" s="281"/>
      <c r="H259" s="281"/>
      <c r="I259" s="27"/>
      <c r="J259" s="260"/>
      <c r="K259" s="27" t="s">
        <v>494</v>
      </c>
      <c r="L259" s="58"/>
      <c r="M259" s="58">
        <v>0</v>
      </c>
      <c r="N259" s="130">
        <v>0</v>
      </c>
      <c r="O259" s="28"/>
      <c r="P259" s="29"/>
      <c r="Q259" s="28"/>
      <c r="R259" s="28"/>
      <c r="S259" s="28">
        <f t="shared" si="6"/>
        <v>0</v>
      </c>
      <c r="T259" s="28">
        <f t="shared" si="7"/>
        <v>0</v>
      </c>
      <c r="U259" s="266" t="b">
        <v>1</v>
      </c>
      <c r="V259" s="266" t="b">
        <v>0</v>
      </c>
      <c r="Z259"/>
    </row>
    <row r="260" spans="1:26" ht="27" customHeight="1">
      <c r="A260" s="27" t="s">
        <v>78</v>
      </c>
      <c r="B260" s="27" t="s">
        <v>91</v>
      </c>
      <c r="C260" s="252" t="s">
        <v>3342</v>
      </c>
      <c r="D260" s="250" t="s">
        <v>735</v>
      </c>
      <c r="E260" s="250" t="s">
        <v>3509</v>
      </c>
      <c r="F260" s="43" t="s">
        <v>1147</v>
      </c>
      <c r="G260" s="27" t="s">
        <v>2202</v>
      </c>
      <c r="H260" s="27"/>
      <c r="I260" s="27"/>
      <c r="J260" s="260"/>
      <c r="K260" s="27" t="s">
        <v>7</v>
      </c>
      <c r="L260" s="58">
        <v>120</v>
      </c>
      <c r="M260" s="58">
        <v>478.346</v>
      </c>
      <c r="N260" s="130">
        <v>518.65899999999999</v>
      </c>
      <c r="O260" s="28">
        <v>506.45</v>
      </c>
      <c r="P260" s="29">
        <v>508.54</v>
      </c>
      <c r="Q260" s="28">
        <v>430.86200000000002</v>
      </c>
      <c r="R260" s="28">
        <v>418.83300000000003</v>
      </c>
      <c r="S260" s="28">
        <f t="shared" ref="S260:S323" si="8">IF(AND(U260,NOT(V260)),IFERROR(AVERAGE(M260:R260),0),0)</f>
        <v>476.94833333333332</v>
      </c>
      <c r="T260" s="28">
        <f t="shared" si="7"/>
        <v>476.94833333333332</v>
      </c>
      <c r="U260" s="266" t="b">
        <v>1</v>
      </c>
      <c r="V260" s="266" t="b">
        <v>0</v>
      </c>
      <c r="Z260"/>
    </row>
    <row r="261" spans="1:26" ht="27" customHeight="1">
      <c r="A261" s="252" t="s">
        <v>1705</v>
      </c>
      <c r="B261" s="256" t="s">
        <v>2749</v>
      </c>
      <c r="C261" s="252" t="s">
        <v>1661</v>
      </c>
      <c r="D261" s="250" t="s">
        <v>1305</v>
      </c>
      <c r="E261" s="250" t="s">
        <v>2750</v>
      </c>
      <c r="F261" s="251">
        <v>41948</v>
      </c>
      <c r="G261" s="282" t="s">
        <v>3726</v>
      </c>
      <c r="H261" s="256"/>
      <c r="I261" s="256"/>
      <c r="J261" s="257"/>
      <c r="K261" s="257" t="s">
        <v>1089</v>
      </c>
      <c r="L261" s="258">
        <v>5</v>
      </c>
      <c r="M261" s="258">
        <v>13.257999999999999</v>
      </c>
      <c r="N261" s="130">
        <v>0.879</v>
      </c>
      <c r="O261" s="28" t="s">
        <v>115</v>
      </c>
      <c r="P261" s="32" t="s">
        <v>115</v>
      </c>
      <c r="Q261" s="253" t="s">
        <v>115</v>
      </c>
      <c r="R261" s="253" t="s">
        <v>115</v>
      </c>
      <c r="S261" s="28">
        <f t="shared" si="8"/>
        <v>7.0684999999999993</v>
      </c>
      <c r="T261" s="28">
        <f t="shared" ref="T261:T324" si="9">IF(AND(U261,NOT(V261)),IFERROR(IF(YEAR(F261)=2015,AVERAGE(N261:R261,VLOOKUP(K261,$Z$3:$AA$10,2,FALSE)*L261*8.76),AVERAGE(M261:R261)),0),0)</f>
        <v>7.0684999999999993</v>
      </c>
      <c r="U261" s="266" t="b">
        <v>1</v>
      </c>
      <c r="V261" s="266" t="b">
        <v>0</v>
      </c>
      <c r="Z261"/>
    </row>
    <row r="262" spans="1:26" ht="27" customHeight="1">
      <c r="A262" s="252"/>
      <c r="B262" s="256" t="s">
        <v>1554</v>
      </c>
      <c r="C262" s="252" t="s">
        <v>1681</v>
      </c>
      <c r="D262" s="250" t="s">
        <v>1307</v>
      </c>
      <c r="E262" s="163" t="s">
        <v>2854</v>
      </c>
      <c r="F262" s="251">
        <v>42365</v>
      </c>
      <c r="G262" s="262" t="s">
        <v>3671</v>
      </c>
      <c r="H262" s="262"/>
      <c r="I262" s="188"/>
      <c r="J262" s="262" t="s">
        <v>1576</v>
      </c>
      <c r="K262" s="257" t="s">
        <v>1089</v>
      </c>
      <c r="L262" s="258">
        <v>5</v>
      </c>
      <c r="M262" s="258">
        <v>12.375999999999999</v>
      </c>
      <c r="N262" s="144"/>
      <c r="O262" s="241" t="s">
        <v>115</v>
      </c>
      <c r="P262" s="253" t="s">
        <v>115</v>
      </c>
      <c r="Q262" s="254" t="s">
        <v>115</v>
      </c>
      <c r="R262" s="188" t="s">
        <v>115</v>
      </c>
      <c r="S262" s="28">
        <f t="shared" si="8"/>
        <v>12.375999999999999</v>
      </c>
      <c r="T262" s="28">
        <f t="shared" si="9"/>
        <v>11.607000000000001</v>
      </c>
      <c r="U262" s="266" t="b">
        <v>1</v>
      </c>
      <c r="V262" s="266" t="b">
        <v>0</v>
      </c>
      <c r="Z262"/>
    </row>
    <row r="263" spans="1:26" ht="27" customHeight="1">
      <c r="A263" s="27" t="s">
        <v>1783</v>
      </c>
      <c r="B263" s="27" t="s">
        <v>2950</v>
      </c>
      <c r="C263" s="252"/>
      <c r="D263" s="250" t="s">
        <v>3936</v>
      </c>
      <c r="E263" s="250" t="s">
        <v>2952</v>
      </c>
      <c r="F263" s="43">
        <v>41985</v>
      </c>
      <c r="G263" s="281" t="s">
        <v>3669</v>
      </c>
      <c r="H263" s="247">
        <v>59167</v>
      </c>
      <c r="I263" s="247"/>
      <c r="J263" s="257" t="s">
        <v>2946</v>
      </c>
      <c r="K263" s="257" t="s">
        <v>1089</v>
      </c>
      <c r="L263" s="58">
        <v>1.5</v>
      </c>
      <c r="M263" s="58">
        <v>3.557242</v>
      </c>
      <c r="N263" s="130">
        <v>0.16200000000000001</v>
      </c>
      <c r="O263" s="28" t="s">
        <v>115</v>
      </c>
      <c r="P263" s="29" t="s">
        <v>115</v>
      </c>
      <c r="Q263" s="28" t="s">
        <v>115</v>
      </c>
      <c r="R263" s="28" t="s">
        <v>115</v>
      </c>
      <c r="S263" s="28">
        <f t="shared" si="8"/>
        <v>1.859621</v>
      </c>
      <c r="T263" s="28">
        <f t="shared" si="9"/>
        <v>1.859621</v>
      </c>
      <c r="U263" s="266" t="b">
        <v>1</v>
      </c>
      <c r="V263" s="266" t="b">
        <v>0</v>
      </c>
      <c r="Z263"/>
    </row>
    <row r="264" spans="1:26" ht="27" customHeight="1">
      <c r="A264" s="143" t="s">
        <v>1783</v>
      </c>
      <c r="B264" s="143" t="s">
        <v>2951</v>
      </c>
      <c r="C264" s="254"/>
      <c r="D264" s="252" t="s">
        <v>3937</v>
      </c>
      <c r="E264" s="254" t="s">
        <v>2953</v>
      </c>
      <c r="F264" s="156">
        <v>41985</v>
      </c>
      <c r="G264" s="241" t="s">
        <v>3670</v>
      </c>
      <c r="H264" s="246">
        <v>59169</v>
      </c>
      <c r="I264" s="246"/>
      <c r="J264" s="257" t="s">
        <v>2946</v>
      </c>
      <c r="K264" s="257" t="s">
        <v>1089</v>
      </c>
      <c r="L264" s="58">
        <v>1.5</v>
      </c>
      <c r="M264" s="58">
        <v>3.6469839999999998</v>
      </c>
      <c r="N264" s="264">
        <v>0.128</v>
      </c>
      <c r="O264" s="260" t="s">
        <v>115</v>
      </c>
      <c r="P264" s="252" t="s">
        <v>115</v>
      </c>
      <c r="Q264" s="252" t="s">
        <v>115</v>
      </c>
      <c r="R264" s="252" t="s">
        <v>115</v>
      </c>
      <c r="S264" s="28">
        <f t="shared" si="8"/>
        <v>1.8874919999999999</v>
      </c>
      <c r="T264" s="28">
        <f t="shared" si="9"/>
        <v>1.8874919999999999</v>
      </c>
      <c r="U264" s="266" t="b">
        <v>1</v>
      </c>
      <c r="V264" s="266" t="b">
        <v>0</v>
      </c>
      <c r="Z264"/>
    </row>
    <row r="265" spans="1:26" ht="27" customHeight="1">
      <c r="A265" s="252" t="s">
        <v>3652</v>
      </c>
      <c r="B265" s="256" t="s">
        <v>3562</v>
      </c>
      <c r="C265" s="252"/>
      <c r="D265" s="250"/>
      <c r="E265" s="163" t="s">
        <v>3565</v>
      </c>
      <c r="F265" s="137">
        <v>41978</v>
      </c>
      <c r="G265" s="262" t="s">
        <v>3653</v>
      </c>
      <c r="H265" s="354">
        <v>59397</v>
      </c>
      <c r="I265" s="262"/>
      <c r="J265" s="257" t="s">
        <v>2946</v>
      </c>
      <c r="K265" s="257" t="s">
        <v>1089</v>
      </c>
      <c r="L265" s="258">
        <v>1.5</v>
      </c>
      <c r="M265" s="144">
        <v>2.799166</v>
      </c>
      <c r="N265" s="241"/>
      <c r="O265" s="253"/>
      <c r="P265" s="254"/>
      <c r="Q265" s="188"/>
      <c r="R265" s="391"/>
      <c r="S265" s="28">
        <f t="shared" si="8"/>
        <v>2.799166</v>
      </c>
      <c r="T265" s="28">
        <f t="shared" si="9"/>
        <v>2.799166</v>
      </c>
      <c r="U265" s="266" t="b">
        <v>1</v>
      </c>
      <c r="V265" s="266" t="b">
        <v>0</v>
      </c>
      <c r="Z265"/>
    </row>
    <row r="266" spans="1:26" ht="27" customHeight="1">
      <c r="A266" s="252" t="s">
        <v>3648</v>
      </c>
      <c r="B266" s="256" t="s">
        <v>3563</v>
      </c>
      <c r="C266" s="252"/>
      <c r="D266" s="250"/>
      <c r="E266" s="163" t="s">
        <v>3566</v>
      </c>
      <c r="F266" s="137">
        <v>41978</v>
      </c>
      <c r="G266" s="262" t="s">
        <v>3649</v>
      </c>
      <c r="H266" s="354">
        <v>59398</v>
      </c>
      <c r="I266" s="262"/>
      <c r="J266" s="257" t="s">
        <v>2946</v>
      </c>
      <c r="K266" s="257" t="s">
        <v>1089</v>
      </c>
      <c r="L266" s="258">
        <v>1.5</v>
      </c>
      <c r="M266" s="144">
        <v>4.4002359999999996</v>
      </c>
      <c r="N266" s="241"/>
      <c r="O266" s="253"/>
      <c r="P266" s="254"/>
      <c r="Q266" s="188"/>
      <c r="R266" s="263"/>
      <c r="S266" s="28">
        <f t="shared" si="8"/>
        <v>4.4002359999999996</v>
      </c>
      <c r="T266" s="28">
        <f t="shared" si="9"/>
        <v>4.4002359999999996</v>
      </c>
      <c r="U266" s="266" t="b">
        <v>1</v>
      </c>
      <c r="V266" s="266" t="b">
        <v>0</v>
      </c>
      <c r="Z266"/>
    </row>
    <row r="267" spans="1:26" ht="27" customHeight="1">
      <c r="A267" s="252" t="s">
        <v>3650</v>
      </c>
      <c r="B267" s="256" t="s">
        <v>3564</v>
      </c>
      <c r="C267" s="252"/>
      <c r="D267" s="250"/>
      <c r="E267" s="163" t="s">
        <v>3567</v>
      </c>
      <c r="F267" s="137">
        <v>41978</v>
      </c>
      <c r="G267" s="262" t="s">
        <v>3651</v>
      </c>
      <c r="H267" s="354">
        <v>59399</v>
      </c>
      <c r="I267" s="262"/>
      <c r="J267" s="257" t="s">
        <v>2946</v>
      </c>
      <c r="K267" s="257" t="s">
        <v>1089</v>
      </c>
      <c r="L267" s="258">
        <v>1.5</v>
      </c>
      <c r="M267" s="144">
        <v>4.4392069999999997</v>
      </c>
      <c r="N267" s="241"/>
      <c r="O267" s="253"/>
      <c r="P267" s="254"/>
      <c r="Q267" s="188"/>
      <c r="R267" s="263"/>
      <c r="S267" s="28">
        <f t="shared" si="8"/>
        <v>4.4392069999999997</v>
      </c>
      <c r="T267" s="28">
        <f t="shared" si="9"/>
        <v>4.4392069999999997</v>
      </c>
      <c r="U267" s="266" t="b">
        <v>1</v>
      </c>
      <c r="V267" s="266" t="b">
        <v>0</v>
      </c>
      <c r="Z267"/>
    </row>
    <row r="268" spans="1:26" ht="27" customHeight="1">
      <c r="A268" s="261"/>
      <c r="B268" s="260" t="s">
        <v>4402</v>
      </c>
      <c r="C268" s="107"/>
      <c r="D268" s="260" t="s">
        <v>4401</v>
      </c>
      <c r="E268" s="107"/>
      <c r="F268" s="156">
        <v>40409</v>
      </c>
      <c r="G268" s="257"/>
      <c r="H268" s="107"/>
      <c r="I268" s="107"/>
      <c r="J268" s="107"/>
      <c r="K268" s="252" t="s">
        <v>1089</v>
      </c>
      <c r="L268" s="261">
        <v>1.46</v>
      </c>
      <c r="M268" s="107">
        <v>3.2130000000000001</v>
      </c>
      <c r="N268" s="107">
        <v>3.0680000000000001</v>
      </c>
      <c r="O268" s="107">
        <v>0.99199999999999999</v>
      </c>
      <c r="P268" s="107">
        <v>0.94399999999999995</v>
      </c>
      <c r="Q268" s="107" t="s">
        <v>115</v>
      </c>
      <c r="R268" s="107" t="s">
        <v>115</v>
      </c>
      <c r="S268" s="28">
        <f t="shared" si="8"/>
        <v>2.0542500000000001</v>
      </c>
      <c r="T268" s="28">
        <f t="shared" si="9"/>
        <v>2.0542500000000001</v>
      </c>
      <c r="U268" s="266" t="b">
        <v>1</v>
      </c>
      <c r="V268" s="266" t="b">
        <v>0</v>
      </c>
      <c r="Z268"/>
    </row>
    <row r="269" spans="1:26" ht="27" customHeight="1">
      <c r="A269" s="10" t="s">
        <v>944</v>
      </c>
      <c r="B269" s="257" t="s">
        <v>931</v>
      </c>
      <c r="C269" s="252" t="s">
        <v>3318</v>
      </c>
      <c r="D269" s="250" t="s">
        <v>926</v>
      </c>
      <c r="E269" s="250" t="s">
        <v>2787</v>
      </c>
      <c r="F269" s="251">
        <v>38047</v>
      </c>
      <c r="G269" s="188"/>
      <c r="H269" s="257"/>
      <c r="I269" s="257"/>
      <c r="J269" s="260"/>
      <c r="K269" s="27" t="s">
        <v>2894</v>
      </c>
      <c r="L269" s="58">
        <v>4.8600000000000003</v>
      </c>
      <c r="M269" s="58">
        <v>26.423999999999999</v>
      </c>
      <c r="N269" s="130">
        <v>32.015999999999998</v>
      </c>
      <c r="O269" s="28">
        <v>29.082000000000001</v>
      </c>
      <c r="P269" s="32">
        <v>17.742000000000001</v>
      </c>
      <c r="Q269" s="32">
        <v>19.359000000000002</v>
      </c>
      <c r="R269" s="32">
        <v>18.489000000000001</v>
      </c>
      <c r="S269" s="28">
        <f t="shared" si="8"/>
        <v>23.852</v>
      </c>
      <c r="T269" s="28">
        <f t="shared" si="9"/>
        <v>23.852</v>
      </c>
      <c r="U269" s="266" t="b">
        <v>1</v>
      </c>
      <c r="V269" s="266" t="b">
        <v>0</v>
      </c>
      <c r="Z269"/>
    </row>
    <row r="270" spans="1:26" ht="27" customHeight="1">
      <c r="A270" s="10"/>
      <c r="B270" s="257" t="s">
        <v>3550</v>
      </c>
      <c r="C270" s="252"/>
      <c r="D270" s="250"/>
      <c r="E270" s="250" t="s">
        <v>3551</v>
      </c>
      <c r="F270" s="251">
        <v>41654</v>
      </c>
      <c r="G270" s="200" t="s">
        <v>3743</v>
      </c>
      <c r="H270" s="188">
        <v>58308</v>
      </c>
      <c r="I270" s="188"/>
      <c r="J270" s="257" t="s">
        <v>2946</v>
      </c>
      <c r="K270" s="257" t="s">
        <v>1089</v>
      </c>
      <c r="L270" s="58">
        <v>4</v>
      </c>
      <c r="M270" s="58">
        <v>7.91</v>
      </c>
      <c r="N270" s="28">
        <v>7.7539999999999996</v>
      </c>
      <c r="O270" s="28"/>
      <c r="P270" s="32"/>
      <c r="Q270" s="32"/>
      <c r="R270" s="32"/>
      <c r="S270" s="28">
        <f t="shared" si="8"/>
        <v>7.8319999999999999</v>
      </c>
      <c r="T270" s="28">
        <f t="shared" si="9"/>
        <v>7.8319999999999999</v>
      </c>
      <c r="U270" s="266" t="b">
        <v>1</v>
      </c>
      <c r="V270" s="266" t="b">
        <v>0</v>
      </c>
      <c r="Z270"/>
    </row>
    <row r="271" spans="1:26" ht="27" customHeight="1">
      <c r="A271" s="252" t="s">
        <v>3730</v>
      </c>
      <c r="B271" s="256" t="s">
        <v>1539</v>
      </c>
      <c r="C271" s="252" t="s">
        <v>1682</v>
      </c>
      <c r="D271" s="250" t="s">
        <v>1293</v>
      </c>
      <c r="E271" s="250" t="s">
        <v>2788</v>
      </c>
      <c r="F271" s="251">
        <v>41913</v>
      </c>
      <c r="G271" s="200" t="s">
        <v>3637</v>
      </c>
      <c r="H271" s="256"/>
      <c r="I271" s="256"/>
      <c r="J271" s="252"/>
      <c r="K271" s="257" t="s">
        <v>1089</v>
      </c>
      <c r="L271" s="258">
        <v>10</v>
      </c>
      <c r="M271" s="258">
        <v>25.047999999999998</v>
      </c>
      <c r="N271" s="130">
        <v>2.0880900000000002</v>
      </c>
      <c r="O271" s="28" t="s">
        <v>115</v>
      </c>
      <c r="P271" s="32" t="s">
        <v>115</v>
      </c>
      <c r="Q271" s="253" t="s">
        <v>115</v>
      </c>
      <c r="R271" s="253" t="s">
        <v>115</v>
      </c>
      <c r="S271" s="28">
        <f t="shared" si="8"/>
        <v>13.568045</v>
      </c>
      <c r="T271" s="28">
        <f t="shared" si="9"/>
        <v>13.568045</v>
      </c>
      <c r="U271" s="266" t="b">
        <v>1</v>
      </c>
      <c r="V271" s="266" t="b">
        <v>0</v>
      </c>
      <c r="Z271"/>
    </row>
    <row r="272" spans="1:26" ht="27" customHeight="1">
      <c r="A272" s="252" t="s">
        <v>3731</v>
      </c>
      <c r="B272" s="256" t="s">
        <v>1540</v>
      </c>
      <c r="C272" s="252" t="s">
        <v>1683</v>
      </c>
      <c r="D272" s="250" t="s">
        <v>1383</v>
      </c>
      <c r="E272" s="250" t="s">
        <v>2789</v>
      </c>
      <c r="F272" s="251">
        <v>41913</v>
      </c>
      <c r="G272" s="200" t="s">
        <v>3626</v>
      </c>
      <c r="H272" s="256">
        <v>59237</v>
      </c>
      <c r="I272" s="256"/>
      <c r="J272" s="252"/>
      <c r="K272" s="257" t="s">
        <v>1089</v>
      </c>
      <c r="L272" s="258">
        <v>20</v>
      </c>
      <c r="M272" s="258">
        <v>53.011000000000003</v>
      </c>
      <c r="N272" s="130"/>
      <c r="O272" s="28" t="s">
        <v>115</v>
      </c>
      <c r="P272" s="32" t="s">
        <v>115</v>
      </c>
      <c r="Q272" s="253" t="s">
        <v>115</v>
      </c>
      <c r="R272" s="253" t="s">
        <v>115</v>
      </c>
      <c r="S272" s="28">
        <f t="shared" si="8"/>
        <v>53.011000000000003</v>
      </c>
      <c r="T272" s="28">
        <f t="shared" si="9"/>
        <v>53.011000000000003</v>
      </c>
      <c r="U272" s="266" t="b">
        <v>1</v>
      </c>
      <c r="V272" s="266" t="b">
        <v>0</v>
      </c>
      <c r="Z272"/>
    </row>
    <row r="273" spans="1:26" ht="27" customHeight="1">
      <c r="A273" s="143" t="s">
        <v>1684</v>
      </c>
      <c r="B273" s="143" t="s">
        <v>1685</v>
      </c>
      <c r="C273" s="160" t="s">
        <v>1686</v>
      </c>
      <c r="D273" s="254" t="s">
        <v>2861</v>
      </c>
      <c r="E273" s="209" t="s">
        <v>2860</v>
      </c>
      <c r="F273" s="151">
        <v>42096</v>
      </c>
      <c r="G273" s="262" t="s">
        <v>2632</v>
      </c>
      <c r="H273" s="262"/>
      <c r="I273" s="188"/>
      <c r="J273" s="257" t="s">
        <v>5150</v>
      </c>
      <c r="K273" s="254" t="s">
        <v>1089</v>
      </c>
      <c r="L273" s="261">
        <v>21.3</v>
      </c>
      <c r="M273" s="258">
        <v>51.789010000000005</v>
      </c>
      <c r="N273" s="144" t="s">
        <v>115</v>
      </c>
      <c r="O273" s="241" t="s">
        <v>115</v>
      </c>
      <c r="P273" s="134" t="s">
        <v>115</v>
      </c>
      <c r="Q273" s="262" t="s">
        <v>115</v>
      </c>
      <c r="R273" s="264" t="s">
        <v>115</v>
      </c>
      <c r="S273" s="28">
        <f t="shared" si="8"/>
        <v>51.789010000000005</v>
      </c>
      <c r="T273" s="28">
        <f t="shared" si="9"/>
        <v>49.445820000000005</v>
      </c>
      <c r="U273" s="266" t="b">
        <v>1</v>
      </c>
      <c r="V273" s="266" t="b">
        <v>0</v>
      </c>
      <c r="Z273"/>
    </row>
    <row r="274" spans="1:26" ht="27" customHeight="1">
      <c r="A274" s="257" t="s">
        <v>2488</v>
      </c>
      <c r="B274" s="46" t="s">
        <v>2487</v>
      </c>
      <c r="C274" s="257"/>
      <c r="D274" s="48" t="s">
        <v>3692</v>
      </c>
      <c r="E274" s="48">
        <v>61775</v>
      </c>
      <c r="F274" s="43">
        <v>41548</v>
      </c>
      <c r="G274" s="243" t="s">
        <v>2489</v>
      </c>
      <c r="H274" s="243">
        <v>58451</v>
      </c>
      <c r="I274" s="243"/>
      <c r="J274" s="257" t="s">
        <v>2946</v>
      </c>
      <c r="K274" s="257" t="s">
        <v>1089</v>
      </c>
      <c r="L274" s="270">
        <v>1.5</v>
      </c>
      <c r="M274" s="270">
        <v>4.4563100000000002</v>
      </c>
      <c r="N274" s="130">
        <v>4.0449999999999999</v>
      </c>
      <c r="O274" s="28"/>
      <c r="P274" s="29"/>
      <c r="Q274" s="29"/>
      <c r="R274" s="29"/>
      <c r="S274" s="28">
        <f t="shared" si="8"/>
        <v>4.2506550000000001</v>
      </c>
      <c r="T274" s="28">
        <f t="shared" si="9"/>
        <v>4.2506550000000001</v>
      </c>
      <c r="U274" s="266" t="b">
        <v>1</v>
      </c>
      <c r="V274" s="266" t="b">
        <v>0</v>
      </c>
      <c r="Z274"/>
    </row>
    <row r="275" spans="1:26" ht="27" customHeight="1">
      <c r="A275" s="257"/>
      <c r="B275" s="46" t="s">
        <v>1957</v>
      </c>
      <c r="C275" s="257"/>
      <c r="D275" s="29" t="s">
        <v>2935</v>
      </c>
      <c r="E275" s="48" t="s">
        <v>2790</v>
      </c>
      <c r="F275" s="43"/>
      <c r="G275" s="243"/>
      <c r="H275" s="243"/>
      <c r="I275" s="46"/>
      <c r="J275" s="260" t="s">
        <v>2946</v>
      </c>
      <c r="K275" s="257" t="s">
        <v>494</v>
      </c>
      <c r="L275" s="270"/>
      <c r="M275" s="270">
        <v>122.22199999999999</v>
      </c>
      <c r="N275" s="130">
        <v>188.22800000000001</v>
      </c>
      <c r="O275" s="28"/>
      <c r="P275" s="29"/>
      <c r="Q275" s="29"/>
      <c r="R275" s="29"/>
      <c r="S275" s="28">
        <f t="shared" si="8"/>
        <v>155.22499999999999</v>
      </c>
      <c r="T275" s="28">
        <f t="shared" si="9"/>
        <v>155.22499999999999</v>
      </c>
      <c r="U275" s="266" t="b">
        <v>1</v>
      </c>
      <c r="V275" s="266" t="b">
        <v>0</v>
      </c>
      <c r="Z275"/>
    </row>
    <row r="276" spans="1:26" ht="27" customHeight="1">
      <c r="A276" s="257"/>
      <c r="B276" s="46" t="s">
        <v>2081</v>
      </c>
      <c r="C276" s="257"/>
      <c r="D276" s="48" t="s">
        <v>2938</v>
      </c>
      <c r="E276" s="48" t="s">
        <v>2082</v>
      </c>
      <c r="F276" s="43"/>
      <c r="G276" s="243" t="s">
        <v>5195</v>
      </c>
      <c r="H276" s="243"/>
      <c r="I276" s="46"/>
      <c r="J276" s="260" t="s">
        <v>2946</v>
      </c>
      <c r="K276" s="257" t="s">
        <v>494</v>
      </c>
      <c r="L276" s="270"/>
      <c r="M276" s="270">
        <v>97.29</v>
      </c>
      <c r="N276" s="130">
        <v>125.72499999999999</v>
      </c>
      <c r="O276" s="28">
        <v>84.6</v>
      </c>
      <c r="P276" s="29"/>
      <c r="Q276" s="29"/>
      <c r="R276" s="29"/>
      <c r="S276" s="28">
        <f t="shared" si="8"/>
        <v>102.53833333333334</v>
      </c>
      <c r="T276" s="28">
        <f t="shared" si="9"/>
        <v>102.53833333333334</v>
      </c>
      <c r="U276" s="266" t="b">
        <v>1</v>
      </c>
      <c r="V276" s="266" t="b">
        <v>0</v>
      </c>
      <c r="Z276"/>
    </row>
    <row r="277" spans="1:26" ht="27" customHeight="1">
      <c r="A277" s="27" t="s">
        <v>95</v>
      </c>
      <c r="B277" s="27" t="s">
        <v>1466</v>
      </c>
      <c r="C277" s="252" t="s">
        <v>3353</v>
      </c>
      <c r="D277" s="250" t="s">
        <v>734</v>
      </c>
      <c r="E277" s="250" t="s">
        <v>3510</v>
      </c>
      <c r="F277" s="43" t="s">
        <v>1151</v>
      </c>
      <c r="G277" s="27" t="s">
        <v>2246</v>
      </c>
      <c r="H277" s="27"/>
      <c r="I277" s="27"/>
      <c r="J277" s="252"/>
      <c r="K277" s="27" t="s">
        <v>7</v>
      </c>
      <c r="L277" s="58">
        <v>10</v>
      </c>
      <c r="M277" s="58">
        <v>50.683999999999997</v>
      </c>
      <c r="N277" s="130">
        <v>55.628</v>
      </c>
      <c r="O277" s="28">
        <v>3.0579399999999999</v>
      </c>
      <c r="P277" s="29">
        <v>18.693200000000001</v>
      </c>
      <c r="Q277" s="28">
        <v>34.357030000000002</v>
      </c>
      <c r="R277" s="28">
        <v>48.609250000000003</v>
      </c>
      <c r="S277" s="28">
        <f t="shared" si="8"/>
        <v>35.171570000000003</v>
      </c>
      <c r="T277" s="28">
        <f t="shared" si="9"/>
        <v>35.171570000000003</v>
      </c>
      <c r="U277" s="266" t="b">
        <v>1</v>
      </c>
      <c r="V277" s="266" t="b">
        <v>0</v>
      </c>
      <c r="Z277"/>
    </row>
    <row r="278" spans="1:26" ht="27" customHeight="1">
      <c r="A278" s="27" t="s">
        <v>95</v>
      </c>
      <c r="B278" s="27" t="s">
        <v>96</v>
      </c>
      <c r="C278" s="252" t="s">
        <v>3353</v>
      </c>
      <c r="D278" s="250" t="s">
        <v>733</v>
      </c>
      <c r="E278" s="250" t="s">
        <v>3511</v>
      </c>
      <c r="F278" s="43"/>
      <c r="G278" s="257" t="s">
        <v>2490</v>
      </c>
      <c r="H278" s="257"/>
      <c r="I278" s="257"/>
      <c r="J278" s="252"/>
      <c r="K278" s="27" t="s">
        <v>7</v>
      </c>
      <c r="L278" s="58">
        <v>15</v>
      </c>
      <c r="M278" s="58">
        <v>58.423010000000005</v>
      </c>
      <c r="N278" s="130">
        <v>67.742999999999995</v>
      </c>
      <c r="O278" s="28">
        <v>90.652000000000001</v>
      </c>
      <c r="P278" s="29">
        <v>89.272999999999996</v>
      </c>
      <c r="Q278" s="28">
        <v>88.203000000000003</v>
      </c>
      <c r="R278" s="28">
        <v>82.503</v>
      </c>
      <c r="S278" s="28">
        <f t="shared" si="8"/>
        <v>79.466168333333329</v>
      </c>
      <c r="T278" s="28">
        <f t="shared" si="9"/>
        <v>79.466168333333329</v>
      </c>
      <c r="U278" s="266" t="b">
        <v>1</v>
      </c>
      <c r="V278" s="266" t="b">
        <v>0</v>
      </c>
      <c r="Z278"/>
    </row>
    <row r="279" spans="1:26" ht="27" customHeight="1">
      <c r="A279" s="252"/>
      <c r="B279" s="252" t="s">
        <v>1842</v>
      </c>
      <c r="C279" s="257"/>
      <c r="D279" s="48" t="s">
        <v>1428</v>
      </c>
      <c r="E279" s="48" t="s">
        <v>1984</v>
      </c>
      <c r="F279" s="257"/>
      <c r="G279" s="252" t="s">
        <v>2357</v>
      </c>
      <c r="H279" s="252"/>
      <c r="I279" s="252"/>
      <c r="J279" s="257"/>
      <c r="K279" s="252" t="s">
        <v>9</v>
      </c>
      <c r="L279" s="268">
        <v>189</v>
      </c>
      <c r="M279" s="268">
        <v>454.68189000000001</v>
      </c>
      <c r="N279" s="32">
        <v>528.7636</v>
      </c>
      <c r="O279" s="32" t="s">
        <v>115</v>
      </c>
      <c r="P279" s="32" t="s">
        <v>115</v>
      </c>
      <c r="Q279" s="253" t="s">
        <v>115</v>
      </c>
      <c r="R279" s="253" t="s">
        <v>115</v>
      </c>
      <c r="S279" s="28">
        <f t="shared" si="8"/>
        <v>491.72274500000003</v>
      </c>
      <c r="T279" s="28">
        <f t="shared" si="9"/>
        <v>491.72274500000003</v>
      </c>
      <c r="U279" s="266" t="b">
        <v>1</v>
      </c>
      <c r="V279" s="266" t="b">
        <v>0</v>
      </c>
      <c r="Z279"/>
    </row>
    <row r="280" spans="1:26" ht="27" customHeight="1">
      <c r="A280" s="143"/>
      <c r="B280" s="252" t="s">
        <v>3927</v>
      </c>
      <c r="C280" s="252" t="s">
        <v>3868</v>
      </c>
      <c r="D280" s="252" t="s">
        <v>3775</v>
      </c>
      <c r="E280" s="489" t="s">
        <v>5504</v>
      </c>
      <c r="F280" s="151">
        <v>42368</v>
      </c>
      <c r="G280" s="143" t="s">
        <v>5128</v>
      </c>
      <c r="H280" s="143"/>
      <c r="I280" s="188"/>
      <c r="J280" s="262" t="s">
        <v>4679</v>
      </c>
      <c r="K280" s="143" t="s">
        <v>1089</v>
      </c>
      <c r="L280" s="261">
        <v>20</v>
      </c>
      <c r="M280" s="258">
        <v>2.79</v>
      </c>
      <c r="N280" s="144" t="s">
        <v>115</v>
      </c>
      <c r="O280" s="241" t="s">
        <v>115</v>
      </c>
      <c r="P280" s="262" t="s">
        <v>115</v>
      </c>
      <c r="Q280" s="254" t="s">
        <v>115</v>
      </c>
      <c r="R280" s="262" t="s">
        <v>115</v>
      </c>
      <c r="S280" s="28">
        <f t="shared" si="8"/>
        <v>2.79</v>
      </c>
      <c r="T280" s="28">
        <f t="shared" si="9"/>
        <v>46.428000000000004</v>
      </c>
      <c r="U280" s="266" t="b">
        <v>1</v>
      </c>
      <c r="V280" s="266" t="b">
        <v>0</v>
      </c>
      <c r="Z280"/>
    </row>
    <row r="281" spans="1:26" ht="27" customHeight="1">
      <c r="A281" s="252"/>
      <c r="B281" s="252" t="s">
        <v>1467</v>
      </c>
      <c r="C281" s="257"/>
      <c r="D281" s="48" t="s">
        <v>2967</v>
      </c>
      <c r="E281" s="48" t="s">
        <v>2968</v>
      </c>
      <c r="F281" s="257"/>
      <c r="G281" s="200" t="s">
        <v>4785</v>
      </c>
      <c r="H281" s="200"/>
      <c r="I281" s="252"/>
      <c r="J281" s="257" t="s">
        <v>4786</v>
      </c>
      <c r="K281" s="252" t="s">
        <v>1959</v>
      </c>
      <c r="L281" s="268">
        <f>1.6+1.06+0.99+1.43</f>
        <v>5.08</v>
      </c>
      <c r="M281" s="268"/>
      <c r="N281" s="32">
        <f>(10808+5462+3466+8756)/1000</f>
        <v>28.492000000000001</v>
      </c>
      <c r="O281" s="32"/>
      <c r="P281" s="32"/>
      <c r="Q281" s="253"/>
      <c r="R281" s="253"/>
      <c r="S281" s="28">
        <f t="shared" si="8"/>
        <v>0</v>
      </c>
      <c r="T281" s="28">
        <f t="shared" si="9"/>
        <v>0</v>
      </c>
      <c r="U281" s="266" t="b">
        <v>0</v>
      </c>
      <c r="V281" s="266" t="b">
        <v>0</v>
      </c>
      <c r="Z281"/>
    </row>
    <row r="282" spans="1:26" ht="27" customHeight="1">
      <c r="A282" s="27" t="s">
        <v>78</v>
      </c>
      <c r="B282" s="27" t="s">
        <v>1468</v>
      </c>
      <c r="C282" s="252" t="s">
        <v>3442</v>
      </c>
      <c r="D282" s="48" t="s">
        <v>732</v>
      </c>
      <c r="E282" s="48" t="s">
        <v>3512</v>
      </c>
      <c r="F282" s="48" t="s">
        <v>1161</v>
      </c>
      <c r="G282" s="252" t="s">
        <v>2202</v>
      </c>
      <c r="H282" s="252"/>
      <c r="I282" s="252"/>
      <c r="J282" s="252"/>
      <c r="K282" s="27" t="s">
        <v>7</v>
      </c>
      <c r="L282" s="58">
        <v>110</v>
      </c>
      <c r="M282" s="58">
        <v>733.81600000000003</v>
      </c>
      <c r="N282" s="130">
        <v>510.17306000000008</v>
      </c>
      <c r="O282" s="28">
        <v>640.06902000000002</v>
      </c>
      <c r="P282" s="29">
        <v>690.43499999999995</v>
      </c>
      <c r="Q282" s="28">
        <v>684.077</v>
      </c>
      <c r="R282" s="28">
        <v>694.41600000000005</v>
      </c>
      <c r="S282" s="28">
        <f t="shared" si="8"/>
        <v>658.83101333333343</v>
      </c>
      <c r="T282" s="28">
        <f t="shared" si="9"/>
        <v>658.83101333333343</v>
      </c>
      <c r="U282" s="266" t="b">
        <v>1</v>
      </c>
      <c r="V282" s="266" t="b">
        <v>0</v>
      </c>
      <c r="Z282"/>
    </row>
    <row r="283" spans="1:26" ht="27" customHeight="1">
      <c r="A283" s="143" t="s">
        <v>2385</v>
      </c>
      <c r="B283" s="143" t="s">
        <v>1687</v>
      </c>
      <c r="C283" s="252" t="s">
        <v>1688</v>
      </c>
      <c r="D283" s="257" t="s">
        <v>3805</v>
      </c>
      <c r="E283" s="209" t="s">
        <v>2865</v>
      </c>
      <c r="F283" s="151">
        <v>42255</v>
      </c>
      <c r="G283" s="262" t="s">
        <v>3594</v>
      </c>
      <c r="H283" s="262">
        <v>58462</v>
      </c>
      <c r="I283" s="188"/>
      <c r="J283" s="260" t="s">
        <v>2864</v>
      </c>
      <c r="K283" s="257" t="s">
        <v>1089</v>
      </c>
      <c r="L283" s="261">
        <v>230</v>
      </c>
      <c r="M283" s="258">
        <v>81.417000000000002</v>
      </c>
      <c r="N283" s="144" t="s">
        <v>115</v>
      </c>
      <c r="O283" s="241" t="s">
        <v>115</v>
      </c>
      <c r="P283" s="134" t="s">
        <v>115</v>
      </c>
      <c r="Q283" s="254" t="s">
        <v>115</v>
      </c>
      <c r="R283" s="264" t="s">
        <v>115</v>
      </c>
      <c r="S283" s="28">
        <f t="shared" si="8"/>
        <v>81.417000000000002</v>
      </c>
      <c r="T283" s="28">
        <f t="shared" si="9"/>
        <v>533.92200000000003</v>
      </c>
      <c r="U283" s="266" t="b">
        <v>1</v>
      </c>
      <c r="V283" s="266" t="b">
        <v>0</v>
      </c>
      <c r="Z283"/>
    </row>
    <row r="284" spans="1:26" ht="27" customHeight="1">
      <c r="A284" s="54" t="s">
        <v>901</v>
      </c>
      <c r="B284" s="254" t="s">
        <v>890</v>
      </c>
      <c r="C284" s="252"/>
      <c r="D284" s="261" t="s">
        <v>810</v>
      </c>
      <c r="E284" s="261" t="s">
        <v>2791</v>
      </c>
      <c r="F284" s="137">
        <v>41212</v>
      </c>
      <c r="G284" s="277"/>
      <c r="H284" s="254"/>
      <c r="I284" s="254"/>
      <c r="J284" s="260"/>
      <c r="K284" s="27" t="s">
        <v>1089</v>
      </c>
      <c r="L284" s="271">
        <v>25.5</v>
      </c>
      <c r="M284" s="271">
        <v>64.495000000000005</v>
      </c>
      <c r="N284" s="130">
        <v>65.203999999999994</v>
      </c>
      <c r="O284" s="29">
        <v>66.685000000000002</v>
      </c>
      <c r="P284" s="37">
        <v>21.484999999999999</v>
      </c>
      <c r="Q284" s="37" t="s">
        <v>115</v>
      </c>
      <c r="R284" s="37" t="s">
        <v>115</v>
      </c>
      <c r="S284" s="28">
        <f t="shared" si="8"/>
        <v>54.467250000000007</v>
      </c>
      <c r="T284" s="28">
        <f t="shared" si="9"/>
        <v>54.467250000000007</v>
      </c>
      <c r="U284" s="266" t="b">
        <v>1</v>
      </c>
      <c r="V284" s="266" t="b">
        <v>0</v>
      </c>
      <c r="Z284"/>
    </row>
    <row r="285" spans="1:26" ht="27" customHeight="1">
      <c r="A285" s="27" t="s">
        <v>511</v>
      </c>
      <c r="B285" s="27" t="s">
        <v>25</v>
      </c>
      <c r="C285" s="252" t="s">
        <v>3313</v>
      </c>
      <c r="D285" s="250" t="s">
        <v>731</v>
      </c>
      <c r="E285" s="250" t="s">
        <v>3513</v>
      </c>
      <c r="F285" s="251"/>
      <c r="G285" s="281" t="s">
        <v>2423</v>
      </c>
      <c r="H285" s="27"/>
      <c r="I285" s="27"/>
      <c r="J285" s="252"/>
      <c r="K285" s="252" t="s">
        <v>3</v>
      </c>
      <c r="L285" s="58">
        <v>47</v>
      </c>
      <c r="M285" s="58">
        <v>323.07600000000002</v>
      </c>
      <c r="N285" s="130">
        <v>327.98200000000003</v>
      </c>
      <c r="O285" s="28">
        <v>351.291</v>
      </c>
      <c r="P285" s="29">
        <v>327.41000000000003</v>
      </c>
      <c r="Q285" s="29">
        <v>342.40800000000002</v>
      </c>
      <c r="R285" s="29">
        <v>362.91500000000002</v>
      </c>
      <c r="S285" s="28">
        <f t="shared" si="8"/>
        <v>339.18033333333329</v>
      </c>
      <c r="T285" s="28">
        <f t="shared" si="9"/>
        <v>339.18033333333329</v>
      </c>
      <c r="U285" s="266" t="b">
        <v>1</v>
      </c>
      <c r="V285" s="266" t="b">
        <v>0</v>
      </c>
      <c r="Z285"/>
    </row>
    <row r="286" spans="1:26" ht="27" customHeight="1">
      <c r="A286" s="143" t="s">
        <v>2600</v>
      </c>
      <c r="B286" s="143" t="s">
        <v>1689</v>
      </c>
      <c r="C286" s="252" t="s">
        <v>1690</v>
      </c>
      <c r="D286" s="257" t="s">
        <v>3783</v>
      </c>
      <c r="E286" s="209" t="s">
        <v>2792</v>
      </c>
      <c r="F286" s="151">
        <v>42136</v>
      </c>
      <c r="G286" s="262" t="s">
        <v>2614</v>
      </c>
      <c r="H286" s="262"/>
      <c r="I286" s="188"/>
      <c r="J286" s="257"/>
      <c r="K286" s="257" t="s">
        <v>1089</v>
      </c>
      <c r="L286" s="261">
        <v>1.5</v>
      </c>
      <c r="M286" s="258">
        <v>2.9020000000000001</v>
      </c>
      <c r="N286" s="144" t="s">
        <v>115</v>
      </c>
      <c r="O286" s="241" t="s">
        <v>115</v>
      </c>
      <c r="P286" s="134" t="s">
        <v>115</v>
      </c>
      <c r="Q286" s="262" t="s">
        <v>115</v>
      </c>
      <c r="R286" s="264" t="s">
        <v>115</v>
      </c>
      <c r="S286" s="28">
        <f t="shared" si="8"/>
        <v>2.9020000000000001</v>
      </c>
      <c r="T286" s="28">
        <f t="shared" si="9"/>
        <v>3.4821</v>
      </c>
      <c r="U286" s="266" t="b">
        <v>1</v>
      </c>
      <c r="V286" s="266" t="b">
        <v>0</v>
      </c>
      <c r="Z286"/>
    </row>
    <row r="287" spans="1:26" ht="27" customHeight="1">
      <c r="A287" s="252" t="s">
        <v>979</v>
      </c>
      <c r="B287" s="257" t="s">
        <v>1083</v>
      </c>
      <c r="C287" s="252"/>
      <c r="D287" s="250" t="s">
        <v>980</v>
      </c>
      <c r="E287" s="250" t="s">
        <v>2793</v>
      </c>
      <c r="F287" s="49">
        <v>40511</v>
      </c>
      <c r="G287" s="188"/>
      <c r="H287" s="257"/>
      <c r="I287" s="257"/>
      <c r="J287" s="257" t="s">
        <v>3284</v>
      </c>
      <c r="K287" s="27" t="s">
        <v>1089</v>
      </c>
      <c r="L287" s="266">
        <v>1.1399999999999999</v>
      </c>
      <c r="M287" s="266">
        <v>2.609</v>
      </c>
      <c r="N287" s="130">
        <v>1.804</v>
      </c>
      <c r="O287" s="47">
        <v>4.5579999999999998</v>
      </c>
      <c r="P287" s="47" t="s">
        <v>115</v>
      </c>
      <c r="Q287" s="31" t="s">
        <v>115</v>
      </c>
      <c r="R287" s="29" t="s">
        <v>115</v>
      </c>
      <c r="S287" s="28">
        <f t="shared" si="8"/>
        <v>2.9903333333333335</v>
      </c>
      <c r="T287" s="28">
        <f t="shared" si="9"/>
        <v>2.9903333333333335</v>
      </c>
      <c r="U287" s="266" t="b">
        <v>1</v>
      </c>
      <c r="V287" s="266" t="b">
        <v>0</v>
      </c>
      <c r="Z287"/>
    </row>
    <row r="288" spans="1:26" s="259" customFormat="1" ht="27" customHeight="1">
      <c r="A288" s="252"/>
      <c r="B288" s="252" t="s">
        <v>1843</v>
      </c>
      <c r="C288" s="257"/>
      <c r="D288" s="48" t="s">
        <v>1310</v>
      </c>
      <c r="E288" s="48" t="s">
        <v>3515</v>
      </c>
      <c r="F288" s="257"/>
      <c r="G288" s="252"/>
      <c r="H288" s="252"/>
      <c r="I288" s="252"/>
      <c r="J288" s="257" t="s">
        <v>3514</v>
      </c>
      <c r="K288" s="252" t="s">
        <v>9</v>
      </c>
      <c r="L288" s="268">
        <v>29.9</v>
      </c>
      <c r="M288" s="268">
        <v>9.3227600000000006</v>
      </c>
      <c r="N288" s="32">
        <v>5.0296899999999996</v>
      </c>
      <c r="O288" s="32" t="s">
        <v>115</v>
      </c>
      <c r="P288" s="32" t="s">
        <v>115</v>
      </c>
      <c r="Q288" s="253" t="s">
        <v>115</v>
      </c>
      <c r="R288" s="253" t="s">
        <v>115</v>
      </c>
      <c r="S288" s="28">
        <f t="shared" si="8"/>
        <v>7.1762250000000005</v>
      </c>
      <c r="T288" s="28">
        <f t="shared" si="9"/>
        <v>7.1762250000000005</v>
      </c>
      <c r="U288" s="266" t="b">
        <v>1</v>
      </c>
      <c r="V288" s="266" t="b">
        <v>0</v>
      </c>
      <c r="Z288"/>
    </row>
    <row r="289" spans="1:26" ht="27" customHeight="1">
      <c r="A289" s="27" t="s">
        <v>36</v>
      </c>
      <c r="B289" s="257" t="s">
        <v>2795</v>
      </c>
      <c r="C289" s="252"/>
      <c r="D289" s="250" t="s">
        <v>924</v>
      </c>
      <c r="E289" s="250" t="s">
        <v>2796</v>
      </c>
      <c r="F289" s="251">
        <v>41074</v>
      </c>
      <c r="G289" s="188"/>
      <c r="H289" s="257"/>
      <c r="I289" s="257"/>
      <c r="J289" s="257"/>
      <c r="K289" s="27" t="s">
        <v>2894</v>
      </c>
      <c r="L289" s="58">
        <v>3.2</v>
      </c>
      <c r="M289" s="58">
        <v>25.99</v>
      </c>
      <c r="N289" s="130">
        <v>24.706</v>
      </c>
      <c r="O289" s="28">
        <v>23.268000000000001</v>
      </c>
      <c r="P289" s="32">
        <v>14.438000000000001</v>
      </c>
      <c r="Q289" s="32" t="s">
        <v>115</v>
      </c>
      <c r="R289" s="32" t="s">
        <v>115</v>
      </c>
      <c r="S289" s="28">
        <f t="shared" si="8"/>
        <v>22.1005</v>
      </c>
      <c r="T289" s="28">
        <f t="shared" si="9"/>
        <v>22.1005</v>
      </c>
      <c r="U289" s="266" t="b">
        <v>1</v>
      </c>
      <c r="V289" s="266" t="b">
        <v>0</v>
      </c>
      <c r="Z289"/>
    </row>
    <row r="290" spans="1:26" ht="27" customHeight="1">
      <c r="A290" s="143" t="s">
        <v>1923</v>
      </c>
      <c r="B290" s="143" t="s">
        <v>1742</v>
      </c>
      <c r="C290" s="252" t="s">
        <v>1743</v>
      </c>
      <c r="D290" s="257" t="s">
        <v>3784</v>
      </c>
      <c r="E290" s="209" t="s">
        <v>2794</v>
      </c>
      <c r="F290" s="151">
        <v>42147</v>
      </c>
      <c r="G290" s="262" t="s">
        <v>2615</v>
      </c>
      <c r="H290" s="262"/>
      <c r="I290" s="188"/>
      <c r="J290" s="257"/>
      <c r="K290" s="257" t="s">
        <v>1089</v>
      </c>
      <c r="L290" s="261">
        <v>1.5</v>
      </c>
      <c r="M290" s="258">
        <v>2.7490000000000001</v>
      </c>
      <c r="N290" s="144" t="s">
        <v>115</v>
      </c>
      <c r="O290" s="241" t="s">
        <v>115</v>
      </c>
      <c r="P290" s="134" t="s">
        <v>115</v>
      </c>
      <c r="Q290" s="262" t="s">
        <v>115</v>
      </c>
      <c r="R290" s="264" t="s">
        <v>115</v>
      </c>
      <c r="S290" s="28">
        <f t="shared" si="8"/>
        <v>2.7490000000000001</v>
      </c>
      <c r="T290" s="28">
        <f t="shared" si="9"/>
        <v>3.4821</v>
      </c>
      <c r="U290" s="266" t="b">
        <v>1</v>
      </c>
      <c r="V290" s="266" t="b">
        <v>0</v>
      </c>
      <c r="Z290"/>
    </row>
    <row r="291" spans="1:26" ht="27" customHeight="1">
      <c r="A291" s="27" t="s">
        <v>30</v>
      </c>
      <c r="B291" s="27" t="s">
        <v>56</v>
      </c>
      <c r="C291" s="252" t="s">
        <v>3324</v>
      </c>
      <c r="D291" s="250" t="s">
        <v>730</v>
      </c>
      <c r="E291" s="250" t="s">
        <v>2797</v>
      </c>
      <c r="F291" s="251"/>
      <c r="G291" s="281"/>
      <c r="H291" s="27"/>
      <c r="I291" s="27"/>
      <c r="J291" s="257" t="s">
        <v>2914</v>
      </c>
      <c r="K291" s="27" t="s">
        <v>2894</v>
      </c>
      <c r="L291" s="58">
        <v>6.06</v>
      </c>
      <c r="M291" s="58">
        <v>42.027000000000001</v>
      </c>
      <c r="N291" s="130">
        <v>45.758000000000003</v>
      </c>
      <c r="O291" s="28">
        <v>46.026000000000003</v>
      </c>
      <c r="P291" s="29">
        <v>44.558</v>
      </c>
      <c r="Q291" s="28">
        <v>45.776000000000003</v>
      </c>
      <c r="R291" s="28">
        <v>46.625</v>
      </c>
      <c r="S291" s="28">
        <f t="shared" si="8"/>
        <v>45.12833333333333</v>
      </c>
      <c r="T291" s="28">
        <f t="shared" si="9"/>
        <v>45.12833333333333</v>
      </c>
      <c r="U291" s="266" t="b">
        <v>1</v>
      </c>
      <c r="V291" s="266" t="b">
        <v>0</v>
      </c>
      <c r="Z291"/>
    </row>
    <row r="292" spans="1:26" ht="27" customHeight="1">
      <c r="A292" s="27" t="s">
        <v>36</v>
      </c>
      <c r="B292" s="27" t="s">
        <v>951</v>
      </c>
      <c r="C292" s="252" t="s">
        <v>3325</v>
      </c>
      <c r="D292" s="250" t="s">
        <v>729</v>
      </c>
      <c r="E292" s="250" t="s">
        <v>3516</v>
      </c>
      <c r="F292" s="251"/>
      <c r="G292" s="281" t="s">
        <v>2363</v>
      </c>
      <c r="H292" s="27"/>
      <c r="I292" s="27"/>
      <c r="J292" s="257"/>
      <c r="K292" s="27" t="s">
        <v>2894</v>
      </c>
      <c r="L292" s="58">
        <v>7.1</v>
      </c>
      <c r="M292" s="58">
        <v>42.585999999999999</v>
      </c>
      <c r="N292" s="130">
        <v>42.165999999999997</v>
      </c>
      <c r="O292" s="28">
        <v>44.341999999999999</v>
      </c>
      <c r="P292" s="29">
        <v>43.323999999999998</v>
      </c>
      <c r="Q292" s="28">
        <v>38.204000000000001</v>
      </c>
      <c r="R292" s="28">
        <v>42.691000000000003</v>
      </c>
      <c r="S292" s="28">
        <f t="shared" si="8"/>
        <v>42.218833333333336</v>
      </c>
      <c r="T292" s="28">
        <f t="shared" si="9"/>
        <v>42.218833333333336</v>
      </c>
      <c r="U292" s="266" t="b">
        <v>1</v>
      </c>
      <c r="V292" s="266" t="b">
        <v>0</v>
      </c>
      <c r="Z292"/>
    </row>
    <row r="293" spans="1:26" ht="27" customHeight="1">
      <c r="A293" s="27"/>
      <c r="B293" s="27" t="s">
        <v>31</v>
      </c>
      <c r="C293" s="252" t="s">
        <v>3326</v>
      </c>
      <c r="D293" s="250" t="s">
        <v>728</v>
      </c>
      <c r="E293" s="250" t="s">
        <v>2796</v>
      </c>
      <c r="F293" s="251"/>
      <c r="G293" s="281" t="s">
        <v>2364</v>
      </c>
      <c r="H293" s="27"/>
      <c r="I293" s="27"/>
      <c r="J293" s="257"/>
      <c r="K293" s="27" t="s">
        <v>2894</v>
      </c>
      <c r="L293" s="58">
        <v>6.5</v>
      </c>
      <c r="M293" s="58">
        <v>51.008000000000003</v>
      </c>
      <c r="N293" s="130">
        <v>46.088000000000001</v>
      </c>
      <c r="O293" s="28">
        <v>47.305999999999997</v>
      </c>
      <c r="P293" s="29">
        <v>48.764000000000003</v>
      </c>
      <c r="Q293" s="29">
        <v>49.204000000000001</v>
      </c>
      <c r="R293" s="29">
        <v>51.988999999999997</v>
      </c>
      <c r="S293" s="28">
        <f t="shared" si="8"/>
        <v>49.05983333333333</v>
      </c>
      <c r="T293" s="28">
        <f t="shared" si="9"/>
        <v>49.05983333333333</v>
      </c>
      <c r="U293" s="266" t="b">
        <v>1</v>
      </c>
      <c r="V293" s="266" t="b">
        <v>0</v>
      </c>
      <c r="Z293"/>
    </row>
    <row r="294" spans="1:26" ht="27" customHeight="1">
      <c r="A294" s="27" t="s">
        <v>30</v>
      </c>
      <c r="B294" s="27" t="s">
        <v>59</v>
      </c>
      <c r="C294" s="252" t="s">
        <v>3327</v>
      </c>
      <c r="D294" s="250" t="s">
        <v>727</v>
      </c>
      <c r="E294" s="250" t="s">
        <v>3517</v>
      </c>
      <c r="F294" s="251"/>
      <c r="G294" s="281"/>
      <c r="H294" s="27"/>
      <c r="I294" s="27"/>
      <c r="J294" s="257"/>
      <c r="K294" s="27" t="s">
        <v>2894</v>
      </c>
      <c r="L294" s="58">
        <v>3.8</v>
      </c>
      <c r="M294" s="58">
        <v>27.201000000000001</v>
      </c>
      <c r="N294" s="130">
        <v>23.254999999999999</v>
      </c>
      <c r="O294" s="28">
        <v>26.879000000000001</v>
      </c>
      <c r="P294" s="29">
        <v>27.692</v>
      </c>
      <c r="Q294" s="28">
        <v>28.363</v>
      </c>
      <c r="R294" s="28">
        <v>28.817</v>
      </c>
      <c r="S294" s="28">
        <f t="shared" si="8"/>
        <v>27.034500000000005</v>
      </c>
      <c r="T294" s="28">
        <f t="shared" si="9"/>
        <v>27.034500000000005</v>
      </c>
      <c r="U294" s="266" t="b">
        <v>1</v>
      </c>
      <c r="V294" s="266" t="b">
        <v>0</v>
      </c>
      <c r="Z294"/>
    </row>
    <row r="295" spans="1:26" ht="27" customHeight="1">
      <c r="A295" s="27" t="s">
        <v>36</v>
      </c>
      <c r="B295" s="27" t="s">
        <v>37</v>
      </c>
      <c r="C295" s="252" t="s">
        <v>3328</v>
      </c>
      <c r="D295" s="250" t="s">
        <v>726</v>
      </c>
      <c r="E295" s="250" t="s">
        <v>3518</v>
      </c>
      <c r="F295" s="251"/>
      <c r="G295" s="281" t="s">
        <v>2442</v>
      </c>
      <c r="H295" s="27"/>
      <c r="I295" s="27"/>
      <c r="J295" s="257"/>
      <c r="K295" s="27" t="s">
        <v>2894</v>
      </c>
      <c r="L295" s="58">
        <v>3.05</v>
      </c>
      <c r="M295" s="58">
        <v>24.556999999999999</v>
      </c>
      <c r="N295" s="130">
        <v>24.265000000000001</v>
      </c>
      <c r="O295" s="28">
        <v>23.21</v>
      </c>
      <c r="P295" s="29">
        <v>23.396999999999998</v>
      </c>
      <c r="Q295" s="28">
        <v>23.716999999999999</v>
      </c>
      <c r="R295" s="28">
        <v>23.991</v>
      </c>
      <c r="S295" s="28">
        <f t="shared" si="8"/>
        <v>23.856166666666667</v>
      </c>
      <c r="T295" s="28">
        <f t="shared" si="9"/>
        <v>23.856166666666667</v>
      </c>
      <c r="U295" s="266" t="b">
        <v>1</v>
      </c>
      <c r="V295" s="266" t="b">
        <v>0</v>
      </c>
      <c r="Z295"/>
    </row>
    <row r="296" spans="1:26" ht="27" customHeight="1">
      <c r="A296" s="27" t="s">
        <v>30</v>
      </c>
      <c r="B296" s="27" t="s">
        <v>519</v>
      </c>
      <c r="C296" s="252" t="s">
        <v>3430</v>
      </c>
      <c r="D296" s="250" t="s">
        <v>725</v>
      </c>
      <c r="E296" s="250" t="s">
        <v>2798</v>
      </c>
      <c r="F296" s="251"/>
      <c r="G296" s="281"/>
      <c r="H296" s="27"/>
      <c r="I296" s="27"/>
      <c r="J296" s="257"/>
      <c r="K296" s="27" t="s">
        <v>2894</v>
      </c>
      <c r="L296" s="59">
        <v>7.1</v>
      </c>
      <c r="M296" s="59">
        <v>44.183</v>
      </c>
      <c r="N296" s="130">
        <v>43.055</v>
      </c>
      <c r="O296" s="28">
        <v>43.021000000000001</v>
      </c>
      <c r="P296" s="29">
        <v>41.676099999999998</v>
      </c>
      <c r="Q296" s="28">
        <v>45.953089999999996</v>
      </c>
      <c r="R296" s="28">
        <v>48.7</v>
      </c>
      <c r="S296" s="28">
        <f t="shared" si="8"/>
        <v>44.431365</v>
      </c>
      <c r="T296" s="28">
        <f t="shared" si="9"/>
        <v>44.431365</v>
      </c>
      <c r="U296" s="266" t="b">
        <v>1</v>
      </c>
      <c r="V296" s="266" t="b">
        <v>0</v>
      </c>
      <c r="Z296"/>
    </row>
    <row r="297" spans="1:26" ht="27" customHeight="1">
      <c r="A297" s="27" t="s">
        <v>30</v>
      </c>
      <c r="B297" s="27" t="s">
        <v>520</v>
      </c>
      <c r="C297" s="252" t="s">
        <v>3329</v>
      </c>
      <c r="D297" s="250" t="s">
        <v>724</v>
      </c>
      <c r="E297" s="250" t="s">
        <v>2799</v>
      </c>
      <c r="F297" s="251"/>
      <c r="G297" s="281"/>
      <c r="H297" s="27"/>
      <c r="I297" s="27"/>
      <c r="J297" s="257"/>
      <c r="K297" s="27" t="s">
        <v>2894</v>
      </c>
      <c r="L297" s="58">
        <v>3.66</v>
      </c>
      <c r="M297" s="58">
        <v>13.461</v>
      </c>
      <c r="N297" s="130">
        <v>17.420999999999999</v>
      </c>
      <c r="O297" s="28">
        <v>18.803000000000001</v>
      </c>
      <c r="P297" s="29">
        <v>18.884</v>
      </c>
      <c r="Q297" s="28">
        <v>19.172000000000001</v>
      </c>
      <c r="R297" s="28">
        <v>18.009</v>
      </c>
      <c r="S297" s="28">
        <f t="shared" si="8"/>
        <v>17.625</v>
      </c>
      <c r="T297" s="28">
        <f t="shared" si="9"/>
        <v>17.625</v>
      </c>
      <c r="U297" s="266" t="b">
        <v>1</v>
      </c>
      <c r="V297" s="266" t="b">
        <v>0</v>
      </c>
      <c r="Z297"/>
    </row>
    <row r="298" spans="1:26" ht="27" customHeight="1">
      <c r="A298" s="27" t="s">
        <v>36</v>
      </c>
      <c r="B298" s="27" t="s">
        <v>958</v>
      </c>
      <c r="C298" s="252" t="s">
        <v>3330</v>
      </c>
      <c r="D298" s="250" t="s">
        <v>723</v>
      </c>
      <c r="E298" s="250" t="s">
        <v>2800</v>
      </c>
      <c r="F298" s="251"/>
      <c r="G298" s="281"/>
      <c r="H298" s="27"/>
      <c r="I298" s="27"/>
      <c r="J298" s="257"/>
      <c r="K298" s="27" t="s">
        <v>2894</v>
      </c>
      <c r="L298" s="58">
        <v>2.6</v>
      </c>
      <c r="M298" s="58">
        <v>11.804</v>
      </c>
      <c r="N298" s="130">
        <v>9.7579999999999991</v>
      </c>
      <c r="O298" s="28">
        <v>11.573</v>
      </c>
      <c r="P298" s="29">
        <v>14.028</v>
      </c>
      <c r="Q298" s="28">
        <v>13.097</v>
      </c>
      <c r="R298" s="28">
        <v>13.314</v>
      </c>
      <c r="S298" s="28">
        <f t="shared" si="8"/>
        <v>12.262333333333332</v>
      </c>
      <c r="T298" s="28">
        <f t="shared" si="9"/>
        <v>12.262333333333332</v>
      </c>
      <c r="U298" s="266" t="b">
        <v>1</v>
      </c>
      <c r="V298" s="266" t="b">
        <v>0</v>
      </c>
      <c r="Z298"/>
    </row>
    <row r="299" spans="1:26" ht="27" customHeight="1">
      <c r="A299" s="27" t="s">
        <v>36</v>
      </c>
      <c r="B299" s="27" t="s">
        <v>954</v>
      </c>
      <c r="C299" s="252" t="s">
        <v>3331</v>
      </c>
      <c r="D299" s="250" t="s">
        <v>722</v>
      </c>
      <c r="E299" s="250" t="s">
        <v>2801</v>
      </c>
      <c r="F299" s="251"/>
      <c r="G299" s="281"/>
      <c r="H299" s="281"/>
      <c r="I299" s="27"/>
      <c r="J299" s="257"/>
      <c r="K299" s="27" t="s">
        <v>2894</v>
      </c>
      <c r="L299" s="58">
        <v>2.6</v>
      </c>
      <c r="M299" s="58"/>
      <c r="N299" s="130"/>
      <c r="O299" s="28"/>
      <c r="P299" s="29"/>
      <c r="Q299" s="28"/>
      <c r="R299" s="28"/>
      <c r="S299" s="28">
        <f t="shared" si="8"/>
        <v>0</v>
      </c>
      <c r="T299" s="28">
        <f t="shared" si="9"/>
        <v>0</v>
      </c>
      <c r="U299" s="266" t="b">
        <v>0</v>
      </c>
      <c r="V299" s="266" t="b">
        <v>0</v>
      </c>
      <c r="Z299"/>
    </row>
    <row r="300" spans="1:26" ht="27" customHeight="1">
      <c r="A300" s="252"/>
      <c r="B300" s="252" t="s">
        <v>1844</v>
      </c>
      <c r="C300" s="257"/>
      <c r="D300" s="48" t="s">
        <v>1404</v>
      </c>
      <c r="E300" s="48" t="s">
        <v>3519</v>
      </c>
      <c r="F300" s="257"/>
      <c r="G300" s="252" t="s">
        <v>2499</v>
      </c>
      <c r="H300" s="252"/>
      <c r="I300" s="252"/>
      <c r="J300" s="257"/>
      <c r="K300" s="252" t="s">
        <v>9</v>
      </c>
      <c r="L300" s="268">
        <v>4</v>
      </c>
      <c r="M300" s="268">
        <v>1.50431</v>
      </c>
      <c r="N300" s="32">
        <v>1.7524600000000001</v>
      </c>
      <c r="O300" s="32" t="s">
        <v>115</v>
      </c>
      <c r="P300" s="32" t="s">
        <v>115</v>
      </c>
      <c r="Q300" s="253" t="s">
        <v>115</v>
      </c>
      <c r="R300" s="253" t="s">
        <v>115</v>
      </c>
      <c r="S300" s="28">
        <f t="shared" si="8"/>
        <v>1.6283850000000002</v>
      </c>
      <c r="T300" s="28">
        <f t="shared" si="9"/>
        <v>1.6283850000000002</v>
      </c>
      <c r="U300" s="266" t="b">
        <v>1</v>
      </c>
      <c r="V300" s="266" t="b">
        <v>0</v>
      </c>
      <c r="Z300"/>
    </row>
    <row r="301" spans="1:26" ht="27" customHeight="1">
      <c r="A301" s="252"/>
      <c r="B301" s="252" t="s">
        <v>1845</v>
      </c>
      <c r="C301" s="257"/>
      <c r="D301" s="48" t="s">
        <v>1341</v>
      </c>
      <c r="E301" s="29"/>
      <c r="F301" s="257"/>
      <c r="G301" s="252"/>
      <c r="H301" s="252"/>
      <c r="I301" s="252"/>
      <c r="J301" s="257"/>
      <c r="K301" s="252" t="s">
        <v>9</v>
      </c>
      <c r="L301" s="268">
        <v>85</v>
      </c>
      <c r="M301" s="268">
        <v>97.765950000000004</v>
      </c>
      <c r="N301" s="32">
        <v>115.49236999999999</v>
      </c>
      <c r="O301" s="32" t="s">
        <v>115</v>
      </c>
      <c r="P301" s="32" t="s">
        <v>115</v>
      </c>
      <c r="Q301" s="253" t="s">
        <v>115</v>
      </c>
      <c r="R301" s="253" t="s">
        <v>115</v>
      </c>
      <c r="S301" s="28">
        <f t="shared" si="8"/>
        <v>106.62916</v>
      </c>
      <c r="T301" s="28">
        <f t="shared" si="9"/>
        <v>106.62916</v>
      </c>
      <c r="U301" s="266" t="b">
        <v>1</v>
      </c>
      <c r="V301" s="266" t="b">
        <v>0</v>
      </c>
      <c r="Z301"/>
    </row>
    <row r="302" spans="1:26" s="259" customFormat="1" ht="27" customHeight="1">
      <c r="A302" s="252"/>
      <c r="B302" s="252" t="s">
        <v>1846</v>
      </c>
      <c r="C302" s="257"/>
      <c r="D302" s="48" t="s">
        <v>1340</v>
      </c>
      <c r="E302" s="48"/>
      <c r="F302" s="257"/>
      <c r="G302" s="252"/>
      <c r="H302" s="252"/>
      <c r="I302" s="252"/>
      <c r="J302" s="257"/>
      <c r="K302" s="252" t="s">
        <v>9</v>
      </c>
      <c r="L302" s="268">
        <v>23.5</v>
      </c>
      <c r="M302" s="268">
        <v>53.313830000000003</v>
      </c>
      <c r="N302" s="32">
        <v>59.67</v>
      </c>
      <c r="O302" s="32" t="s">
        <v>115</v>
      </c>
      <c r="P302" s="32" t="s">
        <v>115</v>
      </c>
      <c r="Q302" s="253" t="s">
        <v>115</v>
      </c>
      <c r="R302" s="253" t="s">
        <v>115</v>
      </c>
      <c r="S302" s="28">
        <f t="shared" si="8"/>
        <v>56.491915000000006</v>
      </c>
      <c r="T302" s="28">
        <f t="shared" si="9"/>
        <v>56.491915000000006</v>
      </c>
      <c r="U302" s="266" t="b">
        <v>1</v>
      </c>
      <c r="V302" s="266" t="b">
        <v>0</v>
      </c>
      <c r="Z302"/>
    </row>
    <row r="303" spans="1:26" ht="27" customHeight="1">
      <c r="A303" s="252"/>
      <c r="B303" s="252" t="s">
        <v>1847</v>
      </c>
      <c r="C303" s="257"/>
      <c r="D303" s="48" t="s">
        <v>1439</v>
      </c>
      <c r="E303" s="48"/>
      <c r="F303" s="257"/>
      <c r="G303" s="252"/>
      <c r="H303" s="252"/>
      <c r="I303" s="252"/>
      <c r="J303" s="257"/>
      <c r="K303" s="252" t="s">
        <v>9</v>
      </c>
      <c r="L303" s="268">
        <v>29</v>
      </c>
      <c r="M303" s="268">
        <v>62.27684</v>
      </c>
      <c r="N303" s="32">
        <v>74.81</v>
      </c>
      <c r="O303" s="32" t="s">
        <v>115</v>
      </c>
      <c r="P303" s="32" t="s">
        <v>115</v>
      </c>
      <c r="Q303" s="253" t="s">
        <v>115</v>
      </c>
      <c r="R303" s="253" t="s">
        <v>115</v>
      </c>
      <c r="S303" s="28">
        <f t="shared" si="8"/>
        <v>68.543419999999998</v>
      </c>
      <c r="T303" s="28">
        <f t="shared" si="9"/>
        <v>68.543419999999998</v>
      </c>
      <c r="U303" s="266" t="b">
        <v>1</v>
      </c>
      <c r="V303" s="266" t="b">
        <v>0</v>
      </c>
      <c r="Z303"/>
    </row>
    <row r="304" spans="1:26" ht="27" customHeight="1">
      <c r="A304" s="252"/>
      <c r="B304" s="252" t="s">
        <v>1848</v>
      </c>
      <c r="C304" s="257"/>
      <c r="D304" s="48" t="s">
        <v>1440</v>
      </c>
      <c r="E304" s="48"/>
      <c r="F304" s="257"/>
      <c r="G304" s="252"/>
      <c r="H304" s="252"/>
      <c r="I304" s="252"/>
      <c r="J304" s="257"/>
      <c r="K304" s="252" t="s">
        <v>9</v>
      </c>
      <c r="L304" s="268">
        <v>22.5</v>
      </c>
      <c r="M304" s="268">
        <v>55.852969999999999</v>
      </c>
      <c r="N304" s="32">
        <v>60.732999999999997</v>
      </c>
      <c r="O304" s="32" t="s">
        <v>115</v>
      </c>
      <c r="P304" s="32" t="s">
        <v>115</v>
      </c>
      <c r="Q304" s="253" t="s">
        <v>115</v>
      </c>
      <c r="R304" s="253" t="s">
        <v>115</v>
      </c>
      <c r="S304" s="28">
        <f t="shared" si="8"/>
        <v>58.292985000000002</v>
      </c>
      <c r="T304" s="28">
        <f t="shared" si="9"/>
        <v>58.292985000000002</v>
      </c>
      <c r="U304" s="266" t="b">
        <v>1</v>
      </c>
      <c r="V304" s="266" t="b">
        <v>0</v>
      </c>
      <c r="Z304"/>
    </row>
    <row r="305" spans="1:26" ht="27" customHeight="1">
      <c r="A305" s="252" t="s">
        <v>1502</v>
      </c>
      <c r="B305" s="257" t="s">
        <v>1501</v>
      </c>
      <c r="C305" s="252" t="s">
        <v>1692</v>
      </c>
      <c r="D305" s="48" t="s">
        <v>1214</v>
      </c>
      <c r="E305" s="48" t="s">
        <v>2998</v>
      </c>
      <c r="F305" s="43">
        <v>41977</v>
      </c>
      <c r="G305" s="188" t="s">
        <v>2249</v>
      </c>
      <c r="H305" s="257">
        <v>57331</v>
      </c>
      <c r="I305" s="257"/>
      <c r="J305" s="257"/>
      <c r="K305" s="257" t="s">
        <v>1079</v>
      </c>
      <c r="L305" s="266">
        <v>250</v>
      </c>
      <c r="M305" s="266">
        <v>557.78599999999994</v>
      </c>
      <c r="N305" s="130"/>
      <c r="O305" s="28" t="s">
        <v>115</v>
      </c>
      <c r="P305" s="37" t="s">
        <v>115</v>
      </c>
      <c r="Q305" s="37" t="s">
        <v>115</v>
      </c>
      <c r="R305" s="37" t="s">
        <v>115</v>
      </c>
      <c r="S305" s="28">
        <f t="shared" si="8"/>
        <v>557.78599999999994</v>
      </c>
      <c r="T305" s="28">
        <f t="shared" si="9"/>
        <v>557.78599999999994</v>
      </c>
      <c r="U305" s="266" t="b">
        <v>1</v>
      </c>
      <c r="V305" s="266" t="b">
        <v>0</v>
      </c>
      <c r="Z305"/>
    </row>
    <row r="306" spans="1:26" ht="27" customHeight="1">
      <c r="A306" s="27" t="s">
        <v>32</v>
      </c>
      <c r="B306" s="27" t="s">
        <v>1469</v>
      </c>
      <c r="C306" s="252" t="s">
        <v>3356</v>
      </c>
      <c r="D306" s="250" t="s">
        <v>721</v>
      </c>
      <c r="E306" s="250" t="s">
        <v>3520</v>
      </c>
      <c r="F306" s="251"/>
      <c r="G306" s="281" t="s">
        <v>2250</v>
      </c>
      <c r="H306" s="27"/>
      <c r="I306" s="27"/>
      <c r="J306" s="27"/>
      <c r="K306" s="27" t="s">
        <v>1176</v>
      </c>
      <c r="L306" s="58">
        <v>1.7399999999999998</v>
      </c>
      <c r="M306" s="58">
        <v>8.5500000000000007</v>
      </c>
      <c r="N306" s="130">
        <v>7.4340000000000002</v>
      </c>
      <c r="O306" s="28">
        <v>8.5470000000000006</v>
      </c>
      <c r="P306" s="29">
        <v>8.4060000000000006</v>
      </c>
      <c r="Q306" s="29">
        <v>7.9109999999999996</v>
      </c>
      <c r="R306" s="29">
        <v>7.6230000000000002</v>
      </c>
      <c r="S306" s="28">
        <f t="shared" si="8"/>
        <v>8.0785</v>
      </c>
      <c r="T306" s="28">
        <f t="shared" si="9"/>
        <v>8.0785</v>
      </c>
      <c r="U306" s="266" t="b">
        <v>1</v>
      </c>
      <c r="V306" s="266" t="b">
        <v>0</v>
      </c>
      <c r="Z306"/>
    </row>
    <row r="307" spans="1:26" ht="27" customHeight="1">
      <c r="A307" s="252"/>
      <c r="B307" s="252" t="s">
        <v>1849</v>
      </c>
      <c r="C307" s="257"/>
      <c r="D307" s="48" t="s">
        <v>1366</v>
      </c>
      <c r="E307" s="48" t="s">
        <v>3521</v>
      </c>
      <c r="F307" s="257"/>
      <c r="G307" s="252" t="s">
        <v>2251</v>
      </c>
      <c r="H307" s="252"/>
      <c r="I307" s="252"/>
      <c r="J307" s="257"/>
      <c r="K307" s="252" t="s">
        <v>9</v>
      </c>
      <c r="L307" s="268">
        <v>78.2</v>
      </c>
      <c r="M307" s="268">
        <v>219.50387000000001</v>
      </c>
      <c r="N307" s="32">
        <v>210.15103999999999</v>
      </c>
      <c r="O307" s="32" t="s">
        <v>115</v>
      </c>
      <c r="P307" s="32" t="s">
        <v>115</v>
      </c>
      <c r="Q307" s="253" t="s">
        <v>115</v>
      </c>
      <c r="R307" s="253" t="s">
        <v>115</v>
      </c>
      <c r="S307" s="28">
        <f t="shared" si="8"/>
        <v>214.82745499999999</v>
      </c>
      <c r="T307" s="28">
        <f t="shared" si="9"/>
        <v>214.82745499999999</v>
      </c>
      <c r="U307" s="266" t="b">
        <v>1</v>
      </c>
      <c r="V307" s="266" t="b">
        <v>0</v>
      </c>
      <c r="Z307"/>
    </row>
    <row r="308" spans="1:26" ht="27" customHeight="1">
      <c r="A308" s="143" t="s">
        <v>1568</v>
      </c>
      <c r="B308" s="143" t="s">
        <v>1575</v>
      </c>
      <c r="C308" s="252"/>
      <c r="D308" s="254" t="s">
        <v>3806</v>
      </c>
      <c r="E308" s="209" t="s">
        <v>3219</v>
      </c>
      <c r="F308" s="151">
        <v>42348</v>
      </c>
      <c r="G308" s="262" t="s">
        <v>2610</v>
      </c>
      <c r="H308" s="262"/>
      <c r="I308" s="188"/>
      <c r="J308" s="262" t="s">
        <v>1571</v>
      </c>
      <c r="K308" s="257" t="s">
        <v>1089</v>
      </c>
      <c r="L308" s="261">
        <v>15</v>
      </c>
      <c r="M308" s="258">
        <v>3.6720000000000002</v>
      </c>
      <c r="N308" s="144" t="s">
        <v>115</v>
      </c>
      <c r="O308" s="241" t="s">
        <v>115</v>
      </c>
      <c r="P308" s="134" t="s">
        <v>115</v>
      </c>
      <c r="Q308" s="262" t="s">
        <v>115</v>
      </c>
      <c r="R308" s="264" t="s">
        <v>115</v>
      </c>
      <c r="S308" s="28">
        <f t="shared" si="8"/>
        <v>3.6720000000000002</v>
      </c>
      <c r="T308" s="28">
        <f t="shared" si="9"/>
        <v>34.820999999999998</v>
      </c>
      <c r="U308" s="266" t="b">
        <v>1</v>
      </c>
      <c r="V308" s="266" t="b">
        <v>0</v>
      </c>
      <c r="Z308"/>
    </row>
    <row r="309" spans="1:26" ht="27" customHeight="1">
      <c r="A309" s="143"/>
      <c r="B309" s="143" t="s">
        <v>1609</v>
      </c>
      <c r="C309" s="252"/>
      <c r="D309" s="257" t="s">
        <v>4036</v>
      </c>
      <c r="E309" s="209" t="s">
        <v>5048</v>
      </c>
      <c r="F309" s="151">
        <v>42357</v>
      </c>
      <c r="G309" s="262" t="s">
        <v>5047</v>
      </c>
      <c r="H309" s="354"/>
      <c r="I309" s="188"/>
      <c r="J309" s="262" t="s">
        <v>2946</v>
      </c>
      <c r="K309" s="257" t="s">
        <v>1089</v>
      </c>
      <c r="L309" s="261">
        <v>1.5</v>
      </c>
      <c r="M309" s="258">
        <v>0.69063099999999999</v>
      </c>
      <c r="N309" s="144"/>
      <c r="O309" s="241"/>
      <c r="P309" s="134"/>
      <c r="Q309" s="254"/>
      <c r="R309" s="264"/>
      <c r="S309" s="28">
        <f t="shared" si="8"/>
        <v>0.69063099999999999</v>
      </c>
      <c r="T309" s="28">
        <f t="shared" si="9"/>
        <v>3.4821</v>
      </c>
      <c r="U309" s="266" t="b">
        <v>1</v>
      </c>
      <c r="V309" s="266" t="b">
        <v>0</v>
      </c>
      <c r="Z309"/>
    </row>
    <row r="310" spans="1:26" ht="27" customHeight="1">
      <c r="A310" s="252"/>
      <c r="B310" s="252" t="s">
        <v>1850</v>
      </c>
      <c r="C310" s="257"/>
      <c r="D310" s="48" t="s">
        <v>1445</v>
      </c>
      <c r="E310" s="48">
        <v>60284</v>
      </c>
      <c r="F310" s="257"/>
      <c r="G310" s="252" t="s">
        <v>2502</v>
      </c>
      <c r="H310" s="252"/>
      <c r="I310" s="252"/>
      <c r="J310" s="257"/>
      <c r="K310" s="252" t="s">
        <v>9</v>
      </c>
      <c r="L310" s="268">
        <v>44.4</v>
      </c>
      <c r="M310" s="268">
        <v>130.22349</v>
      </c>
      <c r="N310" s="32">
        <v>136.29779000000002</v>
      </c>
      <c r="O310" s="32" t="s">
        <v>115</v>
      </c>
      <c r="P310" s="32" t="s">
        <v>115</v>
      </c>
      <c r="Q310" s="253" t="s">
        <v>115</v>
      </c>
      <c r="R310" s="253" t="s">
        <v>115</v>
      </c>
      <c r="S310" s="28">
        <f t="shared" si="8"/>
        <v>133.26064000000002</v>
      </c>
      <c r="T310" s="28">
        <f t="shared" si="9"/>
        <v>133.26064000000002</v>
      </c>
      <c r="U310" s="266" t="b">
        <v>1</v>
      </c>
      <c r="V310" s="266" t="b">
        <v>0</v>
      </c>
      <c r="Z310"/>
    </row>
    <row r="311" spans="1:26" ht="27" customHeight="1">
      <c r="A311" s="252"/>
      <c r="B311" s="252" t="s">
        <v>1851</v>
      </c>
      <c r="C311" s="257"/>
      <c r="D311" s="48" t="s">
        <v>1446</v>
      </c>
      <c r="E311" s="48">
        <v>60285</v>
      </c>
      <c r="F311" s="257"/>
      <c r="G311" s="252" t="s">
        <v>2502</v>
      </c>
      <c r="H311" s="252"/>
      <c r="I311" s="252"/>
      <c r="J311" s="257"/>
      <c r="K311" s="252" t="s">
        <v>9</v>
      </c>
      <c r="L311" s="268">
        <v>22.2</v>
      </c>
      <c r="M311" s="268">
        <v>69.489020000000011</v>
      </c>
      <c r="N311" s="32">
        <v>67.723869999999991</v>
      </c>
      <c r="O311" s="32" t="s">
        <v>115</v>
      </c>
      <c r="P311" s="32" t="s">
        <v>115</v>
      </c>
      <c r="Q311" s="253" t="s">
        <v>115</v>
      </c>
      <c r="R311" s="253" t="s">
        <v>115</v>
      </c>
      <c r="S311" s="28">
        <f t="shared" si="8"/>
        <v>68.606445000000008</v>
      </c>
      <c r="T311" s="28">
        <f t="shared" si="9"/>
        <v>68.606445000000008</v>
      </c>
      <c r="U311" s="266" t="b">
        <v>1</v>
      </c>
      <c r="V311" s="266" t="b">
        <v>0</v>
      </c>
      <c r="Z311"/>
    </row>
    <row r="312" spans="1:26" ht="27" customHeight="1">
      <c r="A312" s="252"/>
      <c r="B312" s="252" t="s">
        <v>1852</v>
      </c>
      <c r="C312" s="257"/>
      <c r="D312" s="48" t="s">
        <v>1416</v>
      </c>
      <c r="E312" s="48" t="s">
        <v>3522</v>
      </c>
      <c r="F312" s="257"/>
      <c r="G312" s="252" t="s">
        <v>2358</v>
      </c>
      <c r="H312" s="252"/>
      <c r="I312" s="252"/>
      <c r="J312" s="257"/>
      <c r="K312" s="252" t="s">
        <v>9</v>
      </c>
      <c r="L312" s="268">
        <v>22.44</v>
      </c>
      <c r="M312" s="268">
        <v>71.124179999999996</v>
      </c>
      <c r="N312" s="32">
        <v>70.369919999999993</v>
      </c>
      <c r="O312" s="32" t="s">
        <v>115</v>
      </c>
      <c r="P312" s="32" t="s">
        <v>115</v>
      </c>
      <c r="Q312" s="253" t="s">
        <v>115</v>
      </c>
      <c r="R312" s="253" t="s">
        <v>115</v>
      </c>
      <c r="S312" s="28">
        <f t="shared" si="8"/>
        <v>70.747050000000002</v>
      </c>
      <c r="T312" s="28">
        <f t="shared" si="9"/>
        <v>70.747050000000002</v>
      </c>
      <c r="U312" s="266" t="b">
        <v>1</v>
      </c>
      <c r="V312" s="266" t="b">
        <v>0</v>
      </c>
      <c r="Z312"/>
    </row>
    <row r="313" spans="1:26" ht="27" customHeight="1">
      <c r="A313" s="252"/>
      <c r="B313" s="252" t="s">
        <v>1853</v>
      </c>
      <c r="C313" s="257"/>
      <c r="D313" s="48" t="s">
        <v>1433</v>
      </c>
      <c r="E313" s="48" t="s">
        <v>3523</v>
      </c>
      <c r="F313" s="257"/>
      <c r="G313" s="252" t="s">
        <v>2503</v>
      </c>
      <c r="H313" s="252"/>
      <c r="I313" s="252"/>
      <c r="J313" s="257"/>
      <c r="K313" s="252" t="s">
        <v>9</v>
      </c>
      <c r="L313" s="268">
        <v>49</v>
      </c>
      <c r="M313" s="268">
        <v>159.38788</v>
      </c>
      <c r="N313" s="32">
        <v>156.19445000000002</v>
      </c>
      <c r="O313" s="32" t="s">
        <v>115</v>
      </c>
      <c r="P313" s="32" t="s">
        <v>115</v>
      </c>
      <c r="Q313" s="253" t="s">
        <v>115</v>
      </c>
      <c r="R313" s="253" t="s">
        <v>115</v>
      </c>
      <c r="S313" s="28">
        <f t="shared" si="8"/>
        <v>157.79116500000001</v>
      </c>
      <c r="T313" s="28">
        <f t="shared" si="9"/>
        <v>157.79116500000001</v>
      </c>
      <c r="U313" s="266" t="b">
        <v>1</v>
      </c>
      <c r="V313" s="266" t="b">
        <v>0</v>
      </c>
      <c r="Z313"/>
    </row>
    <row r="314" spans="1:26" ht="27" customHeight="1">
      <c r="A314" s="252" t="s">
        <v>615</v>
      </c>
      <c r="B314" s="257" t="s">
        <v>873</v>
      </c>
      <c r="C314" s="252" t="s">
        <v>3357</v>
      </c>
      <c r="D314" s="250" t="s">
        <v>618</v>
      </c>
      <c r="E314" s="250" t="s">
        <v>3524</v>
      </c>
      <c r="F314" s="251">
        <v>40847</v>
      </c>
      <c r="G314" s="188" t="s">
        <v>2252</v>
      </c>
      <c r="H314" s="257"/>
      <c r="I314" s="257"/>
      <c r="J314" s="257"/>
      <c r="K314" s="252" t="s">
        <v>3</v>
      </c>
      <c r="L314" s="268">
        <v>44</v>
      </c>
      <c r="M314" s="268">
        <v>249.148</v>
      </c>
      <c r="N314" s="130">
        <v>257.524</v>
      </c>
      <c r="O314" s="29">
        <v>233.4</v>
      </c>
      <c r="P314" s="29">
        <v>199.61099999999999</v>
      </c>
      <c r="Q314" s="29"/>
      <c r="R314" s="29" t="s">
        <v>115</v>
      </c>
      <c r="S314" s="28">
        <f t="shared" si="8"/>
        <v>234.92075</v>
      </c>
      <c r="T314" s="28">
        <f t="shared" si="9"/>
        <v>234.92075</v>
      </c>
      <c r="U314" s="266" t="b">
        <v>1</v>
      </c>
      <c r="V314" s="266" t="b">
        <v>0</v>
      </c>
      <c r="Z314"/>
    </row>
    <row r="315" spans="1:26" ht="27" customHeight="1">
      <c r="A315" s="252"/>
      <c r="B315" s="252" t="s">
        <v>1854</v>
      </c>
      <c r="C315" s="257"/>
      <c r="D315" s="48" t="s">
        <v>1377</v>
      </c>
      <c r="E315" s="48" t="s">
        <v>3525</v>
      </c>
      <c r="F315" s="257"/>
      <c r="G315" s="252" t="s">
        <v>2504</v>
      </c>
      <c r="H315" s="252"/>
      <c r="I315" s="252"/>
      <c r="J315" s="257"/>
      <c r="K315" s="252" t="s">
        <v>9</v>
      </c>
      <c r="L315" s="268">
        <v>150</v>
      </c>
      <c r="M315" s="268">
        <v>252.83296999999999</v>
      </c>
      <c r="N315" s="32">
        <v>304.03831000000002</v>
      </c>
      <c r="O315" s="32" t="s">
        <v>115</v>
      </c>
      <c r="P315" s="32" t="s">
        <v>115</v>
      </c>
      <c r="Q315" s="253" t="s">
        <v>115</v>
      </c>
      <c r="R315" s="253" t="s">
        <v>115</v>
      </c>
      <c r="S315" s="28">
        <f t="shared" si="8"/>
        <v>278.43564000000003</v>
      </c>
      <c r="T315" s="28">
        <f t="shared" si="9"/>
        <v>278.43564000000003</v>
      </c>
      <c r="U315" s="266" t="b">
        <v>1</v>
      </c>
      <c r="V315" s="266" t="b">
        <v>0</v>
      </c>
      <c r="Z315"/>
    </row>
    <row r="316" spans="1:26" ht="27" customHeight="1">
      <c r="A316" s="252"/>
      <c r="B316" s="252" t="s">
        <v>3601</v>
      </c>
      <c r="C316" s="257"/>
      <c r="D316" s="48" t="s">
        <v>4442</v>
      </c>
      <c r="E316" s="48" t="s">
        <v>3602</v>
      </c>
      <c r="F316" s="257"/>
      <c r="G316" s="200" t="s">
        <v>3603</v>
      </c>
      <c r="H316" s="200"/>
      <c r="I316" s="252"/>
      <c r="J316" s="257" t="s">
        <v>2946</v>
      </c>
      <c r="K316" s="186" t="s">
        <v>1089</v>
      </c>
      <c r="L316" s="268">
        <v>1.5</v>
      </c>
      <c r="M316" s="268">
        <v>4.1245419999999999</v>
      </c>
      <c r="N316" s="107">
        <v>4.1539999999999999</v>
      </c>
      <c r="O316" s="107">
        <v>4.2030000000000003</v>
      </c>
      <c r="P316" s="32"/>
      <c r="Q316" s="253"/>
      <c r="R316" s="253"/>
      <c r="S316" s="28">
        <f t="shared" si="8"/>
        <v>4.160514</v>
      </c>
      <c r="T316" s="28">
        <f t="shared" si="9"/>
        <v>4.160514</v>
      </c>
      <c r="U316" s="266" t="b">
        <v>1</v>
      </c>
      <c r="V316" s="266" t="b">
        <v>0</v>
      </c>
      <c r="Z316"/>
    </row>
    <row r="317" spans="1:26" ht="27" customHeight="1">
      <c r="A317" s="261"/>
      <c r="B317" s="260" t="s">
        <v>4444</v>
      </c>
      <c r="C317" s="107"/>
      <c r="D317" s="260" t="s">
        <v>4443</v>
      </c>
      <c r="E317" s="107"/>
      <c r="F317" s="156">
        <v>41169</v>
      </c>
      <c r="G317" s="257"/>
      <c r="H317" s="107"/>
      <c r="I317" s="107"/>
      <c r="J317" s="107"/>
      <c r="K317" s="252" t="s">
        <v>1089</v>
      </c>
      <c r="L317" s="261">
        <v>13.78</v>
      </c>
      <c r="M317" s="107">
        <v>28.053000000000001</v>
      </c>
      <c r="N317" s="107">
        <v>29.091999999999999</v>
      </c>
      <c r="O317" s="107" t="s">
        <v>115</v>
      </c>
      <c r="P317" s="107" t="s">
        <v>115</v>
      </c>
      <c r="Q317" s="107" t="s">
        <v>115</v>
      </c>
      <c r="R317" s="107" t="s">
        <v>115</v>
      </c>
      <c r="S317" s="28">
        <f t="shared" si="8"/>
        <v>28.572499999999998</v>
      </c>
      <c r="T317" s="28">
        <f t="shared" si="9"/>
        <v>28.572499999999998</v>
      </c>
      <c r="U317" s="266" t="b">
        <v>1</v>
      </c>
      <c r="V317" s="266" t="b">
        <v>0</v>
      </c>
      <c r="Z317"/>
    </row>
    <row r="318" spans="1:26" ht="27" customHeight="1">
      <c r="A318" s="252"/>
      <c r="B318" s="252" t="s">
        <v>1855</v>
      </c>
      <c r="C318" s="257"/>
      <c r="D318" s="48" t="s">
        <v>1323</v>
      </c>
      <c r="E318" s="48" t="s">
        <v>5011</v>
      </c>
      <c r="F318" s="257"/>
      <c r="G318" s="252" t="s">
        <v>5010</v>
      </c>
      <c r="H318" s="252"/>
      <c r="I318" s="252"/>
      <c r="J318" s="257"/>
      <c r="K318" s="252" t="s">
        <v>9</v>
      </c>
      <c r="L318" s="268">
        <v>4.2</v>
      </c>
      <c r="M318" s="268">
        <v>4.9296800000000003</v>
      </c>
      <c r="N318" s="32">
        <v>4.7711499999999996</v>
      </c>
      <c r="O318" s="32" t="s">
        <v>115</v>
      </c>
      <c r="P318" s="32" t="s">
        <v>115</v>
      </c>
      <c r="Q318" s="253" t="s">
        <v>115</v>
      </c>
      <c r="R318" s="253" t="s">
        <v>115</v>
      </c>
      <c r="S318" s="28">
        <f t="shared" si="8"/>
        <v>4.8504149999999999</v>
      </c>
      <c r="T318" s="28">
        <f t="shared" si="9"/>
        <v>4.8504149999999999</v>
      </c>
      <c r="U318" s="266" t="b">
        <v>1</v>
      </c>
      <c r="V318" s="266" t="b">
        <v>0</v>
      </c>
      <c r="Z318"/>
    </row>
    <row r="319" spans="1:26" ht="27" customHeight="1">
      <c r="A319" s="186" t="s">
        <v>475</v>
      </c>
      <c r="B319" s="183" t="s">
        <v>1187</v>
      </c>
      <c r="C319" s="186"/>
      <c r="D319" s="184" t="s">
        <v>3285</v>
      </c>
      <c r="E319" s="184">
        <v>60929</v>
      </c>
      <c r="F319" s="185">
        <v>41466</v>
      </c>
      <c r="G319" s="188" t="s">
        <v>2505</v>
      </c>
      <c r="H319" s="198">
        <v>58226</v>
      </c>
      <c r="I319" s="186"/>
      <c r="J319" s="257" t="s">
        <v>2946</v>
      </c>
      <c r="K319" s="186" t="s">
        <v>1089</v>
      </c>
      <c r="L319" s="267">
        <v>1.492</v>
      </c>
      <c r="M319" s="267">
        <v>2.5604019999999998</v>
      </c>
      <c r="N319" s="187">
        <v>3.464</v>
      </c>
      <c r="O319" s="187"/>
      <c r="P319" s="249"/>
      <c r="Q319" s="249"/>
      <c r="R319" s="249"/>
      <c r="S319" s="28">
        <f t="shared" si="8"/>
        <v>3.0122010000000001</v>
      </c>
      <c r="T319" s="28">
        <f t="shared" si="9"/>
        <v>3.0122010000000001</v>
      </c>
      <c r="U319" s="266" t="b">
        <v>1</v>
      </c>
      <c r="V319" s="266" t="b">
        <v>0</v>
      </c>
      <c r="Z319"/>
    </row>
    <row r="320" spans="1:26" ht="27" customHeight="1">
      <c r="A320" s="252"/>
      <c r="B320" s="46" t="s">
        <v>1057</v>
      </c>
      <c r="C320" s="252" t="s">
        <v>3426</v>
      </c>
      <c r="D320" s="48" t="s">
        <v>1056</v>
      </c>
      <c r="E320" s="48" t="s">
        <v>3526</v>
      </c>
      <c r="F320" s="43" t="s">
        <v>1125</v>
      </c>
      <c r="G320" s="243" t="s">
        <v>2253</v>
      </c>
      <c r="H320" s="46"/>
      <c r="I320" s="46"/>
      <c r="J320" s="257"/>
      <c r="K320" s="257" t="s">
        <v>1089</v>
      </c>
      <c r="L320" s="266">
        <v>1.5</v>
      </c>
      <c r="M320" s="266">
        <v>3.1120000000000001</v>
      </c>
      <c r="N320" s="130">
        <v>3.1120000000000001</v>
      </c>
      <c r="O320" s="136">
        <v>5.6379999999999999</v>
      </c>
      <c r="P320" s="37" t="s">
        <v>115</v>
      </c>
      <c r="Q320" s="37" t="s">
        <v>115</v>
      </c>
      <c r="R320" s="37" t="s">
        <v>115</v>
      </c>
      <c r="S320" s="28">
        <f t="shared" si="8"/>
        <v>3.9540000000000002</v>
      </c>
      <c r="T320" s="28">
        <f t="shared" si="9"/>
        <v>3.9540000000000002</v>
      </c>
      <c r="U320" s="266" t="b">
        <v>1</v>
      </c>
      <c r="V320" s="266" t="b">
        <v>0</v>
      </c>
      <c r="Z320"/>
    </row>
    <row r="321" spans="1:26" ht="27" customHeight="1">
      <c r="A321" s="257" t="s">
        <v>3826</v>
      </c>
      <c r="B321" s="257" t="s">
        <v>3825</v>
      </c>
      <c r="C321" s="257"/>
      <c r="D321" s="29" t="s">
        <v>3827</v>
      </c>
      <c r="E321" s="29"/>
      <c r="F321" s="251"/>
      <c r="G321" s="188"/>
      <c r="H321" s="188"/>
      <c r="I321" s="188"/>
      <c r="J321" s="257"/>
      <c r="K321" s="257" t="s">
        <v>1089</v>
      </c>
      <c r="L321" s="258">
        <v>1</v>
      </c>
      <c r="M321" s="258">
        <v>2.4550000000000001</v>
      </c>
      <c r="N321" s="258" t="s">
        <v>115</v>
      </c>
      <c r="O321" s="32" t="s">
        <v>115</v>
      </c>
      <c r="P321" s="32" t="s">
        <v>115</v>
      </c>
      <c r="Q321" s="253" t="s">
        <v>115</v>
      </c>
      <c r="R321" s="253" t="s">
        <v>115</v>
      </c>
      <c r="S321" s="28">
        <f t="shared" si="8"/>
        <v>2.4550000000000001</v>
      </c>
      <c r="T321" s="28">
        <f t="shared" si="9"/>
        <v>2.4550000000000001</v>
      </c>
      <c r="U321" s="266" t="b">
        <v>1</v>
      </c>
      <c r="V321" s="266" t="b">
        <v>0</v>
      </c>
      <c r="Z321"/>
    </row>
    <row r="322" spans="1:26" ht="27" customHeight="1">
      <c r="A322" s="27" t="s">
        <v>538</v>
      </c>
      <c r="B322" s="27" t="s">
        <v>539</v>
      </c>
      <c r="C322" s="252"/>
      <c r="D322" s="250" t="s">
        <v>720</v>
      </c>
      <c r="E322" s="250" t="s">
        <v>2759</v>
      </c>
      <c r="F322" s="43" t="s">
        <v>1170</v>
      </c>
      <c r="G322" s="27" t="s">
        <v>2506</v>
      </c>
      <c r="H322" s="27"/>
      <c r="I322" s="27"/>
      <c r="J322" s="257" t="s">
        <v>2760</v>
      </c>
      <c r="K322" s="27" t="s">
        <v>7</v>
      </c>
      <c r="L322" s="58">
        <v>49.9</v>
      </c>
      <c r="M322" s="58">
        <v>102.675</v>
      </c>
      <c r="N322" s="130">
        <v>139.13</v>
      </c>
      <c r="O322" s="28">
        <v>188.94</v>
      </c>
      <c r="P322" s="29">
        <v>187.07499999999999</v>
      </c>
      <c r="Q322" s="28">
        <v>187.738</v>
      </c>
      <c r="R322" s="28">
        <v>180.55500000000001</v>
      </c>
      <c r="S322" s="28">
        <f t="shared" si="8"/>
        <v>164.35216666666668</v>
      </c>
      <c r="T322" s="28">
        <f t="shared" si="9"/>
        <v>164.35216666666668</v>
      </c>
      <c r="U322" s="266" t="b">
        <v>1</v>
      </c>
      <c r="V322" s="266" t="b">
        <v>0</v>
      </c>
      <c r="Z322"/>
    </row>
    <row r="323" spans="1:26" ht="27" customHeight="1">
      <c r="A323" s="54" t="s">
        <v>945</v>
      </c>
      <c r="B323" s="256" t="s">
        <v>947</v>
      </c>
      <c r="C323" s="252"/>
      <c r="D323" s="250" t="s">
        <v>946</v>
      </c>
      <c r="E323" s="250" t="s">
        <v>2802</v>
      </c>
      <c r="F323" s="251">
        <v>41590</v>
      </c>
      <c r="G323" s="282"/>
      <c r="H323" s="256"/>
      <c r="I323" s="256"/>
      <c r="J323" s="257"/>
      <c r="K323" s="27" t="s">
        <v>494</v>
      </c>
      <c r="L323" s="58">
        <v>1.6</v>
      </c>
      <c r="M323" s="58">
        <v>11.877000000000001</v>
      </c>
      <c r="N323" s="130">
        <v>8.1679999999999993</v>
      </c>
      <c r="O323" s="28"/>
      <c r="P323" s="32" t="s">
        <v>115</v>
      </c>
      <c r="Q323" s="32" t="s">
        <v>115</v>
      </c>
      <c r="R323" s="32" t="s">
        <v>115</v>
      </c>
      <c r="S323" s="28">
        <f t="shared" si="8"/>
        <v>10.022500000000001</v>
      </c>
      <c r="T323" s="28">
        <f t="shared" si="9"/>
        <v>10.022500000000001</v>
      </c>
      <c r="U323" s="266" t="b">
        <v>1</v>
      </c>
      <c r="V323" s="266" t="b">
        <v>0</v>
      </c>
      <c r="Z323"/>
    </row>
    <row r="324" spans="1:26" ht="27" customHeight="1">
      <c r="A324" s="261"/>
      <c r="B324" s="260" t="s">
        <v>4458</v>
      </c>
      <c r="C324" s="107"/>
      <c r="D324" s="260" t="s">
        <v>4457</v>
      </c>
      <c r="E324" s="107"/>
      <c r="F324" s="156">
        <v>40899</v>
      </c>
      <c r="G324" s="257"/>
      <c r="H324" s="107"/>
      <c r="I324" s="107"/>
      <c r="J324" s="107"/>
      <c r="K324" s="252" t="s">
        <v>1089</v>
      </c>
      <c r="L324" s="261">
        <v>0.999</v>
      </c>
      <c r="M324" s="107">
        <v>2.1890000000000001</v>
      </c>
      <c r="N324" s="107" t="s">
        <v>115</v>
      </c>
      <c r="O324" s="107" t="s">
        <v>115</v>
      </c>
      <c r="P324" s="107" t="s">
        <v>115</v>
      </c>
      <c r="Q324" s="107" t="s">
        <v>115</v>
      </c>
      <c r="R324" s="107" t="s">
        <v>115</v>
      </c>
      <c r="S324" s="28">
        <f t="shared" ref="S324:S386" si="10">IF(AND(U324,NOT(V324)),IFERROR(AVERAGE(M324:R324),0),0)</f>
        <v>2.1890000000000001</v>
      </c>
      <c r="T324" s="28">
        <f t="shared" si="9"/>
        <v>2.1890000000000001</v>
      </c>
      <c r="U324" s="266" t="b">
        <v>1</v>
      </c>
      <c r="V324" s="266" t="b">
        <v>0</v>
      </c>
      <c r="Z324"/>
    </row>
    <row r="325" spans="1:26" ht="27" customHeight="1">
      <c r="A325" s="252" t="s">
        <v>1011</v>
      </c>
      <c r="B325" s="257" t="s">
        <v>878</v>
      </c>
      <c r="C325" s="252" t="s">
        <v>3392</v>
      </c>
      <c r="D325" s="250" t="s">
        <v>1012</v>
      </c>
      <c r="E325" s="250" t="s">
        <v>3527</v>
      </c>
      <c r="F325" s="251">
        <v>41029</v>
      </c>
      <c r="G325" s="188" t="s">
        <v>2508</v>
      </c>
      <c r="H325" s="257"/>
      <c r="I325" s="257"/>
      <c r="J325" s="257"/>
      <c r="K325" s="27" t="s">
        <v>1089</v>
      </c>
      <c r="L325" s="268">
        <v>2.8</v>
      </c>
      <c r="M325" s="268">
        <v>5.1159999999999997</v>
      </c>
      <c r="N325" s="130">
        <v>4.681</v>
      </c>
      <c r="O325" s="29">
        <v>5.1162299999999998</v>
      </c>
      <c r="P325" s="29" t="s">
        <v>115</v>
      </c>
      <c r="Q325" s="31" t="s">
        <v>115</v>
      </c>
      <c r="R325" s="29" t="s">
        <v>115</v>
      </c>
      <c r="S325" s="28">
        <f t="shared" si="10"/>
        <v>4.9710766666666668</v>
      </c>
      <c r="T325" s="28">
        <f t="shared" ref="T325:T388" si="11">IF(AND(U325,NOT(V325)),IFERROR(IF(YEAR(F325)=2015,AVERAGE(N325:R325,VLOOKUP(K325,$Z$3:$AA$10,2,FALSE)*L325*8.76),AVERAGE(M325:R325)),0),0)</f>
        <v>4.9710766666666668</v>
      </c>
      <c r="U325" s="266" t="b">
        <v>1</v>
      </c>
      <c r="V325" s="266" t="b">
        <v>0</v>
      </c>
      <c r="Z325"/>
    </row>
    <row r="326" spans="1:26" ht="27" customHeight="1">
      <c r="A326" s="252" t="s">
        <v>1011</v>
      </c>
      <c r="B326" s="257" t="s">
        <v>685</v>
      </c>
      <c r="C326" s="252" t="s">
        <v>3393</v>
      </c>
      <c r="D326" s="250" t="s">
        <v>1013</v>
      </c>
      <c r="E326" s="250" t="s">
        <v>3528</v>
      </c>
      <c r="F326" s="251">
        <v>40892</v>
      </c>
      <c r="G326" s="188" t="s">
        <v>2509</v>
      </c>
      <c r="H326" s="257"/>
      <c r="I326" s="257"/>
      <c r="J326" s="257"/>
      <c r="K326" s="27" t="s">
        <v>1089</v>
      </c>
      <c r="L326" s="268">
        <v>4.9000000000000004</v>
      </c>
      <c r="M326" s="268">
        <v>5.9909999999999997</v>
      </c>
      <c r="N326" s="130">
        <v>7.0090000000000003</v>
      </c>
      <c r="O326" s="29">
        <v>7.4779999999999998</v>
      </c>
      <c r="P326" s="29" t="s">
        <v>115</v>
      </c>
      <c r="Q326" s="31" t="s">
        <v>115</v>
      </c>
      <c r="R326" s="29" t="s">
        <v>115</v>
      </c>
      <c r="S326" s="28">
        <f t="shared" si="10"/>
        <v>6.8260000000000005</v>
      </c>
      <c r="T326" s="28">
        <f t="shared" si="11"/>
        <v>6.8260000000000005</v>
      </c>
      <c r="U326" s="266" t="b">
        <v>1</v>
      </c>
      <c r="V326" s="266" t="b">
        <v>0</v>
      </c>
      <c r="Z326"/>
    </row>
    <row r="327" spans="1:26" ht="27" customHeight="1">
      <c r="A327" s="252"/>
      <c r="B327" s="252" t="s">
        <v>1856</v>
      </c>
      <c r="C327" s="257"/>
      <c r="D327" s="48" t="s">
        <v>1380</v>
      </c>
      <c r="E327" s="49" t="s">
        <v>3529</v>
      </c>
      <c r="F327" s="257"/>
      <c r="G327" s="252" t="s">
        <v>2255</v>
      </c>
      <c r="H327" s="252"/>
      <c r="I327" s="252"/>
      <c r="J327" s="257"/>
      <c r="K327" s="252" t="s">
        <v>9</v>
      </c>
      <c r="L327" s="268">
        <v>160</v>
      </c>
      <c r="M327" s="268">
        <v>405.28070000000002</v>
      </c>
      <c r="N327" s="32">
        <v>451.17500000000001</v>
      </c>
      <c r="O327" s="32" t="s">
        <v>115</v>
      </c>
      <c r="P327" s="32" t="s">
        <v>115</v>
      </c>
      <c r="Q327" s="253" t="s">
        <v>115</v>
      </c>
      <c r="R327" s="253" t="s">
        <v>115</v>
      </c>
      <c r="S327" s="28">
        <f t="shared" si="10"/>
        <v>428.22784999999999</v>
      </c>
      <c r="T327" s="28">
        <f t="shared" si="11"/>
        <v>428.22784999999999</v>
      </c>
      <c r="U327" s="266" t="b">
        <v>1</v>
      </c>
      <c r="V327" s="266" t="b">
        <v>0</v>
      </c>
      <c r="Z327"/>
    </row>
    <row r="328" spans="1:26" ht="27" customHeight="1">
      <c r="A328" s="143"/>
      <c r="B328" s="143" t="s">
        <v>1615</v>
      </c>
      <c r="C328" s="252" t="s">
        <v>1627</v>
      </c>
      <c r="D328" s="257" t="s">
        <v>2866</v>
      </c>
      <c r="E328" s="209" t="s">
        <v>2867</v>
      </c>
      <c r="F328" s="151">
        <v>42175</v>
      </c>
      <c r="G328" s="262" t="s">
        <v>2603</v>
      </c>
      <c r="H328" s="262">
        <v>58713</v>
      </c>
      <c r="I328" s="257"/>
      <c r="J328" s="257"/>
      <c r="K328" s="257" t="s">
        <v>1089</v>
      </c>
      <c r="L328" s="261">
        <v>61.6</v>
      </c>
      <c r="M328" s="257">
        <v>95.098039999999997</v>
      </c>
      <c r="N328" s="144" t="s">
        <v>115</v>
      </c>
      <c r="O328" s="241" t="s">
        <v>115</v>
      </c>
      <c r="P328" s="134" t="s">
        <v>115</v>
      </c>
      <c r="Q328" s="262" t="s">
        <v>115</v>
      </c>
      <c r="R328" s="264" t="s">
        <v>115</v>
      </c>
      <c r="S328" s="28">
        <f t="shared" si="10"/>
        <v>95.098039999999997</v>
      </c>
      <c r="T328" s="28">
        <f t="shared" si="11"/>
        <v>142.99824000000001</v>
      </c>
      <c r="U328" s="266" t="b">
        <v>1</v>
      </c>
      <c r="V328" s="266" t="b">
        <v>0</v>
      </c>
      <c r="Z328"/>
    </row>
    <row r="329" spans="1:26" ht="27" customHeight="1">
      <c r="A329" s="27" t="s">
        <v>50</v>
      </c>
      <c r="B329" s="27" t="s">
        <v>51</v>
      </c>
      <c r="C329" s="252" t="s">
        <v>3422</v>
      </c>
      <c r="D329" s="250" t="s">
        <v>719</v>
      </c>
      <c r="E329" s="250" t="s">
        <v>1952</v>
      </c>
      <c r="F329" s="251">
        <v>31205</v>
      </c>
      <c r="G329" s="281"/>
      <c r="H329" s="27"/>
      <c r="I329" s="27"/>
      <c r="J329" s="257"/>
      <c r="K329" s="27" t="s">
        <v>2894</v>
      </c>
      <c r="L329" s="58">
        <v>1</v>
      </c>
      <c r="M329" s="58">
        <v>8.9760000000000009</v>
      </c>
      <c r="N329" s="130">
        <v>13.75</v>
      </c>
      <c r="O329" s="28">
        <v>14.99</v>
      </c>
      <c r="P329" s="29">
        <v>11.651</v>
      </c>
      <c r="Q329" s="28">
        <v>11.394</v>
      </c>
      <c r="R329" s="28">
        <v>13.063000000000001</v>
      </c>
      <c r="S329" s="28">
        <f t="shared" si="10"/>
        <v>12.304</v>
      </c>
      <c r="T329" s="28">
        <f t="shared" si="11"/>
        <v>12.304</v>
      </c>
      <c r="U329" s="266" t="b">
        <v>1</v>
      </c>
      <c r="V329" s="266" t="b">
        <v>0</v>
      </c>
      <c r="Z329"/>
    </row>
    <row r="330" spans="1:26" ht="27" customHeight="1">
      <c r="A330" s="252" t="s">
        <v>2512</v>
      </c>
      <c r="B330" s="257" t="s">
        <v>2511</v>
      </c>
      <c r="C330" s="252"/>
      <c r="D330" s="139" t="s">
        <v>3693</v>
      </c>
      <c r="E330" s="139">
        <v>61777</v>
      </c>
      <c r="F330" s="137">
        <v>41507</v>
      </c>
      <c r="G330" s="188" t="s">
        <v>2513</v>
      </c>
      <c r="H330" s="188">
        <v>58448</v>
      </c>
      <c r="I330" s="188"/>
      <c r="J330" s="257" t="s">
        <v>2946</v>
      </c>
      <c r="K330" s="27" t="s">
        <v>1089</v>
      </c>
      <c r="L330" s="268">
        <v>1</v>
      </c>
      <c r="M330" s="268">
        <v>3.0032719999999999</v>
      </c>
      <c r="N330" s="130">
        <v>2.7709999999999999</v>
      </c>
      <c r="O330" s="28">
        <v>1.0206900000000001</v>
      </c>
      <c r="P330" s="29"/>
      <c r="Q330" s="29"/>
      <c r="R330" s="29"/>
      <c r="S330" s="28">
        <f t="shared" si="10"/>
        <v>2.2649873333333335</v>
      </c>
      <c r="T330" s="28">
        <f t="shared" si="11"/>
        <v>2.2649873333333335</v>
      </c>
      <c r="U330" s="266" t="b">
        <v>1</v>
      </c>
      <c r="V330" s="266" t="b">
        <v>0</v>
      </c>
      <c r="Z330"/>
    </row>
    <row r="331" spans="1:26" ht="27" customHeight="1">
      <c r="A331" s="252"/>
      <c r="B331" s="252" t="s">
        <v>1857</v>
      </c>
      <c r="C331" s="257"/>
      <c r="D331" s="48" t="s">
        <v>1407</v>
      </c>
      <c r="E331" s="48" t="s">
        <v>3530</v>
      </c>
      <c r="F331" s="257"/>
      <c r="G331" s="252" t="s">
        <v>2514</v>
      </c>
      <c r="H331" s="252"/>
      <c r="I331" s="252"/>
      <c r="J331" s="257"/>
      <c r="K331" s="252" t="s">
        <v>9</v>
      </c>
      <c r="L331" s="268">
        <v>31.5</v>
      </c>
      <c r="M331" s="268">
        <v>54.513860000000001</v>
      </c>
      <c r="N331" s="32">
        <v>61.849150000000002</v>
      </c>
      <c r="O331" s="32" t="s">
        <v>115</v>
      </c>
      <c r="P331" s="32" t="s">
        <v>115</v>
      </c>
      <c r="Q331" s="253" t="s">
        <v>115</v>
      </c>
      <c r="R331" s="253" t="s">
        <v>115</v>
      </c>
      <c r="S331" s="28">
        <f t="shared" si="10"/>
        <v>58.181505000000001</v>
      </c>
      <c r="T331" s="28">
        <f t="shared" si="11"/>
        <v>58.181505000000001</v>
      </c>
      <c r="U331" s="266" t="b">
        <v>1</v>
      </c>
      <c r="V331" s="266" t="b">
        <v>0</v>
      </c>
      <c r="Z331"/>
    </row>
    <row r="332" spans="1:26" ht="27" customHeight="1">
      <c r="A332" s="252" t="s">
        <v>2256</v>
      </c>
      <c r="B332" s="46" t="s">
        <v>683</v>
      </c>
      <c r="C332" s="252" t="s">
        <v>3427</v>
      </c>
      <c r="D332" s="250" t="s">
        <v>1049</v>
      </c>
      <c r="E332" s="250" t="s">
        <v>3531</v>
      </c>
      <c r="F332" s="43">
        <v>41426</v>
      </c>
      <c r="G332" s="243" t="s">
        <v>2257</v>
      </c>
      <c r="H332" s="46"/>
      <c r="I332" s="46"/>
      <c r="J332" s="257"/>
      <c r="K332" s="257" t="s">
        <v>1089</v>
      </c>
      <c r="L332" s="258">
        <v>1.5</v>
      </c>
      <c r="M332" s="258">
        <v>2.5920000000000001</v>
      </c>
      <c r="N332" s="130">
        <v>2.5920000000000001</v>
      </c>
      <c r="O332" s="136">
        <v>0.85099999999999998</v>
      </c>
      <c r="P332" s="37" t="s">
        <v>115</v>
      </c>
      <c r="Q332" s="37" t="s">
        <v>115</v>
      </c>
      <c r="R332" s="37" t="s">
        <v>115</v>
      </c>
      <c r="S332" s="28">
        <f t="shared" si="10"/>
        <v>2.0116666666666667</v>
      </c>
      <c r="T332" s="28">
        <f t="shared" si="11"/>
        <v>2.0116666666666667</v>
      </c>
      <c r="U332" s="266" t="b">
        <v>1</v>
      </c>
      <c r="V332" s="266" t="b">
        <v>0</v>
      </c>
      <c r="Z332"/>
    </row>
    <row r="333" spans="1:26" ht="27" customHeight="1">
      <c r="A333" s="252"/>
      <c r="B333" s="252" t="s">
        <v>1858</v>
      </c>
      <c r="C333" s="257"/>
      <c r="D333" s="48" t="s">
        <v>1360</v>
      </c>
      <c r="E333" s="48" t="s">
        <v>3532</v>
      </c>
      <c r="F333" s="257"/>
      <c r="G333" s="252" t="s">
        <v>2373</v>
      </c>
      <c r="H333" s="252"/>
      <c r="I333" s="252"/>
      <c r="J333" s="257"/>
      <c r="K333" s="252" t="s">
        <v>9</v>
      </c>
      <c r="L333" s="268">
        <v>60</v>
      </c>
      <c r="M333" s="268">
        <v>155.12251999999998</v>
      </c>
      <c r="N333" s="32">
        <v>158.02627999999999</v>
      </c>
      <c r="O333" s="32" t="s">
        <v>115</v>
      </c>
      <c r="P333" s="32" t="s">
        <v>115</v>
      </c>
      <c r="Q333" s="253" t="s">
        <v>115</v>
      </c>
      <c r="R333" s="253" t="s">
        <v>115</v>
      </c>
      <c r="S333" s="28">
        <f t="shared" si="10"/>
        <v>156.57439999999997</v>
      </c>
      <c r="T333" s="28">
        <f t="shared" si="11"/>
        <v>156.57439999999997</v>
      </c>
      <c r="U333" s="266" t="b">
        <v>1</v>
      </c>
      <c r="V333" s="266" t="b">
        <v>0</v>
      </c>
      <c r="Z333"/>
    </row>
    <row r="334" spans="1:26" ht="27" customHeight="1">
      <c r="A334" s="252"/>
      <c r="B334" s="252" t="s">
        <v>1859</v>
      </c>
      <c r="C334" s="257"/>
      <c r="D334" s="48" t="s">
        <v>1379</v>
      </c>
      <c r="E334" s="48" t="s">
        <v>3533</v>
      </c>
      <c r="F334" s="251">
        <v>41555</v>
      </c>
      <c r="G334" s="252" t="s">
        <v>2374</v>
      </c>
      <c r="H334" s="252"/>
      <c r="I334" s="252"/>
      <c r="J334" s="257"/>
      <c r="K334" s="252" t="s">
        <v>9</v>
      </c>
      <c r="L334" s="268">
        <v>265.44</v>
      </c>
      <c r="M334" s="268">
        <v>538.35</v>
      </c>
      <c r="N334" s="32">
        <v>566.59799999999996</v>
      </c>
      <c r="O334" s="32" t="s">
        <v>115</v>
      </c>
      <c r="P334" s="32" t="s">
        <v>115</v>
      </c>
      <c r="Q334" s="253" t="s">
        <v>115</v>
      </c>
      <c r="R334" s="253" t="s">
        <v>115</v>
      </c>
      <c r="S334" s="28">
        <f t="shared" si="10"/>
        <v>552.47399999999993</v>
      </c>
      <c r="T334" s="28">
        <f t="shared" si="11"/>
        <v>552.47399999999993</v>
      </c>
      <c r="U334" s="266" t="b">
        <v>1</v>
      </c>
      <c r="V334" s="266" t="b">
        <v>0</v>
      </c>
      <c r="Z334"/>
    </row>
    <row r="335" spans="1:26" ht="27" customHeight="1">
      <c r="A335" s="252" t="s">
        <v>1522</v>
      </c>
      <c r="B335" s="256" t="s">
        <v>1527</v>
      </c>
      <c r="C335" s="252" t="s">
        <v>1693</v>
      </c>
      <c r="D335" s="250" t="s">
        <v>1286</v>
      </c>
      <c r="E335" s="250" t="s">
        <v>3534</v>
      </c>
      <c r="F335" s="251">
        <v>41990</v>
      </c>
      <c r="G335" s="282" t="s">
        <v>2519</v>
      </c>
      <c r="H335" s="256"/>
      <c r="I335" s="256"/>
      <c r="J335" s="257"/>
      <c r="K335" s="257" t="s">
        <v>1089</v>
      </c>
      <c r="L335" s="258">
        <v>20</v>
      </c>
      <c r="M335" s="258">
        <v>51.75</v>
      </c>
      <c r="N335" s="130"/>
      <c r="O335" s="28" t="s">
        <v>115</v>
      </c>
      <c r="P335" s="32" t="s">
        <v>115</v>
      </c>
      <c r="Q335" s="253" t="s">
        <v>115</v>
      </c>
      <c r="R335" s="253" t="s">
        <v>115</v>
      </c>
      <c r="S335" s="28">
        <f t="shared" si="10"/>
        <v>51.75</v>
      </c>
      <c r="T335" s="28">
        <f t="shared" si="11"/>
        <v>51.75</v>
      </c>
      <c r="U335" s="266" t="b">
        <v>1</v>
      </c>
      <c r="V335" s="266" t="b">
        <v>0</v>
      </c>
      <c r="Z335"/>
    </row>
    <row r="336" spans="1:26" ht="27" customHeight="1">
      <c r="A336" s="252" t="s">
        <v>968</v>
      </c>
      <c r="B336" s="256" t="s">
        <v>1517</v>
      </c>
      <c r="C336" s="252" t="s">
        <v>1694</v>
      </c>
      <c r="D336" s="250" t="s">
        <v>1276</v>
      </c>
      <c r="E336" s="250" t="s">
        <v>3535</v>
      </c>
      <c r="F336" s="265">
        <v>41743</v>
      </c>
      <c r="G336" s="282" t="s">
        <v>2199</v>
      </c>
      <c r="H336" s="256">
        <v>58718</v>
      </c>
      <c r="I336" s="256"/>
      <c r="J336" s="257"/>
      <c r="K336" s="257" t="s">
        <v>1089</v>
      </c>
      <c r="L336" s="258">
        <v>12</v>
      </c>
      <c r="M336" s="258">
        <v>30.6</v>
      </c>
      <c r="N336" s="130">
        <v>23.78</v>
      </c>
      <c r="O336" s="136" t="s">
        <v>115</v>
      </c>
      <c r="P336" s="37" t="s">
        <v>115</v>
      </c>
      <c r="Q336" s="37" t="s">
        <v>115</v>
      </c>
      <c r="R336" s="37" t="s">
        <v>115</v>
      </c>
      <c r="S336" s="28">
        <f t="shared" si="10"/>
        <v>27.19</v>
      </c>
      <c r="T336" s="28">
        <f t="shared" si="11"/>
        <v>27.19</v>
      </c>
      <c r="U336" s="266" t="b">
        <v>1</v>
      </c>
      <c r="V336" s="266" t="b">
        <v>0</v>
      </c>
      <c r="Z336"/>
    </row>
    <row r="337" spans="1:26" ht="27" customHeight="1">
      <c r="A337" s="252" t="s">
        <v>968</v>
      </c>
      <c r="B337" s="256" t="s">
        <v>1518</v>
      </c>
      <c r="C337" s="252" t="s">
        <v>1695</v>
      </c>
      <c r="D337" s="250" t="s">
        <v>1277</v>
      </c>
      <c r="E337" s="250" t="s">
        <v>2803</v>
      </c>
      <c r="F337" s="43">
        <v>41816</v>
      </c>
      <c r="G337" s="282" t="s">
        <v>3627</v>
      </c>
      <c r="H337" s="256">
        <v>58721</v>
      </c>
      <c r="I337" s="256"/>
      <c r="J337" s="257"/>
      <c r="K337" s="257" t="s">
        <v>1089</v>
      </c>
      <c r="L337" s="258">
        <v>8</v>
      </c>
      <c r="M337" s="258">
        <v>20.59</v>
      </c>
      <c r="N337" s="130">
        <v>11.952</v>
      </c>
      <c r="O337" s="136" t="s">
        <v>115</v>
      </c>
      <c r="P337" s="37" t="s">
        <v>115</v>
      </c>
      <c r="Q337" s="37" t="s">
        <v>115</v>
      </c>
      <c r="R337" s="37" t="s">
        <v>115</v>
      </c>
      <c r="S337" s="28">
        <f t="shared" si="10"/>
        <v>16.271000000000001</v>
      </c>
      <c r="T337" s="28">
        <f t="shared" si="11"/>
        <v>16.271000000000001</v>
      </c>
      <c r="U337" s="266" t="b">
        <v>1</v>
      </c>
      <c r="V337" s="266" t="b">
        <v>0</v>
      </c>
      <c r="Z337"/>
    </row>
    <row r="338" spans="1:26" ht="27" customHeight="1">
      <c r="A338" s="27"/>
      <c r="B338" s="27" t="s">
        <v>109</v>
      </c>
      <c r="C338" s="252" t="s">
        <v>3313</v>
      </c>
      <c r="D338" s="250" t="s">
        <v>718</v>
      </c>
      <c r="E338" s="250"/>
      <c r="F338" s="43" t="s">
        <v>1167</v>
      </c>
      <c r="G338" s="27"/>
      <c r="H338" s="27"/>
      <c r="I338" s="27"/>
      <c r="J338" s="257"/>
      <c r="K338" s="27" t="s">
        <v>7</v>
      </c>
      <c r="L338" s="58">
        <v>14.4</v>
      </c>
      <c r="M338" s="58">
        <v>8.9140599999999992</v>
      </c>
      <c r="N338" s="130">
        <v>29.96</v>
      </c>
      <c r="O338" s="28">
        <v>36.664000000000001</v>
      </c>
      <c r="P338" s="29">
        <v>36.594000000000001</v>
      </c>
      <c r="Q338" s="28">
        <v>40.042999999999999</v>
      </c>
      <c r="R338" s="28">
        <v>41.610999999999997</v>
      </c>
      <c r="S338" s="28">
        <f t="shared" si="10"/>
        <v>32.297676666666668</v>
      </c>
      <c r="T338" s="28">
        <f t="shared" si="11"/>
        <v>32.297676666666668</v>
      </c>
      <c r="U338" s="266" t="b">
        <v>1</v>
      </c>
      <c r="V338" s="266" t="b">
        <v>0</v>
      </c>
      <c r="Z338"/>
    </row>
    <row r="339" spans="1:26" ht="27" customHeight="1">
      <c r="A339" s="27"/>
      <c r="B339" s="27" t="s">
        <v>99</v>
      </c>
      <c r="C339" s="252" t="s">
        <v>3313</v>
      </c>
      <c r="D339" s="250" t="s">
        <v>717</v>
      </c>
      <c r="E339" s="250"/>
      <c r="F339" s="43" t="s">
        <v>1153</v>
      </c>
      <c r="G339" s="27"/>
      <c r="H339" s="27"/>
      <c r="I339" s="27"/>
      <c r="J339" s="257"/>
      <c r="K339" s="27" t="s">
        <v>7</v>
      </c>
      <c r="L339" s="58">
        <v>24</v>
      </c>
      <c r="M339" s="58">
        <v>136.81800000000001</v>
      </c>
      <c r="N339" s="130">
        <v>119.26</v>
      </c>
      <c r="O339" s="28">
        <v>131.04</v>
      </c>
      <c r="P339" s="29">
        <v>137.56100000000001</v>
      </c>
      <c r="Q339" s="28">
        <v>143.399</v>
      </c>
      <c r="R339" s="28">
        <v>129.04900000000001</v>
      </c>
      <c r="S339" s="28">
        <f t="shared" si="10"/>
        <v>132.8545</v>
      </c>
      <c r="T339" s="28">
        <f t="shared" si="11"/>
        <v>132.8545</v>
      </c>
      <c r="U339" s="266" t="b">
        <v>1</v>
      </c>
      <c r="V339" s="266" t="b">
        <v>0</v>
      </c>
      <c r="Z339"/>
    </row>
    <row r="340" spans="1:26" ht="27" customHeight="1">
      <c r="A340" s="27"/>
      <c r="B340" s="27" t="s">
        <v>108</v>
      </c>
      <c r="C340" s="252" t="s">
        <v>3313</v>
      </c>
      <c r="D340" s="250" t="s">
        <v>716</v>
      </c>
      <c r="E340" s="250">
        <v>61431</v>
      </c>
      <c r="F340" s="43" t="s">
        <v>1166</v>
      </c>
      <c r="G340" s="27" t="s">
        <v>2526</v>
      </c>
      <c r="H340" s="27"/>
      <c r="I340" s="27"/>
      <c r="J340" s="257"/>
      <c r="K340" s="27" t="s">
        <v>7</v>
      </c>
      <c r="L340" s="58">
        <v>22.4</v>
      </c>
      <c r="M340" s="58">
        <v>98.793000000000006</v>
      </c>
      <c r="N340" s="130">
        <v>99.350999999999999</v>
      </c>
      <c r="O340" s="28">
        <v>95.040999999999997</v>
      </c>
      <c r="P340" s="29">
        <v>130.92500000000001</v>
      </c>
      <c r="Q340" s="28">
        <v>131.422</v>
      </c>
      <c r="R340" s="28">
        <v>136.51599999999999</v>
      </c>
      <c r="S340" s="28">
        <f t="shared" si="10"/>
        <v>115.34133333333334</v>
      </c>
      <c r="T340" s="28">
        <f t="shared" si="11"/>
        <v>115.34133333333334</v>
      </c>
      <c r="U340" s="266" t="b">
        <v>1</v>
      </c>
      <c r="V340" s="266" t="b">
        <v>0</v>
      </c>
      <c r="Z340"/>
    </row>
    <row r="341" spans="1:26" ht="27" customHeight="1">
      <c r="A341" s="27" t="s">
        <v>479</v>
      </c>
      <c r="B341" s="27" t="s">
        <v>551</v>
      </c>
      <c r="C341" s="252" t="s">
        <v>3333</v>
      </c>
      <c r="D341" s="250" t="s">
        <v>715</v>
      </c>
      <c r="E341" s="250" t="s">
        <v>2063</v>
      </c>
      <c r="F341" s="251">
        <v>39821</v>
      </c>
      <c r="G341" s="281"/>
      <c r="H341" s="27"/>
      <c r="I341" s="27"/>
      <c r="J341" s="257"/>
      <c r="K341" s="27" t="s">
        <v>2894</v>
      </c>
      <c r="L341" s="58">
        <v>3.2</v>
      </c>
      <c r="M341" s="58">
        <v>22.332000000000001</v>
      </c>
      <c r="N341" s="130">
        <v>24.064</v>
      </c>
      <c r="O341" s="28">
        <v>15.109</v>
      </c>
      <c r="P341" s="29">
        <v>10.852</v>
      </c>
      <c r="Q341" s="34">
        <v>8.77</v>
      </c>
      <c r="R341" s="34">
        <v>10.215999999999999</v>
      </c>
      <c r="S341" s="28">
        <f t="shared" si="10"/>
        <v>15.223833333333332</v>
      </c>
      <c r="T341" s="28">
        <f t="shared" si="11"/>
        <v>15.223833333333332</v>
      </c>
      <c r="U341" s="266" t="b">
        <v>1</v>
      </c>
      <c r="V341" s="266" t="b">
        <v>0</v>
      </c>
      <c r="Z341"/>
    </row>
    <row r="342" spans="1:26" ht="27" customHeight="1">
      <c r="A342" s="27" t="s">
        <v>64</v>
      </c>
      <c r="B342" s="27" t="s">
        <v>1470</v>
      </c>
      <c r="C342" s="252" t="s">
        <v>3431</v>
      </c>
      <c r="D342" s="250" t="s">
        <v>714</v>
      </c>
      <c r="E342" s="250"/>
      <c r="F342" s="251">
        <v>41446</v>
      </c>
      <c r="G342" s="281" t="s">
        <v>2377</v>
      </c>
      <c r="H342" s="27"/>
      <c r="I342" s="27"/>
      <c r="J342" s="257"/>
      <c r="K342" s="27" t="s">
        <v>2894</v>
      </c>
      <c r="L342" s="58">
        <v>6.9499999999999993</v>
      </c>
      <c r="M342" s="58">
        <v>35.978999999999999</v>
      </c>
      <c r="N342" s="130">
        <v>47.42</v>
      </c>
      <c r="O342" s="28">
        <v>36.332000000000001</v>
      </c>
      <c r="P342" s="29">
        <v>22.414000000000001</v>
      </c>
      <c r="Q342" s="28">
        <v>23.446000000000002</v>
      </c>
      <c r="R342" s="28">
        <v>20.901</v>
      </c>
      <c r="S342" s="28">
        <f t="shared" si="10"/>
        <v>31.081999999999997</v>
      </c>
      <c r="T342" s="28">
        <f t="shared" si="11"/>
        <v>31.081999999999997</v>
      </c>
      <c r="U342" s="266" t="b">
        <v>1</v>
      </c>
      <c r="V342" s="266" t="b">
        <v>0</v>
      </c>
      <c r="Z342"/>
    </row>
    <row r="343" spans="1:26" ht="27" customHeight="1">
      <c r="A343" s="27"/>
      <c r="B343" s="27" t="s">
        <v>1744</v>
      </c>
      <c r="C343" s="252" t="s">
        <v>3431</v>
      </c>
      <c r="D343" s="250" t="s">
        <v>714</v>
      </c>
      <c r="E343" s="250"/>
      <c r="F343" s="251">
        <v>41712</v>
      </c>
      <c r="G343" s="281" t="s">
        <v>2378</v>
      </c>
      <c r="H343" s="27"/>
      <c r="I343" s="27"/>
      <c r="J343" s="257"/>
      <c r="K343" s="27" t="s">
        <v>2894</v>
      </c>
      <c r="L343" s="58">
        <v>1.6</v>
      </c>
      <c r="M343" s="58">
        <v>35.978999999999999</v>
      </c>
      <c r="N343" s="130">
        <v>47.42</v>
      </c>
      <c r="O343" s="28">
        <v>36.332000000000001</v>
      </c>
      <c r="P343" s="29">
        <v>22.414000000000001</v>
      </c>
      <c r="Q343" s="28">
        <v>23.446000000000002</v>
      </c>
      <c r="R343" s="28">
        <v>20.901</v>
      </c>
      <c r="S343" s="28">
        <f t="shared" si="10"/>
        <v>31.081999999999997</v>
      </c>
      <c r="T343" s="28">
        <f t="shared" si="11"/>
        <v>31.081999999999997</v>
      </c>
      <c r="U343" s="266" t="b">
        <v>1</v>
      </c>
      <c r="V343" s="266" t="b">
        <v>0</v>
      </c>
      <c r="Z343"/>
    </row>
    <row r="344" spans="1:26" ht="27" customHeight="1">
      <c r="A344" s="27"/>
      <c r="B344" s="27" t="s">
        <v>1745</v>
      </c>
      <c r="C344" s="252" t="s">
        <v>3431</v>
      </c>
      <c r="D344" s="250" t="s">
        <v>714</v>
      </c>
      <c r="E344" s="250"/>
      <c r="F344" s="251">
        <v>41712</v>
      </c>
      <c r="G344" s="281" t="s">
        <v>2379</v>
      </c>
      <c r="H344" s="27"/>
      <c r="I344" s="27"/>
      <c r="J344" s="257"/>
      <c r="K344" s="27" t="s">
        <v>2894</v>
      </c>
      <c r="L344" s="58">
        <v>1.6</v>
      </c>
      <c r="M344" s="58">
        <v>35.978999999999999</v>
      </c>
      <c r="N344" s="130">
        <v>47.42</v>
      </c>
      <c r="O344" s="28">
        <v>36.332000000000001</v>
      </c>
      <c r="P344" s="29">
        <v>22.414000000000001</v>
      </c>
      <c r="Q344" s="28">
        <v>23.446000000000002</v>
      </c>
      <c r="R344" s="28">
        <v>20.901</v>
      </c>
      <c r="S344" s="28">
        <f t="shared" si="10"/>
        <v>31.081999999999997</v>
      </c>
      <c r="T344" s="28">
        <f t="shared" si="11"/>
        <v>31.081999999999997</v>
      </c>
      <c r="U344" s="266" t="b">
        <v>1</v>
      </c>
      <c r="V344" s="266" t="b">
        <v>0</v>
      </c>
      <c r="Z344"/>
    </row>
    <row r="345" spans="1:26" ht="27" customHeight="1">
      <c r="A345" s="27" t="s">
        <v>21</v>
      </c>
      <c r="B345" s="27" t="s">
        <v>1471</v>
      </c>
      <c r="C345" s="252" t="s">
        <v>3362</v>
      </c>
      <c r="D345" s="250" t="s">
        <v>713</v>
      </c>
      <c r="E345" s="250"/>
      <c r="F345" s="251"/>
      <c r="G345" s="281" t="s">
        <v>2376</v>
      </c>
      <c r="H345" s="27"/>
      <c r="I345" s="27"/>
      <c r="J345" s="257" t="s">
        <v>1919</v>
      </c>
      <c r="K345" s="27" t="s">
        <v>2894</v>
      </c>
      <c r="L345" s="58">
        <v>3.74</v>
      </c>
      <c r="M345" s="58">
        <v>16.423999999999999</v>
      </c>
      <c r="N345" s="130">
        <v>21.486000000000001</v>
      </c>
      <c r="O345" s="28">
        <v>23.47</v>
      </c>
      <c r="P345" s="29">
        <v>24.873999999999999</v>
      </c>
      <c r="Q345" s="28">
        <v>24.309000000000001</v>
      </c>
      <c r="R345" s="28">
        <v>21.489000000000001</v>
      </c>
      <c r="S345" s="28">
        <f t="shared" si="10"/>
        <v>22.008666666666667</v>
      </c>
      <c r="T345" s="28">
        <f t="shared" si="11"/>
        <v>22.008666666666667</v>
      </c>
      <c r="U345" s="266" t="b">
        <v>1</v>
      </c>
      <c r="V345" s="266" t="b">
        <v>0</v>
      </c>
      <c r="Z345"/>
    </row>
    <row r="346" spans="1:26" ht="27" customHeight="1">
      <c r="A346" s="252"/>
      <c r="B346" s="256" t="s">
        <v>3598</v>
      </c>
      <c r="C346" s="252"/>
      <c r="D346" s="260" t="s">
        <v>4472</v>
      </c>
      <c r="E346" s="250" t="s">
        <v>3599</v>
      </c>
      <c r="F346" s="251">
        <v>41636</v>
      </c>
      <c r="G346" s="282" t="s">
        <v>3600</v>
      </c>
      <c r="H346" s="256"/>
      <c r="I346" s="256"/>
      <c r="J346" s="257"/>
      <c r="K346" s="257" t="s">
        <v>1089</v>
      </c>
      <c r="L346" s="258">
        <v>1.5</v>
      </c>
      <c r="M346" s="107">
        <v>3.6629999999999998</v>
      </c>
      <c r="N346" s="107">
        <v>3.629</v>
      </c>
      <c r="O346" s="28"/>
      <c r="P346" s="32"/>
      <c r="Q346" s="253"/>
      <c r="R346" s="253"/>
      <c r="S346" s="28">
        <f t="shared" si="10"/>
        <v>3.6459999999999999</v>
      </c>
      <c r="T346" s="28">
        <f t="shared" si="11"/>
        <v>3.6459999999999999</v>
      </c>
      <c r="U346" s="266" t="b">
        <v>1</v>
      </c>
      <c r="V346" s="266" t="b">
        <v>0</v>
      </c>
      <c r="Z346"/>
    </row>
    <row r="347" spans="1:26" ht="27" customHeight="1">
      <c r="A347" s="27" t="s">
        <v>549</v>
      </c>
      <c r="B347" s="27" t="s">
        <v>1472</v>
      </c>
      <c r="C347" s="252" t="s">
        <v>3286</v>
      </c>
      <c r="D347" s="250" t="s">
        <v>712</v>
      </c>
      <c r="E347" s="250">
        <v>60022</v>
      </c>
      <c r="F347" s="251"/>
      <c r="G347" s="281"/>
      <c r="H347" s="27"/>
      <c r="I347" s="27"/>
      <c r="J347" s="257"/>
      <c r="K347" s="252" t="s">
        <v>3</v>
      </c>
      <c r="L347" s="58">
        <f>6*1.91</f>
        <v>11.459999999999999</v>
      </c>
      <c r="M347" s="58">
        <v>80.296999999999997</v>
      </c>
      <c r="N347" s="130">
        <v>88.992000000000004</v>
      </c>
      <c r="O347" s="28">
        <v>85.768000000000001</v>
      </c>
      <c r="P347" s="29">
        <v>89.772000000000006</v>
      </c>
      <c r="Q347" s="28">
        <v>86.471999999999994</v>
      </c>
      <c r="R347" s="28">
        <v>86.903999999999996</v>
      </c>
      <c r="S347" s="28">
        <f t="shared" si="10"/>
        <v>86.367499999999993</v>
      </c>
      <c r="T347" s="28">
        <f t="shared" si="11"/>
        <v>86.367499999999993</v>
      </c>
      <c r="U347" s="266" t="b">
        <v>1</v>
      </c>
      <c r="V347" s="266" t="b">
        <v>0</v>
      </c>
      <c r="Z347"/>
    </row>
    <row r="348" spans="1:26" ht="27" customHeight="1">
      <c r="A348" s="252"/>
      <c r="B348" s="252" t="s">
        <v>1860</v>
      </c>
      <c r="C348" s="257"/>
      <c r="D348" s="48" t="s">
        <v>1417</v>
      </c>
      <c r="E348" s="48"/>
      <c r="F348" s="257"/>
      <c r="G348" s="252" t="s">
        <v>2380</v>
      </c>
      <c r="H348" s="252"/>
      <c r="I348" s="252"/>
      <c r="J348" s="257"/>
      <c r="K348" s="252" t="s">
        <v>9</v>
      </c>
      <c r="L348" s="268">
        <v>140</v>
      </c>
      <c r="M348" s="268">
        <v>267.08015999999998</v>
      </c>
      <c r="N348" s="32">
        <v>317.17856</v>
      </c>
      <c r="O348" s="32" t="s">
        <v>115</v>
      </c>
      <c r="P348" s="32" t="s">
        <v>115</v>
      </c>
      <c r="Q348" s="253" t="s">
        <v>115</v>
      </c>
      <c r="R348" s="253" t="s">
        <v>115</v>
      </c>
      <c r="S348" s="28">
        <f t="shared" si="10"/>
        <v>292.12936000000002</v>
      </c>
      <c r="T348" s="28">
        <f t="shared" si="11"/>
        <v>292.12936000000002</v>
      </c>
      <c r="U348" s="266" t="b">
        <v>1</v>
      </c>
      <c r="V348" s="266" t="b">
        <v>0</v>
      </c>
      <c r="Z348"/>
    </row>
    <row r="349" spans="1:26" ht="27" customHeight="1">
      <c r="A349" s="252"/>
      <c r="B349" s="252" t="s">
        <v>1861</v>
      </c>
      <c r="C349" s="257" t="s">
        <v>3879</v>
      </c>
      <c r="D349" s="48" t="s">
        <v>1339</v>
      </c>
      <c r="E349" s="48"/>
      <c r="F349" s="257"/>
      <c r="G349" s="252" t="s">
        <v>2527</v>
      </c>
      <c r="H349" s="252"/>
      <c r="I349" s="252"/>
      <c r="J349" s="257"/>
      <c r="K349" s="252" t="s">
        <v>9</v>
      </c>
      <c r="L349" s="268">
        <v>19.170000000000002</v>
      </c>
      <c r="M349" s="268">
        <v>31.805119999999999</v>
      </c>
      <c r="N349" s="32">
        <v>32.332830000000001</v>
      </c>
      <c r="O349" s="32" t="s">
        <v>115</v>
      </c>
      <c r="P349" s="32" t="s">
        <v>115</v>
      </c>
      <c r="Q349" s="253" t="s">
        <v>115</v>
      </c>
      <c r="R349" s="253" t="s">
        <v>115</v>
      </c>
      <c r="S349" s="28">
        <f t="shared" si="10"/>
        <v>32.068975000000002</v>
      </c>
      <c r="T349" s="28">
        <f t="shared" si="11"/>
        <v>32.068975000000002</v>
      </c>
      <c r="U349" s="266" t="b">
        <v>1</v>
      </c>
      <c r="V349" s="266" t="b">
        <v>0</v>
      </c>
      <c r="Z349"/>
    </row>
    <row r="350" spans="1:26" ht="27" customHeight="1">
      <c r="A350" s="261"/>
      <c r="B350" s="260" t="s">
        <v>4476</v>
      </c>
      <c r="C350" s="107"/>
      <c r="D350" s="260" t="s">
        <v>4475</v>
      </c>
      <c r="E350" s="107"/>
      <c r="F350" s="156">
        <v>41495</v>
      </c>
      <c r="G350" s="257"/>
      <c r="H350" s="107"/>
      <c r="I350" s="107"/>
      <c r="J350" s="107"/>
      <c r="K350" s="252" t="s">
        <v>1089</v>
      </c>
      <c r="L350" s="261">
        <v>1</v>
      </c>
      <c r="M350" s="107">
        <v>1.75</v>
      </c>
      <c r="N350" s="107" t="s">
        <v>115</v>
      </c>
      <c r="O350" s="107" t="s">
        <v>115</v>
      </c>
      <c r="P350" s="107" t="s">
        <v>115</v>
      </c>
      <c r="Q350" s="107" t="s">
        <v>115</v>
      </c>
      <c r="R350" s="107" t="s">
        <v>115</v>
      </c>
      <c r="S350" s="28">
        <f t="shared" si="10"/>
        <v>1.75</v>
      </c>
      <c r="T350" s="28">
        <f t="shared" si="11"/>
        <v>1.75</v>
      </c>
      <c r="U350" s="266" t="b">
        <v>1</v>
      </c>
      <c r="V350" s="266" t="b">
        <v>0</v>
      </c>
      <c r="Z350"/>
    </row>
    <row r="351" spans="1:26" ht="27" customHeight="1">
      <c r="A351" s="261"/>
      <c r="B351" s="260" t="s">
        <v>4478</v>
      </c>
      <c r="C351" s="107"/>
      <c r="D351" s="260" t="s">
        <v>4477</v>
      </c>
      <c r="E351" s="107"/>
      <c r="F351" s="156">
        <v>41514</v>
      </c>
      <c r="G351" s="257"/>
      <c r="H351" s="107"/>
      <c r="I351" s="107"/>
      <c r="J351" s="107"/>
      <c r="K351" s="252" t="s">
        <v>1089</v>
      </c>
      <c r="L351" s="261">
        <v>1.02</v>
      </c>
      <c r="M351" s="107">
        <v>1.843</v>
      </c>
      <c r="N351" s="107" t="s">
        <v>115</v>
      </c>
      <c r="O351" s="107" t="s">
        <v>115</v>
      </c>
      <c r="P351" s="107" t="s">
        <v>115</v>
      </c>
      <c r="Q351" s="107" t="s">
        <v>115</v>
      </c>
      <c r="R351" s="107" t="s">
        <v>115</v>
      </c>
      <c r="S351" s="28">
        <f t="shared" si="10"/>
        <v>1.843</v>
      </c>
      <c r="T351" s="28">
        <f t="shared" si="11"/>
        <v>1.843</v>
      </c>
      <c r="U351" s="266" t="b">
        <v>1</v>
      </c>
      <c r="V351" s="266" t="b">
        <v>0</v>
      </c>
      <c r="Z351"/>
    </row>
    <row r="352" spans="1:26" ht="27" customHeight="1">
      <c r="A352" s="261"/>
      <c r="B352" s="260" t="s">
        <v>4480</v>
      </c>
      <c r="C352" s="107"/>
      <c r="D352" s="260" t="s">
        <v>4479</v>
      </c>
      <c r="E352" s="107"/>
      <c r="F352" s="156">
        <v>41514</v>
      </c>
      <c r="G352" s="257"/>
      <c r="H352" s="107"/>
      <c r="I352" s="107"/>
      <c r="J352" s="107"/>
      <c r="K352" s="252" t="s">
        <v>1089</v>
      </c>
      <c r="L352" s="261">
        <v>1</v>
      </c>
      <c r="M352" s="107">
        <v>1.9610000000000001</v>
      </c>
      <c r="N352" s="107" t="s">
        <v>115</v>
      </c>
      <c r="O352" s="107" t="s">
        <v>115</v>
      </c>
      <c r="P352" s="107" t="s">
        <v>115</v>
      </c>
      <c r="Q352" s="107" t="s">
        <v>115</v>
      </c>
      <c r="R352" s="107" t="s">
        <v>115</v>
      </c>
      <c r="S352" s="28">
        <f t="shared" si="10"/>
        <v>1.9610000000000001</v>
      </c>
      <c r="T352" s="28">
        <f t="shared" si="11"/>
        <v>1.9610000000000001</v>
      </c>
      <c r="U352" s="266" t="b">
        <v>1</v>
      </c>
      <c r="V352" s="266" t="b">
        <v>0</v>
      </c>
      <c r="Z352"/>
    </row>
    <row r="353" spans="1:26" ht="27" customHeight="1">
      <c r="A353" s="143" t="s">
        <v>1746</v>
      </c>
      <c r="B353" s="143" t="s">
        <v>1747</v>
      </c>
      <c r="C353" s="252" t="s">
        <v>1696</v>
      </c>
      <c r="D353" s="257" t="s">
        <v>3828</v>
      </c>
      <c r="E353" s="209" t="s">
        <v>2872</v>
      </c>
      <c r="F353" s="151">
        <v>42216</v>
      </c>
      <c r="G353" s="262" t="s">
        <v>3660</v>
      </c>
      <c r="H353" s="262"/>
      <c r="I353" s="188"/>
      <c r="J353" s="262" t="s">
        <v>1576</v>
      </c>
      <c r="K353" s="257" t="s">
        <v>1089</v>
      </c>
      <c r="L353" s="261">
        <v>10</v>
      </c>
      <c r="M353" s="258">
        <v>10.930059999999999</v>
      </c>
      <c r="N353" s="144" t="s">
        <v>115</v>
      </c>
      <c r="O353" s="241" t="s">
        <v>115</v>
      </c>
      <c r="P353" s="134" t="s">
        <v>115</v>
      </c>
      <c r="Q353" s="254" t="s">
        <v>115</v>
      </c>
      <c r="R353" s="264" t="s">
        <v>115</v>
      </c>
      <c r="S353" s="28">
        <f t="shared" si="10"/>
        <v>10.930059999999999</v>
      </c>
      <c r="T353" s="28">
        <f t="shared" si="11"/>
        <v>23.214000000000002</v>
      </c>
      <c r="U353" s="266" t="b">
        <v>1</v>
      </c>
      <c r="V353" s="266" t="b">
        <v>0</v>
      </c>
      <c r="Z353"/>
    </row>
    <row r="354" spans="1:26" ht="27" customHeight="1">
      <c r="A354" s="143" t="s">
        <v>1591</v>
      </c>
      <c r="B354" s="331" t="s">
        <v>1592</v>
      </c>
      <c r="C354" s="252" t="s">
        <v>1691</v>
      </c>
      <c r="D354" s="257" t="s">
        <v>4035</v>
      </c>
      <c r="E354" s="209" t="s">
        <v>2868</v>
      </c>
      <c r="F354" s="151">
        <v>42107</v>
      </c>
      <c r="G354" s="262" t="s">
        <v>3732</v>
      </c>
      <c r="H354" s="354"/>
      <c r="I354" s="262"/>
      <c r="J354" s="262" t="s">
        <v>3959</v>
      </c>
      <c r="K354" s="257" t="s">
        <v>1089</v>
      </c>
      <c r="L354" s="261">
        <v>1.5</v>
      </c>
      <c r="M354" s="144"/>
      <c r="N354" s="241"/>
      <c r="O354" s="134"/>
      <c r="P354" s="254"/>
      <c r="Q354" s="264"/>
      <c r="R354" s="252"/>
      <c r="S354" s="28">
        <f t="shared" si="10"/>
        <v>0</v>
      </c>
      <c r="T354" s="28">
        <f t="shared" si="11"/>
        <v>3.4821</v>
      </c>
      <c r="U354" s="266" t="b">
        <v>1</v>
      </c>
      <c r="V354" s="266" t="b">
        <v>0</v>
      </c>
      <c r="Z354"/>
    </row>
    <row r="355" spans="1:26" ht="27" customHeight="1">
      <c r="A355" s="252"/>
      <c r="B355" s="252" t="s">
        <v>1862</v>
      </c>
      <c r="C355" s="257"/>
      <c r="D355" s="48" t="s">
        <v>1414</v>
      </c>
      <c r="E355" s="48"/>
      <c r="F355" s="257"/>
      <c r="G355" s="252"/>
      <c r="H355" s="200"/>
      <c r="I355" s="252"/>
      <c r="J355" s="257"/>
      <c r="K355" s="252" t="s">
        <v>9</v>
      </c>
      <c r="L355" s="268">
        <v>18.14</v>
      </c>
      <c r="M355" s="268"/>
      <c r="N355" s="32"/>
      <c r="O355" s="32"/>
      <c r="P355" s="32"/>
      <c r="Q355" s="253"/>
      <c r="R355" s="253"/>
      <c r="S355" s="28">
        <f t="shared" si="10"/>
        <v>0</v>
      </c>
      <c r="T355" s="28">
        <f t="shared" si="11"/>
        <v>0</v>
      </c>
      <c r="U355" s="266" t="b">
        <v>0</v>
      </c>
      <c r="V355" s="266" t="b">
        <v>0</v>
      </c>
      <c r="Z355"/>
    </row>
    <row r="356" spans="1:26" ht="27" customHeight="1">
      <c r="A356" s="252"/>
      <c r="B356" s="252" t="s">
        <v>1863</v>
      </c>
      <c r="C356" s="257"/>
      <c r="D356" s="48" t="s">
        <v>1322</v>
      </c>
      <c r="E356" s="48"/>
      <c r="F356" s="257"/>
      <c r="G356" s="252" t="s">
        <v>2359</v>
      </c>
      <c r="H356" s="252"/>
      <c r="I356" s="252"/>
      <c r="J356" s="257"/>
      <c r="K356" s="252" t="s">
        <v>9</v>
      </c>
      <c r="L356" s="268">
        <v>2.1</v>
      </c>
      <c r="M356" s="268">
        <v>5.7976999999999999</v>
      </c>
      <c r="N356" s="32">
        <v>5.4531400000000003</v>
      </c>
      <c r="O356" s="32" t="s">
        <v>115</v>
      </c>
      <c r="P356" s="32" t="s">
        <v>115</v>
      </c>
      <c r="Q356" s="253" t="s">
        <v>115</v>
      </c>
      <c r="R356" s="253" t="s">
        <v>115</v>
      </c>
      <c r="S356" s="28">
        <f t="shared" si="10"/>
        <v>5.6254200000000001</v>
      </c>
      <c r="T356" s="28">
        <f t="shared" si="11"/>
        <v>5.6254200000000001</v>
      </c>
      <c r="U356" s="266" t="b">
        <v>1</v>
      </c>
      <c r="V356" s="266" t="b">
        <v>0</v>
      </c>
      <c r="Z356"/>
    </row>
    <row r="357" spans="1:26" ht="27" customHeight="1">
      <c r="A357" s="257" t="s">
        <v>480</v>
      </c>
      <c r="B357" s="46" t="s">
        <v>1547</v>
      </c>
      <c r="C357" s="257"/>
      <c r="D357" s="250" t="s">
        <v>1299</v>
      </c>
      <c r="E357" s="250" t="s">
        <v>2805</v>
      </c>
      <c r="F357" s="43">
        <v>41348</v>
      </c>
      <c r="G357" s="243"/>
      <c r="H357" s="46">
        <v>57306</v>
      </c>
      <c r="I357" s="46"/>
      <c r="J357" s="257" t="s">
        <v>3541</v>
      </c>
      <c r="K357" s="257" t="s">
        <v>1089</v>
      </c>
      <c r="L357" s="258">
        <v>8.5</v>
      </c>
      <c r="M357" s="258">
        <v>10.329000000000001</v>
      </c>
      <c r="N357" s="130">
        <v>16.675000000000001</v>
      </c>
      <c r="O357" s="28" t="s">
        <v>115</v>
      </c>
      <c r="P357" s="29" t="s">
        <v>115</v>
      </c>
      <c r="Q357" s="29" t="s">
        <v>115</v>
      </c>
      <c r="R357" s="29" t="s">
        <v>115</v>
      </c>
      <c r="S357" s="28">
        <f t="shared" si="10"/>
        <v>13.502000000000001</v>
      </c>
      <c r="T357" s="28">
        <f t="shared" si="11"/>
        <v>13.502000000000001</v>
      </c>
      <c r="U357" s="266" t="b">
        <v>1</v>
      </c>
      <c r="V357" s="266" t="b">
        <v>0</v>
      </c>
      <c r="Z357"/>
    </row>
    <row r="358" spans="1:26" ht="27" customHeight="1">
      <c r="A358" s="252" t="s">
        <v>480</v>
      </c>
      <c r="B358" s="252" t="s">
        <v>1864</v>
      </c>
      <c r="C358" s="257"/>
      <c r="D358" s="48" t="s">
        <v>1386</v>
      </c>
      <c r="E358" s="48" t="s">
        <v>2806</v>
      </c>
      <c r="F358" s="251">
        <v>40133</v>
      </c>
      <c r="G358" s="252"/>
      <c r="H358" s="252"/>
      <c r="I358" s="252"/>
      <c r="J358" s="257"/>
      <c r="K358" s="252" t="s">
        <v>9</v>
      </c>
      <c r="L358" s="268">
        <v>135</v>
      </c>
      <c r="M358" s="268">
        <v>137.06968000000001</v>
      </c>
      <c r="N358" s="32">
        <v>285.81401</v>
      </c>
      <c r="O358" s="88">
        <v>258.55500000000001</v>
      </c>
      <c r="P358" s="88">
        <v>281.70800000000003</v>
      </c>
      <c r="Q358" s="88">
        <v>286.15600000000001</v>
      </c>
      <c r="R358" s="88">
        <v>306.38600000000002</v>
      </c>
      <c r="S358" s="28">
        <f t="shared" si="10"/>
        <v>259.28144833333334</v>
      </c>
      <c r="T358" s="28">
        <f t="shared" si="11"/>
        <v>259.28144833333334</v>
      </c>
      <c r="U358" s="266" t="b">
        <v>1</v>
      </c>
      <c r="V358" s="266" t="b">
        <v>0</v>
      </c>
      <c r="Z358"/>
    </row>
    <row r="359" spans="1:26" ht="27" customHeight="1">
      <c r="A359" s="252"/>
      <c r="B359" s="252" t="s">
        <v>1865</v>
      </c>
      <c r="C359" s="257"/>
      <c r="D359" s="48" t="s">
        <v>1392</v>
      </c>
      <c r="E359" s="48"/>
      <c r="F359" s="257"/>
      <c r="G359" s="252" t="s">
        <v>2398</v>
      </c>
      <c r="H359" s="252"/>
      <c r="I359" s="252"/>
      <c r="J359" s="257"/>
      <c r="K359" s="252" t="s">
        <v>9</v>
      </c>
      <c r="L359" s="268">
        <v>168</v>
      </c>
      <c r="M359" s="268">
        <v>288.51696000000004</v>
      </c>
      <c r="N359" s="32">
        <v>365.50761999999997</v>
      </c>
      <c r="O359" s="32" t="s">
        <v>115</v>
      </c>
      <c r="P359" s="32" t="s">
        <v>115</v>
      </c>
      <c r="Q359" s="253" t="s">
        <v>115</v>
      </c>
      <c r="R359" s="253" t="s">
        <v>115</v>
      </c>
      <c r="S359" s="28">
        <f t="shared" si="10"/>
        <v>327.01229000000001</v>
      </c>
      <c r="T359" s="28">
        <f t="shared" si="11"/>
        <v>327.01229000000001</v>
      </c>
      <c r="U359" s="266" t="b">
        <v>1</v>
      </c>
      <c r="V359" s="266" t="b">
        <v>0</v>
      </c>
      <c r="Z359"/>
    </row>
    <row r="360" spans="1:26" ht="27" customHeight="1">
      <c r="A360" s="252"/>
      <c r="B360" s="252" t="s">
        <v>1866</v>
      </c>
      <c r="C360" s="257"/>
      <c r="D360" s="48" t="s">
        <v>1393</v>
      </c>
      <c r="E360" s="48"/>
      <c r="F360" s="257"/>
      <c r="G360" s="252" t="s">
        <v>2396</v>
      </c>
      <c r="H360" s="252"/>
      <c r="I360" s="252"/>
      <c r="J360" s="257"/>
      <c r="K360" s="252" t="s">
        <v>9</v>
      </c>
      <c r="L360" s="268">
        <v>132</v>
      </c>
      <c r="M360" s="268">
        <v>202.58499</v>
      </c>
      <c r="N360" s="32">
        <v>255.62423999999999</v>
      </c>
      <c r="O360" s="32" t="s">
        <v>115</v>
      </c>
      <c r="P360" s="32" t="s">
        <v>115</v>
      </c>
      <c r="Q360" s="253" t="s">
        <v>115</v>
      </c>
      <c r="R360" s="253" t="s">
        <v>115</v>
      </c>
      <c r="S360" s="28">
        <f t="shared" si="10"/>
        <v>229.104615</v>
      </c>
      <c r="T360" s="28">
        <f t="shared" si="11"/>
        <v>229.104615</v>
      </c>
      <c r="U360" s="266" t="b">
        <v>1</v>
      </c>
      <c r="V360" s="266" t="b">
        <v>0</v>
      </c>
      <c r="Z360"/>
    </row>
    <row r="361" spans="1:26" ht="27" customHeight="1">
      <c r="A361" s="27" t="s">
        <v>22</v>
      </c>
      <c r="B361" s="27" t="s">
        <v>510</v>
      </c>
      <c r="C361" s="252"/>
      <c r="D361" s="250" t="s">
        <v>711</v>
      </c>
      <c r="E361" s="250"/>
      <c r="F361" s="251"/>
      <c r="G361" s="281" t="s">
        <v>2525</v>
      </c>
      <c r="H361" s="27"/>
      <c r="I361" s="27"/>
      <c r="J361" s="257"/>
      <c r="K361" s="27" t="s">
        <v>1177</v>
      </c>
      <c r="L361" s="58">
        <v>16</v>
      </c>
      <c r="M361" s="58">
        <v>47.000140000000002</v>
      </c>
      <c r="N361" s="130">
        <v>47.829089999999994</v>
      </c>
      <c r="O361" s="28">
        <v>44.315040000000003</v>
      </c>
      <c r="P361" s="29">
        <v>43.141199999999998</v>
      </c>
      <c r="Q361" s="29">
        <v>42.885049999999993</v>
      </c>
      <c r="R361" s="29">
        <v>40.765099999999997</v>
      </c>
      <c r="S361" s="28">
        <f t="shared" si="10"/>
        <v>44.32260333333334</v>
      </c>
      <c r="T361" s="28">
        <f t="shared" si="11"/>
        <v>44.32260333333334</v>
      </c>
      <c r="U361" s="266" t="b">
        <v>1</v>
      </c>
      <c r="V361" s="266" t="b">
        <v>0</v>
      </c>
      <c r="Z361"/>
    </row>
    <row r="362" spans="1:26" ht="27" customHeight="1">
      <c r="A362" s="261"/>
      <c r="B362" s="260" t="s">
        <v>4494</v>
      </c>
      <c r="C362" s="107"/>
      <c r="D362" s="260" t="s">
        <v>4493</v>
      </c>
      <c r="E362" s="107"/>
      <c r="F362" s="156">
        <v>41842</v>
      </c>
      <c r="G362" s="257"/>
      <c r="H362" s="107"/>
      <c r="I362" s="107"/>
      <c r="J362" s="107"/>
      <c r="K362" s="252" t="s">
        <v>1089</v>
      </c>
      <c r="L362" s="261">
        <v>1.22</v>
      </c>
      <c r="M362" s="107">
        <v>3.246</v>
      </c>
      <c r="N362" s="107" t="s">
        <v>115</v>
      </c>
      <c r="O362" s="107" t="s">
        <v>115</v>
      </c>
      <c r="P362" s="107" t="s">
        <v>115</v>
      </c>
      <c r="Q362" s="107" t="s">
        <v>115</v>
      </c>
      <c r="R362" s="107" t="s">
        <v>115</v>
      </c>
      <c r="S362" s="28">
        <f t="shared" si="10"/>
        <v>3.246</v>
      </c>
      <c r="T362" s="28">
        <f t="shared" si="11"/>
        <v>3.246</v>
      </c>
      <c r="U362" s="266" t="b">
        <v>1</v>
      </c>
      <c r="V362" s="266" t="b">
        <v>0</v>
      </c>
      <c r="Z362"/>
    </row>
    <row r="363" spans="1:26" ht="27" customHeight="1">
      <c r="A363" s="27" t="s">
        <v>95</v>
      </c>
      <c r="B363" s="27" t="s">
        <v>97</v>
      </c>
      <c r="C363" s="252" t="s">
        <v>3353</v>
      </c>
      <c r="D363" s="250" t="s">
        <v>710</v>
      </c>
      <c r="E363" s="250" t="s">
        <v>3511</v>
      </c>
      <c r="F363" s="43" t="s">
        <v>1152</v>
      </c>
      <c r="G363" s="27" t="s">
        <v>2247</v>
      </c>
      <c r="H363" s="27"/>
      <c r="I363" s="27"/>
      <c r="J363" s="257"/>
      <c r="K363" s="27" t="s">
        <v>7</v>
      </c>
      <c r="L363" s="58">
        <v>15</v>
      </c>
      <c r="M363" s="58">
        <v>89.055000000000007</v>
      </c>
      <c r="N363" s="130">
        <v>91.694000000000003</v>
      </c>
      <c r="O363" s="28">
        <v>96.570999999999998</v>
      </c>
      <c r="P363" s="29">
        <v>102.693</v>
      </c>
      <c r="Q363" s="28">
        <v>107.98099999999999</v>
      </c>
      <c r="R363" s="28">
        <v>101.42700000000001</v>
      </c>
      <c r="S363" s="28">
        <f t="shared" si="10"/>
        <v>98.236833333333337</v>
      </c>
      <c r="T363" s="28">
        <f t="shared" si="11"/>
        <v>98.236833333333337</v>
      </c>
      <c r="U363" s="266" t="b">
        <v>1</v>
      </c>
      <c r="V363" s="266" t="b">
        <v>0</v>
      </c>
      <c r="Z363"/>
    </row>
    <row r="364" spans="1:26" ht="27" customHeight="1">
      <c r="A364" s="252" t="s">
        <v>1082</v>
      </c>
      <c r="B364" s="257" t="s">
        <v>972</v>
      </c>
      <c r="C364" s="252"/>
      <c r="D364" s="29" t="s">
        <v>971</v>
      </c>
      <c r="E364" s="29" t="s">
        <v>2807</v>
      </c>
      <c r="F364" s="251">
        <v>40907</v>
      </c>
      <c r="G364" s="188"/>
      <c r="H364" s="257"/>
      <c r="I364" s="257"/>
      <c r="J364" s="257"/>
      <c r="K364" s="27" t="s">
        <v>1089</v>
      </c>
      <c r="L364" s="58">
        <v>1</v>
      </c>
      <c r="M364" s="58">
        <v>1.9259999999999999</v>
      </c>
      <c r="N364" s="130">
        <v>1.9470000000000001</v>
      </c>
      <c r="O364" s="28">
        <v>2.137</v>
      </c>
      <c r="P364" s="29">
        <v>2.0779999999999998</v>
      </c>
      <c r="Q364" s="28" t="s">
        <v>115</v>
      </c>
      <c r="R364" s="28" t="s">
        <v>115</v>
      </c>
      <c r="S364" s="28">
        <f t="shared" si="10"/>
        <v>2.0219999999999998</v>
      </c>
      <c r="T364" s="28">
        <f t="shared" si="11"/>
        <v>2.0219999999999998</v>
      </c>
      <c r="U364" s="266" t="b">
        <v>1</v>
      </c>
      <c r="V364" s="266" t="b">
        <v>0</v>
      </c>
      <c r="Z364"/>
    </row>
    <row r="365" spans="1:26" ht="27" customHeight="1">
      <c r="A365" s="257" t="s">
        <v>2809</v>
      </c>
      <c r="B365" s="46" t="s">
        <v>1130</v>
      </c>
      <c r="C365" s="257"/>
      <c r="D365" s="48" t="s">
        <v>1127</v>
      </c>
      <c r="E365" s="181" t="s">
        <v>2808</v>
      </c>
      <c r="F365" s="43">
        <v>40534</v>
      </c>
      <c r="G365" s="243"/>
      <c r="H365" s="46">
        <v>58633</v>
      </c>
      <c r="I365" s="46"/>
      <c r="J365" s="257" t="s">
        <v>3284</v>
      </c>
      <c r="K365" s="257" t="s">
        <v>1089</v>
      </c>
      <c r="L365" s="270">
        <v>1</v>
      </c>
      <c r="M365" s="270">
        <v>1.6220000000000001</v>
      </c>
      <c r="N365" s="130">
        <v>1.6220000000000001</v>
      </c>
      <c r="O365" s="28">
        <v>1.6220000000000001</v>
      </c>
      <c r="P365" s="29">
        <v>1.6220000000000001</v>
      </c>
      <c r="Q365" s="29" t="s">
        <v>115</v>
      </c>
      <c r="R365" s="29" t="s">
        <v>115</v>
      </c>
      <c r="S365" s="28">
        <f t="shared" si="10"/>
        <v>1.6220000000000001</v>
      </c>
      <c r="T365" s="28">
        <f t="shared" si="11"/>
        <v>1.6220000000000001</v>
      </c>
      <c r="U365" s="266" t="b">
        <v>1</v>
      </c>
      <c r="V365" s="266" t="b">
        <v>0</v>
      </c>
      <c r="Z365"/>
    </row>
    <row r="366" spans="1:26" ht="27" customHeight="1">
      <c r="A366" s="27" t="s">
        <v>1494</v>
      </c>
      <c r="B366" s="27" t="s">
        <v>1493</v>
      </c>
      <c r="C366" s="252" t="s">
        <v>1750</v>
      </c>
      <c r="D366" s="29" t="s">
        <v>1210</v>
      </c>
      <c r="E366" s="29" t="s">
        <v>2171</v>
      </c>
      <c r="F366" s="251">
        <v>41640</v>
      </c>
      <c r="G366" s="281" t="s">
        <v>3707</v>
      </c>
      <c r="H366" s="39"/>
      <c r="I366" s="39"/>
      <c r="J366" s="257"/>
      <c r="K366" s="252" t="s">
        <v>3</v>
      </c>
      <c r="L366" s="58">
        <v>50.6</v>
      </c>
      <c r="M366" s="58">
        <v>338.779</v>
      </c>
      <c r="N366" s="130">
        <v>305.10399999999998</v>
      </c>
      <c r="O366" s="28" t="s">
        <v>115</v>
      </c>
      <c r="P366" s="29" t="s">
        <v>115</v>
      </c>
      <c r="Q366" s="29" t="s">
        <v>115</v>
      </c>
      <c r="R366" s="29" t="s">
        <v>115</v>
      </c>
      <c r="S366" s="28">
        <f t="shared" si="10"/>
        <v>321.94150000000002</v>
      </c>
      <c r="T366" s="28">
        <f t="shared" si="11"/>
        <v>321.94150000000002</v>
      </c>
      <c r="U366" s="266" t="b">
        <v>1</v>
      </c>
      <c r="V366" s="266" t="b">
        <v>0</v>
      </c>
      <c r="Z366"/>
    </row>
    <row r="367" spans="1:26" ht="27" customHeight="1">
      <c r="A367" s="257" t="s">
        <v>1753</v>
      </c>
      <c r="B367" s="256" t="s">
        <v>1771</v>
      </c>
      <c r="C367" s="257"/>
      <c r="D367" s="257"/>
      <c r="E367" s="253" t="s">
        <v>1777</v>
      </c>
      <c r="F367" s="251">
        <v>41652</v>
      </c>
      <c r="G367" s="281" t="s">
        <v>3727</v>
      </c>
      <c r="H367" s="281">
        <v>58309</v>
      </c>
      <c r="I367" s="257"/>
      <c r="J367" s="253" t="s">
        <v>2946</v>
      </c>
      <c r="K367" s="257" t="s">
        <v>1089</v>
      </c>
      <c r="L367" s="258">
        <v>1</v>
      </c>
      <c r="M367" s="258">
        <v>2.02461</v>
      </c>
      <c r="N367" s="257">
        <v>2.0004620000000002</v>
      </c>
      <c r="O367" s="257"/>
      <c r="P367" s="257"/>
      <c r="Q367" s="257"/>
      <c r="R367" s="257"/>
      <c r="S367" s="28">
        <f t="shared" si="10"/>
        <v>2.0125359999999999</v>
      </c>
      <c r="T367" s="28">
        <f t="shared" si="11"/>
        <v>2.0125359999999999</v>
      </c>
      <c r="U367" s="266" t="b">
        <v>1</v>
      </c>
      <c r="V367" s="266" t="b">
        <v>0</v>
      </c>
      <c r="Z367"/>
    </row>
    <row r="368" spans="1:26" ht="27" customHeight="1">
      <c r="A368" s="257" t="s">
        <v>1753</v>
      </c>
      <c r="B368" s="256" t="s">
        <v>1772</v>
      </c>
      <c r="C368" s="257"/>
      <c r="D368" s="257"/>
      <c r="E368" s="253" t="s">
        <v>1778</v>
      </c>
      <c r="F368" s="251">
        <v>41652</v>
      </c>
      <c r="G368" s="281" t="s">
        <v>3728</v>
      </c>
      <c r="H368" s="281">
        <v>58309</v>
      </c>
      <c r="I368" s="257"/>
      <c r="J368" s="253" t="s">
        <v>2946</v>
      </c>
      <c r="K368" s="257" t="s">
        <v>1089</v>
      </c>
      <c r="L368" s="258">
        <v>1</v>
      </c>
      <c r="M368" s="258">
        <v>2.0433300000000001</v>
      </c>
      <c r="N368" s="257">
        <v>2.0201739999999999</v>
      </c>
      <c r="O368" s="257"/>
      <c r="P368" s="257"/>
      <c r="Q368" s="257"/>
      <c r="R368" s="257"/>
      <c r="S368" s="28">
        <f t="shared" si="10"/>
        <v>2.031752</v>
      </c>
      <c r="T368" s="28">
        <f t="shared" si="11"/>
        <v>2.031752</v>
      </c>
      <c r="U368" s="266" t="b">
        <v>1</v>
      </c>
      <c r="V368" s="266" t="b">
        <v>0</v>
      </c>
      <c r="Z368"/>
    </row>
    <row r="369" spans="1:26" ht="27" customHeight="1">
      <c r="A369" s="257" t="s">
        <v>1753</v>
      </c>
      <c r="B369" s="256" t="s">
        <v>1773</v>
      </c>
      <c r="C369" s="257"/>
      <c r="D369" s="257"/>
      <c r="E369" s="253" t="s">
        <v>1779</v>
      </c>
      <c r="F369" s="251">
        <v>41652</v>
      </c>
      <c r="G369" s="281" t="s">
        <v>3729</v>
      </c>
      <c r="H369" s="281">
        <v>58309</v>
      </c>
      <c r="I369" s="257"/>
      <c r="J369" s="253" t="s">
        <v>2946</v>
      </c>
      <c r="K369" s="257" t="s">
        <v>1089</v>
      </c>
      <c r="L369" s="258">
        <v>1.5</v>
      </c>
      <c r="M369" s="258">
        <v>3.0394459999999999</v>
      </c>
      <c r="N369" s="257">
        <v>2.9916800000000001</v>
      </c>
      <c r="O369" s="257"/>
      <c r="P369" s="257"/>
      <c r="Q369" s="257"/>
      <c r="R369" s="257"/>
      <c r="S369" s="28">
        <f t="shared" si="10"/>
        <v>3.0155630000000002</v>
      </c>
      <c r="T369" s="28">
        <f t="shared" si="11"/>
        <v>3.0155630000000002</v>
      </c>
      <c r="U369" s="266" t="b">
        <v>1</v>
      </c>
      <c r="V369" s="266" t="b">
        <v>0</v>
      </c>
      <c r="Z369"/>
    </row>
    <row r="370" spans="1:26" ht="27" customHeight="1">
      <c r="A370" s="257" t="s">
        <v>1782</v>
      </c>
      <c r="B370" s="256" t="s">
        <v>1774</v>
      </c>
      <c r="C370" s="257"/>
      <c r="D370" s="257"/>
      <c r="E370" s="253" t="s">
        <v>1780</v>
      </c>
      <c r="F370" s="251">
        <v>41845</v>
      </c>
      <c r="G370" s="281" t="s">
        <v>3632</v>
      </c>
      <c r="H370" s="188">
        <v>59219</v>
      </c>
      <c r="I370" s="257"/>
      <c r="J370" s="253" t="s">
        <v>2946</v>
      </c>
      <c r="K370" s="257" t="s">
        <v>1089</v>
      </c>
      <c r="L370" s="258">
        <v>1.5</v>
      </c>
      <c r="M370" s="258">
        <v>3.0813760000000001</v>
      </c>
      <c r="N370" s="188">
        <v>1.1738519999999999</v>
      </c>
      <c r="O370" s="257"/>
      <c r="P370" s="257"/>
      <c r="Q370" s="257"/>
      <c r="R370" s="257"/>
      <c r="S370" s="28">
        <f t="shared" si="10"/>
        <v>2.1276139999999999</v>
      </c>
      <c r="T370" s="28">
        <f t="shared" si="11"/>
        <v>2.1276139999999999</v>
      </c>
      <c r="U370" s="266" t="b">
        <v>1</v>
      </c>
      <c r="V370" s="266" t="b">
        <v>0</v>
      </c>
      <c r="Z370"/>
    </row>
    <row r="371" spans="1:26" ht="27" customHeight="1">
      <c r="A371" s="257" t="s">
        <v>1782</v>
      </c>
      <c r="B371" s="256" t="s">
        <v>1775</v>
      </c>
      <c r="C371" s="257"/>
      <c r="D371" s="257"/>
      <c r="E371" s="253" t="s">
        <v>1781</v>
      </c>
      <c r="F371" s="251">
        <v>41845</v>
      </c>
      <c r="G371" s="281" t="s">
        <v>3633</v>
      </c>
      <c r="H371" s="188">
        <v>59219</v>
      </c>
      <c r="I371" s="257"/>
      <c r="J371" s="253" t="s">
        <v>2946</v>
      </c>
      <c r="K371" s="257" t="s">
        <v>1089</v>
      </c>
      <c r="L371" s="258">
        <v>1.5</v>
      </c>
      <c r="M371" s="258">
        <v>3.0690119999999999</v>
      </c>
      <c r="N371" s="188">
        <v>1.1739679999999999</v>
      </c>
      <c r="O371" s="257"/>
      <c r="P371" s="257"/>
      <c r="Q371" s="257"/>
      <c r="R371" s="257"/>
      <c r="S371" s="28">
        <f t="shared" si="10"/>
        <v>2.1214899999999997</v>
      </c>
      <c r="T371" s="28">
        <f t="shared" si="11"/>
        <v>2.1214899999999997</v>
      </c>
      <c r="U371" s="266" t="b">
        <v>1</v>
      </c>
      <c r="V371" s="266" t="b">
        <v>0</v>
      </c>
      <c r="Z371"/>
    </row>
    <row r="372" spans="1:26" ht="27" customHeight="1">
      <c r="A372" s="261"/>
      <c r="B372" s="260" t="s">
        <v>3595</v>
      </c>
      <c r="C372" s="107"/>
      <c r="D372" s="260" t="s">
        <v>4505</v>
      </c>
      <c r="E372" s="107" t="s">
        <v>3596</v>
      </c>
      <c r="F372" s="156">
        <v>41636</v>
      </c>
      <c r="G372" s="257" t="s">
        <v>3597</v>
      </c>
      <c r="H372" s="107"/>
      <c r="I372" s="107"/>
      <c r="J372" s="107"/>
      <c r="K372" s="252" t="s">
        <v>1089</v>
      </c>
      <c r="L372" s="261">
        <v>1.5</v>
      </c>
      <c r="M372" s="107">
        <v>4.234</v>
      </c>
      <c r="N372" s="107">
        <v>4.1180000000000003</v>
      </c>
      <c r="O372" s="107" t="s">
        <v>115</v>
      </c>
      <c r="P372" s="107" t="s">
        <v>115</v>
      </c>
      <c r="Q372" s="107" t="s">
        <v>115</v>
      </c>
      <c r="R372" s="107" t="s">
        <v>115</v>
      </c>
      <c r="S372" s="28">
        <f t="shared" si="10"/>
        <v>4.1760000000000002</v>
      </c>
      <c r="T372" s="28">
        <f t="shared" si="11"/>
        <v>4.1760000000000002</v>
      </c>
      <c r="U372" s="266" t="b">
        <v>1</v>
      </c>
      <c r="V372" s="266" t="b">
        <v>0</v>
      </c>
      <c r="Z372"/>
    </row>
    <row r="373" spans="1:26" s="259" customFormat="1" ht="27" customHeight="1">
      <c r="A373" s="261"/>
      <c r="B373" s="260" t="s">
        <v>4529</v>
      </c>
      <c r="C373" s="107"/>
      <c r="D373" s="260" t="s">
        <v>4528</v>
      </c>
      <c r="E373" s="107"/>
      <c r="F373" s="156">
        <v>40081</v>
      </c>
      <c r="G373" s="257"/>
      <c r="H373" s="107"/>
      <c r="I373" s="107"/>
      <c r="J373" s="107"/>
      <c r="K373" s="252" t="s">
        <v>1089</v>
      </c>
      <c r="L373" s="261">
        <v>1</v>
      </c>
      <c r="M373" s="107">
        <v>1.9219999999999999</v>
      </c>
      <c r="N373" s="107" t="s">
        <v>115</v>
      </c>
      <c r="O373" s="107" t="s">
        <v>115</v>
      </c>
      <c r="P373" s="107" t="s">
        <v>115</v>
      </c>
      <c r="Q373" s="107" t="s">
        <v>115</v>
      </c>
      <c r="R373" s="107" t="s">
        <v>115</v>
      </c>
      <c r="S373" s="28">
        <f t="shared" si="10"/>
        <v>1.9219999999999999</v>
      </c>
      <c r="T373" s="28">
        <f t="shared" si="11"/>
        <v>1.9219999999999999</v>
      </c>
      <c r="U373" s="266" t="b">
        <v>1</v>
      </c>
      <c r="V373" s="266" t="b">
        <v>0</v>
      </c>
      <c r="Z373"/>
    </row>
    <row r="374" spans="1:26" s="259" customFormat="1" ht="27" customHeight="1">
      <c r="A374" s="27" t="s">
        <v>48</v>
      </c>
      <c r="B374" s="27" t="s">
        <v>1473</v>
      </c>
      <c r="C374" s="252" t="s">
        <v>3307</v>
      </c>
      <c r="D374" s="250" t="s">
        <v>709</v>
      </c>
      <c r="E374" s="250">
        <v>60290</v>
      </c>
      <c r="F374" s="251"/>
      <c r="G374" s="281" t="s">
        <v>2478</v>
      </c>
      <c r="H374" s="27"/>
      <c r="I374" s="27"/>
      <c r="J374" s="257" t="s">
        <v>1944</v>
      </c>
      <c r="K374" s="27" t="s">
        <v>2894</v>
      </c>
      <c r="L374" s="58">
        <v>50</v>
      </c>
      <c r="M374" s="58">
        <v>329.53712000000002</v>
      </c>
      <c r="N374" s="130">
        <v>357.18711999999999</v>
      </c>
      <c r="O374" s="28">
        <v>385.64229999999998</v>
      </c>
      <c r="P374" s="29">
        <v>407.29340000000002</v>
      </c>
      <c r="Q374" s="28">
        <v>406.74200000000002</v>
      </c>
      <c r="R374" s="28">
        <v>408.733</v>
      </c>
      <c r="S374" s="28">
        <f t="shared" si="10"/>
        <v>382.52249</v>
      </c>
      <c r="T374" s="28">
        <f t="shared" si="11"/>
        <v>382.52249</v>
      </c>
      <c r="U374" s="266" t="b">
        <v>1</v>
      </c>
      <c r="V374" s="266" t="b">
        <v>0</v>
      </c>
      <c r="Z374"/>
    </row>
    <row r="375" spans="1:26" ht="27" customHeight="1">
      <c r="A375" s="27" t="s">
        <v>48</v>
      </c>
      <c r="B375" s="27" t="s">
        <v>1474</v>
      </c>
      <c r="C375" s="252" t="s">
        <v>3308</v>
      </c>
      <c r="D375" s="250" t="s">
        <v>708</v>
      </c>
      <c r="E375" s="250">
        <v>60290</v>
      </c>
      <c r="F375" s="251" t="s">
        <v>3749</v>
      </c>
      <c r="G375" s="281" t="s">
        <v>2480</v>
      </c>
      <c r="H375" s="27"/>
      <c r="I375" s="27"/>
      <c r="J375" s="257"/>
      <c r="K375" s="27" t="s">
        <v>2894</v>
      </c>
      <c r="L375" s="58">
        <f>2.7*3</f>
        <v>8.1000000000000014</v>
      </c>
      <c r="M375" s="58">
        <v>19.367999999999999</v>
      </c>
      <c r="N375" s="130">
        <v>24.478000000000002</v>
      </c>
      <c r="O375" s="28">
        <v>40.270000000000003</v>
      </c>
      <c r="P375" s="29">
        <v>31.965</v>
      </c>
      <c r="Q375" s="28">
        <v>28.364000000000001</v>
      </c>
      <c r="R375" s="28">
        <v>37.363</v>
      </c>
      <c r="S375" s="28">
        <f t="shared" si="10"/>
        <v>30.301333333333336</v>
      </c>
      <c r="T375" s="28">
        <f t="shared" si="11"/>
        <v>0</v>
      </c>
      <c r="U375" s="266" t="b">
        <v>1</v>
      </c>
      <c r="V375" s="266" t="b">
        <v>0</v>
      </c>
      <c r="Z375"/>
    </row>
    <row r="376" spans="1:26" ht="27" customHeight="1">
      <c r="A376" s="257" t="s">
        <v>1486</v>
      </c>
      <c r="B376" s="256" t="s">
        <v>1555</v>
      </c>
      <c r="C376" s="257" t="s">
        <v>1697</v>
      </c>
      <c r="D376" s="250" t="s">
        <v>1308</v>
      </c>
      <c r="E376" s="250" t="s">
        <v>2811</v>
      </c>
      <c r="F376" s="251">
        <v>42004</v>
      </c>
      <c r="G376" s="282" t="s">
        <v>3661</v>
      </c>
      <c r="H376" s="256"/>
      <c r="I376" s="256"/>
      <c r="J376" s="257"/>
      <c r="K376" s="257" t="s">
        <v>1089</v>
      </c>
      <c r="L376" s="258">
        <v>20</v>
      </c>
      <c r="M376" s="258">
        <v>51.959000000000003</v>
      </c>
      <c r="N376" s="130"/>
      <c r="O376" s="28" t="s">
        <v>115</v>
      </c>
      <c r="P376" s="32" t="s">
        <v>115</v>
      </c>
      <c r="Q376" s="253" t="s">
        <v>115</v>
      </c>
      <c r="R376" s="253" t="s">
        <v>115</v>
      </c>
      <c r="S376" s="28">
        <f t="shared" si="10"/>
        <v>51.959000000000003</v>
      </c>
      <c r="T376" s="28">
        <f t="shared" si="11"/>
        <v>51.959000000000003</v>
      </c>
      <c r="U376" s="266" t="b">
        <v>1</v>
      </c>
      <c r="V376" s="266" t="b">
        <v>0</v>
      </c>
      <c r="Z376"/>
    </row>
    <row r="377" spans="1:26" ht="27" customHeight="1">
      <c r="A377" s="257"/>
      <c r="B377" s="256" t="s">
        <v>1606</v>
      </c>
      <c r="C377" s="257" t="s">
        <v>1620</v>
      </c>
      <c r="D377" s="250" t="s">
        <v>1303</v>
      </c>
      <c r="E377" s="250" t="s">
        <v>4911</v>
      </c>
      <c r="F377" s="251">
        <v>41974</v>
      </c>
      <c r="G377" s="282" t="s">
        <v>2267</v>
      </c>
      <c r="H377" s="256">
        <v>59550</v>
      </c>
      <c r="I377" s="256"/>
      <c r="J377" s="257" t="s">
        <v>3541</v>
      </c>
      <c r="K377" s="257" t="s">
        <v>1089</v>
      </c>
      <c r="L377" s="258">
        <v>2</v>
      </c>
      <c r="M377" s="258">
        <v>5.157</v>
      </c>
      <c r="N377" s="130">
        <v>5.3999999999999999E-2</v>
      </c>
      <c r="O377" s="28" t="s">
        <v>115</v>
      </c>
      <c r="P377" s="32" t="s">
        <v>115</v>
      </c>
      <c r="Q377" s="253" t="s">
        <v>115</v>
      </c>
      <c r="R377" s="253" t="s">
        <v>115</v>
      </c>
      <c r="S377" s="28">
        <f t="shared" si="10"/>
        <v>2.6055000000000001</v>
      </c>
      <c r="T377" s="28">
        <f t="shared" si="11"/>
        <v>2.6055000000000001</v>
      </c>
      <c r="U377" s="266" t="b">
        <v>1</v>
      </c>
      <c r="V377" s="266" t="b">
        <v>0</v>
      </c>
      <c r="Z377"/>
    </row>
    <row r="378" spans="1:26" ht="27" customHeight="1">
      <c r="A378" s="27" t="s">
        <v>78</v>
      </c>
      <c r="B378" s="27" t="s">
        <v>90</v>
      </c>
      <c r="C378" s="252" t="s">
        <v>3343</v>
      </c>
      <c r="D378" s="250" t="s">
        <v>707</v>
      </c>
      <c r="E378" s="250"/>
      <c r="F378" s="43" t="s">
        <v>1146</v>
      </c>
      <c r="G378" s="27" t="s">
        <v>2202</v>
      </c>
      <c r="H378" s="27"/>
      <c r="I378" s="27"/>
      <c r="J378" s="257"/>
      <c r="K378" s="27" t="s">
        <v>7</v>
      </c>
      <c r="L378" s="58">
        <v>120</v>
      </c>
      <c r="M378" s="58">
        <v>265.94703000000004</v>
      </c>
      <c r="N378" s="130">
        <v>337.15499999999997</v>
      </c>
      <c r="O378" s="28">
        <v>381.15</v>
      </c>
      <c r="P378" s="29">
        <v>393.04899999999998</v>
      </c>
      <c r="Q378" s="28">
        <v>383.28300000000002</v>
      </c>
      <c r="R378" s="28">
        <v>396.226</v>
      </c>
      <c r="S378" s="28">
        <f t="shared" si="10"/>
        <v>359.46833833333335</v>
      </c>
      <c r="T378" s="28">
        <f t="shared" si="11"/>
        <v>359.46833833333335</v>
      </c>
      <c r="U378" s="266" t="b">
        <v>1</v>
      </c>
      <c r="V378" s="266" t="b">
        <v>0</v>
      </c>
      <c r="Z378"/>
    </row>
    <row r="379" spans="1:26" s="259" customFormat="1" ht="27" customHeight="1">
      <c r="A379" s="27" t="s">
        <v>5505</v>
      </c>
      <c r="B379" s="27" t="s">
        <v>3928</v>
      </c>
      <c r="C379" s="252"/>
      <c r="D379" s="250" t="s">
        <v>3929</v>
      </c>
      <c r="E379" s="250" t="s">
        <v>5040</v>
      </c>
      <c r="F379" s="43">
        <v>42338</v>
      </c>
      <c r="G379" s="27" t="s">
        <v>5039</v>
      </c>
      <c r="H379" s="281"/>
      <c r="I379" s="27"/>
      <c r="J379" s="257" t="s">
        <v>5041</v>
      </c>
      <c r="K379" s="27" t="s">
        <v>1089</v>
      </c>
      <c r="L379" s="58">
        <v>107.6</v>
      </c>
      <c r="M379" s="58"/>
      <c r="N379" s="130"/>
      <c r="O379" s="28"/>
      <c r="P379" s="29"/>
      <c r="Q379" s="28"/>
      <c r="R379" s="28"/>
      <c r="S379" s="28">
        <f t="shared" si="10"/>
        <v>0</v>
      </c>
      <c r="T379" s="28">
        <f t="shared" si="11"/>
        <v>249.78263999999999</v>
      </c>
      <c r="U379" s="266" t="b">
        <v>1</v>
      </c>
      <c r="V379" s="266" t="b">
        <v>0</v>
      </c>
      <c r="Z379"/>
    </row>
    <row r="380" spans="1:26" s="259" customFormat="1" ht="27" customHeight="1">
      <c r="A380" s="252" t="s">
        <v>1028</v>
      </c>
      <c r="B380" s="256" t="s">
        <v>693</v>
      </c>
      <c r="C380" s="252"/>
      <c r="D380" s="250" t="s">
        <v>1029</v>
      </c>
      <c r="E380" s="250"/>
      <c r="F380" s="138">
        <v>41456</v>
      </c>
      <c r="G380" s="282" t="s">
        <v>2531</v>
      </c>
      <c r="H380" s="256"/>
      <c r="I380" s="256"/>
      <c r="J380" s="257"/>
      <c r="K380" s="257" t="s">
        <v>1089</v>
      </c>
      <c r="L380" s="258">
        <v>1.5</v>
      </c>
      <c r="M380" s="258">
        <v>3.45</v>
      </c>
      <c r="N380" s="130">
        <v>1.573</v>
      </c>
      <c r="O380" s="28">
        <v>1.573</v>
      </c>
      <c r="P380" s="37" t="s">
        <v>115</v>
      </c>
      <c r="Q380" s="37" t="s">
        <v>115</v>
      </c>
      <c r="R380" s="37" t="s">
        <v>115</v>
      </c>
      <c r="S380" s="28">
        <f t="shared" si="10"/>
        <v>2.1986666666666665</v>
      </c>
      <c r="T380" s="28">
        <f t="shared" si="11"/>
        <v>2.1986666666666665</v>
      </c>
      <c r="U380" s="266" t="b">
        <v>1</v>
      </c>
      <c r="V380" s="266" t="b">
        <v>0</v>
      </c>
      <c r="Z380"/>
    </row>
    <row r="381" spans="1:26" s="259" customFormat="1" ht="27" customHeight="1">
      <c r="A381" s="252" t="s">
        <v>1028</v>
      </c>
      <c r="B381" s="256" t="s">
        <v>692</v>
      </c>
      <c r="C381" s="252"/>
      <c r="D381" s="250" t="s">
        <v>1030</v>
      </c>
      <c r="E381" s="250"/>
      <c r="F381" s="43" t="s">
        <v>1118</v>
      </c>
      <c r="G381" s="282" t="s">
        <v>2532</v>
      </c>
      <c r="H381" s="256"/>
      <c r="I381" s="256"/>
      <c r="J381" s="257"/>
      <c r="K381" s="257" t="s">
        <v>1089</v>
      </c>
      <c r="L381" s="258">
        <v>1.5</v>
      </c>
      <c r="M381" s="258">
        <v>3.444</v>
      </c>
      <c r="N381" s="130">
        <v>1.571</v>
      </c>
      <c r="O381" s="28">
        <v>1.571</v>
      </c>
      <c r="P381" s="37" t="s">
        <v>115</v>
      </c>
      <c r="Q381" s="37" t="s">
        <v>115</v>
      </c>
      <c r="R381" s="37" t="s">
        <v>115</v>
      </c>
      <c r="S381" s="28">
        <f t="shared" si="10"/>
        <v>2.1953333333333331</v>
      </c>
      <c r="T381" s="28">
        <f t="shared" si="11"/>
        <v>2.1953333333333331</v>
      </c>
      <c r="U381" s="266" t="b">
        <v>1</v>
      </c>
      <c r="V381" s="266" t="b">
        <v>0</v>
      </c>
      <c r="Z381"/>
    </row>
    <row r="382" spans="1:26" s="259" customFormat="1" ht="27" customHeight="1">
      <c r="A382" s="252" t="s">
        <v>2813</v>
      </c>
      <c r="B382" s="46" t="s">
        <v>1060</v>
      </c>
      <c r="C382" s="252" t="s">
        <v>3433</v>
      </c>
      <c r="D382" s="48" t="s">
        <v>1402</v>
      </c>
      <c r="E382" s="181" t="s">
        <v>2812</v>
      </c>
      <c r="F382" s="43">
        <v>41639</v>
      </c>
      <c r="G382" s="278" t="s">
        <v>3744</v>
      </c>
      <c r="H382" s="46"/>
      <c r="I382" s="46"/>
      <c r="J382" s="257"/>
      <c r="K382" s="257" t="s">
        <v>1089</v>
      </c>
      <c r="L382" s="266">
        <v>7.5</v>
      </c>
      <c r="M382" s="266">
        <v>16.507000000000001</v>
      </c>
      <c r="N382" s="130">
        <v>16.875</v>
      </c>
      <c r="O382" s="28">
        <v>0.18</v>
      </c>
      <c r="P382" s="37" t="s">
        <v>115</v>
      </c>
      <c r="Q382" s="37" t="s">
        <v>115</v>
      </c>
      <c r="R382" s="37" t="s">
        <v>115</v>
      </c>
      <c r="S382" s="28">
        <f t="shared" si="10"/>
        <v>11.187333333333335</v>
      </c>
      <c r="T382" s="28">
        <f t="shared" si="11"/>
        <v>11.187333333333335</v>
      </c>
      <c r="U382" s="266" t="b">
        <v>1</v>
      </c>
      <c r="V382" s="266" t="b">
        <v>0</v>
      </c>
      <c r="Z382"/>
    </row>
    <row r="383" spans="1:26" s="259" customFormat="1" ht="27" customHeight="1">
      <c r="A383" s="143" t="s">
        <v>1591</v>
      </c>
      <c r="B383" s="331" t="s">
        <v>1593</v>
      </c>
      <c r="C383" s="252" t="s">
        <v>1680</v>
      </c>
      <c r="D383" s="260" t="s">
        <v>4532</v>
      </c>
      <c r="E383" s="163" t="s">
        <v>2869</v>
      </c>
      <c r="F383" s="156">
        <v>41933</v>
      </c>
      <c r="G383" s="262" t="s">
        <v>5051</v>
      </c>
      <c r="H383" s="262"/>
      <c r="I383" s="262"/>
      <c r="J383" s="252" t="s">
        <v>3959</v>
      </c>
      <c r="K383" s="257" t="s">
        <v>1089</v>
      </c>
      <c r="L383" s="261">
        <v>1.75</v>
      </c>
      <c r="M383" s="144">
        <v>3</v>
      </c>
      <c r="N383" s="241">
        <f>(DATEVALUE("12/31/2015")-F383)*24*0.27*L383/1000</f>
        <v>4.9442400000000006</v>
      </c>
      <c r="O383" s="134" t="s">
        <v>1916</v>
      </c>
      <c r="P383" s="254" t="s">
        <v>475</v>
      </c>
      <c r="Q383" s="264">
        <v>20</v>
      </c>
      <c r="R383" s="252"/>
      <c r="S383" s="28">
        <f t="shared" si="10"/>
        <v>9.3147466666666663</v>
      </c>
      <c r="T383" s="28">
        <f t="shared" si="11"/>
        <v>9.3147466666666663</v>
      </c>
      <c r="U383" s="266" t="b">
        <v>1</v>
      </c>
      <c r="V383" s="266" t="b">
        <v>0</v>
      </c>
      <c r="Z383"/>
    </row>
    <row r="384" spans="1:26" s="259" customFormat="1" ht="27" customHeight="1">
      <c r="A384" s="27" t="s">
        <v>61</v>
      </c>
      <c r="B384" s="27" t="s">
        <v>62</v>
      </c>
      <c r="C384" s="252" t="s">
        <v>3305</v>
      </c>
      <c r="D384" s="250" t="s">
        <v>706</v>
      </c>
      <c r="E384" s="250"/>
      <c r="F384" s="251"/>
      <c r="G384" s="281" t="s">
        <v>2409</v>
      </c>
      <c r="H384" s="27"/>
      <c r="I384" s="27"/>
      <c r="J384" s="257"/>
      <c r="K384" s="27" t="s">
        <v>2894</v>
      </c>
      <c r="L384" s="58">
        <v>1.3</v>
      </c>
      <c r="M384" s="58">
        <v>5.7229999999999999</v>
      </c>
      <c r="N384" s="130">
        <v>1.873</v>
      </c>
      <c r="O384" s="28">
        <v>3.86</v>
      </c>
      <c r="P384" s="29">
        <v>2.6040000000000001</v>
      </c>
      <c r="Q384" s="28">
        <v>3.6960000000000002</v>
      </c>
      <c r="R384" s="28">
        <v>6.2750000000000004</v>
      </c>
      <c r="S384" s="28">
        <f t="shared" si="10"/>
        <v>4.0051666666666668</v>
      </c>
      <c r="T384" s="28">
        <f t="shared" si="11"/>
        <v>4.0051666666666668</v>
      </c>
      <c r="U384" s="266" t="b">
        <v>1</v>
      </c>
      <c r="V384" s="266" t="b">
        <v>0</v>
      </c>
      <c r="Z384"/>
    </row>
    <row r="385" spans="1:26" s="259" customFormat="1" ht="27" customHeight="1">
      <c r="A385" s="252" t="s">
        <v>968</v>
      </c>
      <c r="B385" s="256" t="s">
        <v>1109</v>
      </c>
      <c r="C385" s="252"/>
      <c r="D385" s="250" t="s">
        <v>1037</v>
      </c>
      <c r="E385" s="250" t="s">
        <v>2026</v>
      </c>
      <c r="F385" s="43" t="s">
        <v>1121</v>
      </c>
      <c r="G385" s="282"/>
      <c r="H385" s="256"/>
      <c r="I385" s="256"/>
      <c r="J385" s="257"/>
      <c r="K385" s="257" t="s">
        <v>1089</v>
      </c>
      <c r="L385" s="258">
        <v>5</v>
      </c>
      <c r="M385" s="258">
        <v>11.981999999999999</v>
      </c>
      <c r="N385" s="130">
        <v>11.564</v>
      </c>
      <c r="O385" s="136">
        <v>12.92</v>
      </c>
      <c r="P385" s="37">
        <v>12.336</v>
      </c>
      <c r="Q385" s="37" t="s">
        <v>115</v>
      </c>
      <c r="R385" s="37" t="s">
        <v>115</v>
      </c>
      <c r="S385" s="28">
        <f t="shared" si="10"/>
        <v>12.2005</v>
      </c>
      <c r="T385" s="28">
        <f t="shared" si="11"/>
        <v>12.2005</v>
      </c>
      <c r="U385" s="266" t="b">
        <v>1</v>
      </c>
      <c r="V385" s="266" t="b">
        <v>0</v>
      </c>
      <c r="Z385"/>
    </row>
    <row r="386" spans="1:26" s="259" customFormat="1" ht="27" customHeight="1">
      <c r="A386" s="252" t="s">
        <v>968</v>
      </c>
      <c r="B386" s="256" t="s">
        <v>1110</v>
      </c>
      <c r="C386" s="252"/>
      <c r="D386" s="250" t="s">
        <v>1038</v>
      </c>
      <c r="E386" s="250" t="s">
        <v>2027</v>
      </c>
      <c r="F386" s="43" t="s">
        <v>1121</v>
      </c>
      <c r="G386" s="282"/>
      <c r="H386" s="256"/>
      <c r="I386" s="256"/>
      <c r="J386" s="257"/>
      <c r="K386" s="257" t="s">
        <v>1089</v>
      </c>
      <c r="L386" s="258">
        <v>5</v>
      </c>
      <c r="M386" s="258">
        <v>12.114000000000001</v>
      </c>
      <c r="N386" s="130">
        <v>11.840999999999999</v>
      </c>
      <c r="O386" s="136">
        <v>12.971</v>
      </c>
      <c r="P386" s="37">
        <v>11.423999999999999</v>
      </c>
      <c r="Q386" s="37" t="s">
        <v>115</v>
      </c>
      <c r="R386" s="37" t="s">
        <v>115</v>
      </c>
      <c r="S386" s="28">
        <f t="shared" si="10"/>
        <v>12.0875</v>
      </c>
      <c r="T386" s="28">
        <f t="shared" si="11"/>
        <v>12.0875</v>
      </c>
      <c r="U386" s="266" t="b">
        <v>1</v>
      </c>
      <c r="V386" s="266" t="b">
        <v>0</v>
      </c>
      <c r="Z386"/>
    </row>
    <row r="387" spans="1:26" s="259" customFormat="1" ht="27" customHeight="1">
      <c r="A387" s="252" t="s">
        <v>968</v>
      </c>
      <c r="B387" s="256" t="s">
        <v>1111</v>
      </c>
      <c r="C387" s="252"/>
      <c r="D387" s="250" t="s">
        <v>1039</v>
      </c>
      <c r="E387" s="250" t="s">
        <v>2028</v>
      </c>
      <c r="F387" s="43" t="s">
        <v>1121</v>
      </c>
      <c r="G387" s="282"/>
      <c r="H387" s="256"/>
      <c r="I387" s="256"/>
      <c r="J387" s="257"/>
      <c r="K387" s="257" t="s">
        <v>1089</v>
      </c>
      <c r="L387" s="258">
        <v>5</v>
      </c>
      <c r="M387" s="258">
        <v>12.18</v>
      </c>
      <c r="N387" s="130">
        <v>11.651</v>
      </c>
      <c r="O387" s="136">
        <v>13.131</v>
      </c>
      <c r="P387" s="37">
        <v>11.544</v>
      </c>
      <c r="Q387" s="37" t="s">
        <v>115</v>
      </c>
      <c r="R387" s="37" t="s">
        <v>115</v>
      </c>
      <c r="S387" s="28">
        <f t="shared" ref="S387:S450" si="12">IF(AND(U387,NOT(V387)),IFERROR(AVERAGE(M387:R387),0),0)</f>
        <v>12.1265</v>
      </c>
      <c r="T387" s="28">
        <f t="shared" si="11"/>
        <v>12.1265</v>
      </c>
      <c r="U387" s="266" t="b">
        <v>1</v>
      </c>
      <c r="V387" s="266" t="b">
        <v>0</v>
      </c>
      <c r="Z387"/>
    </row>
    <row r="388" spans="1:26" s="259" customFormat="1" ht="27" customHeight="1">
      <c r="A388" s="252" t="s">
        <v>968</v>
      </c>
      <c r="B388" s="256" t="s">
        <v>1114</v>
      </c>
      <c r="C388" s="252" t="s">
        <v>3375</v>
      </c>
      <c r="D388" s="250" t="s">
        <v>1043</v>
      </c>
      <c r="E388" s="250" t="s">
        <v>3000</v>
      </c>
      <c r="F388" s="43" t="s">
        <v>1123</v>
      </c>
      <c r="G388" s="282" t="s">
        <v>2533</v>
      </c>
      <c r="H388" s="256"/>
      <c r="I388" s="256"/>
      <c r="J388" s="257"/>
      <c r="K388" s="257" t="s">
        <v>1089</v>
      </c>
      <c r="L388" s="258">
        <v>10</v>
      </c>
      <c r="M388" s="258">
        <v>25.914000000000001</v>
      </c>
      <c r="N388" s="130">
        <v>26.702999999999999</v>
      </c>
      <c r="O388" s="28">
        <v>0.75411000000000006</v>
      </c>
      <c r="P388" s="37" t="s">
        <v>115</v>
      </c>
      <c r="Q388" s="37" t="s">
        <v>115</v>
      </c>
      <c r="R388" s="37" t="s">
        <v>115</v>
      </c>
      <c r="S388" s="28">
        <f t="shared" si="12"/>
        <v>17.790369999999999</v>
      </c>
      <c r="T388" s="28">
        <f t="shared" si="11"/>
        <v>17.790369999999999</v>
      </c>
      <c r="U388" s="266" t="b">
        <v>1</v>
      </c>
      <c r="V388" s="266" t="b">
        <v>0</v>
      </c>
      <c r="Z388"/>
    </row>
    <row r="389" spans="1:26" s="259" customFormat="1" ht="27" customHeight="1">
      <c r="A389" s="252" t="s">
        <v>968</v>
      </c>
      <c r="B389" s="256" t="s">
        <v>1105</v>
      </c>
      <c r="C389" s="252"/>
      <c r="D389" s="250" t="s">
        <v>1033</v>
      </c>
      <c r="E389" s="250" t="s">
        <v>2029</v>
      </c>
      <c r="F389" s="43" t="s">
        <v>1121</v>
      </c>
      <c r="G389" s="282"/>
      <c r="H389" s="256"/>
      <c r="I389" s="256"/>
      <c r="J389" s="257"/>
      <c r="K389" s="257" t="s">
        <v>1089</v>
      </c>
      <c r="L389" s="258">
        <v>3</v>
      </c>
      <c r="M389" s="258">
        <v>7.0359999999999996</v>
      </c>
      <c r="N389" s="130">
        <v>7.1820000000000004</v>
      </c>
      <c r="O389" s="136">
        <v>7.8410000000000002</v>
      </c>
      <c r="P389" s="37">
        <v>7.1849999999999996</v>
      </c>
      <c r="Q389" s="37" t="s">
        <v>115</v>
      </c>
      <c r="R389" s="37" t="s">
        <v>115</v>
      </c>
      <c r="S389" s="28">
        <f t="shared" si="12"/>
        <v>7.3109999999999999</v>
      </c>
      <c r="T389" s="28">
        <f t="shared" ref="T389:T452" si="13">IF(AND(U389,NOT(V389)),IFERROR(IF(YEAR(F389)=2015,AVERAGE(N389:R389,VLOOKUP(K389,$Z$3:$AA$10,2,FALSE)*L389*8.76),AVERAGE(M389:R389)),0),0)</f>
        <v>7.3109999999999999</v>
      </c>
      <c r="U389" s="266" t="b">
        <v>1</v>
      </c>
      <c r="V389" s="266" t="b">
        <v>0</v>
      </c>
      <c r="Z389"/>
    </row>
    <row r="390" spans="1:26" s="259" customFormat="1" ht="27" customHeight="1">
      <c r="A390" s="252" t="s">
        <v>968</v>
      </c>
      <c r="B390" s="256" t="s">
        <v>1106</v>
      </c>
      <c r="C390" s="252"/>
      <c r="D390" s="250" t="s">
        <v>1034</v>
      </c>
      <c r="E390" s="250" t="s">
        <v>2030</v>
      </c>
      <c r="F390" s="43" t="s">
        <v>1121</v>
      </c>
      <c r="G390" s="282"/>
      <c r="H390" s="256"/>
      <c r="I390" s="256"/>
      <c r="J390" s="257"/>
      <c r="K390" s="257" t="s">
        <v>1089</v>
      </c>
      <c r="L390" s="258">
        <v>3</v>
      </c>
      <c r="M390" s="258">
        <v>7.069</v>
      </c>
      <c r="N390" s="130">
        <v>6.984</v>
      </c>
      <c r="O390" s="136">
        <v>7.7809999999999997</v>
      </c>
      <c r="P390" s="37">
        <v>7.2789999999999999</v>
      </c>
      <c r="Q390" s="37" t="s">
        <v>115</v>
      </c>
      <c r="R390" s="37" t="s">
        <v>115</v>
      </c>
      <c r="S390" s="28">
        <f t="shared" si="12"/>
        <v>7.2782499999999999</v>
      </c>
      <c r="T390" s="28">
        <f t="shared" si="13"/>
        <v>7.2782499999999999</v>
      </c>
      <c r="U390" s="266" t="b">
        <v>1</v>
      </c>
      <c r="V390" s="266" t="b">
        <v>0</v>
      </c>
      <c r="Z390"/>
    </row>
    <row r="391" spans="1:26" s="259" customFormat="1" ht="27" customHeight="1">
      <c r="A391" s="252" t="s">
        <v>968</v>
      </c>
      <c r="B391" s="256" t="s">
        <v>1107</v>
      </c>
      <c r="C391" s="252"/>
      <c r="D391" s="250" t="s">
        <v>1035</v>
      </c>
      <c r="E391" s="250" t="s">
        <v>2031</v>
      </c>
      <c r="F391" s="43" t="s">
        <v>1121</v>
      </c>
      <c r="G391" s="282"/>
      <c r="H391" s="256"/>
      <c r="I391" s="256"/>
      <c r="J391" s="257"/>
      <c r="K391" s="257" t="s">
        <v>1089</v>
      </c>
      <c r="L391" s="258">
        <v>3</v>
      </c>
      <c r="M391" s="258">
        <v>7.0359999999999996</v>
      </c>
      <c r="N391" s="130">
        <v>6.9240000000000004</v>
      </c>
      <c r="O391" s="136">
        <v>7.6189999999999998</v>
      </c>
      <c r="P391" s="37">
        <v>7.1980000000000004</v>
      </c>
      <c r="Q391" s="37" t="s">
        <v>115</v>
      </c>
      <c r="R391" s="37" t="s">
        <v>115</v>
      </c>
      <c r="S391" s="28">
        <f t="shared" si="12"/>
        <v>7.1942500000000003</v>
      </c>
      <c r="T391" s="28">
        <f t="shared" si="13"/>
        <v>7.1942500000000003</v>
      </c>
      <c r="U391" s="266" t="b">
        <v>1</v>
      </c>
      <c r="V391" s="266" t="b">
        <v>0</v>
      </c>
      <c r="Z391"/>
    </row>
    <row r="392" spans="1:26" s="259" customFormat="1" ht="27" customHeight="1">
      <c r="A392" s="261"/>
      <c r="B392" s="260" t="s">
        <v>1108</v>
      </c>
      <c r="C392" s="107"/>
      <c r="D392" s="260" t="s">
        <v>1036</v>
      </c>
      <c r="E392" s="107"/>
      <c r="F392" s="156">
        <v>40909</v>
      </c>
      <c r="G392" s="257"/>
      <c r="H392" s="107"/>
      <c r="I392" s="107"/>
      <c r="J392" s="107"/>
      <c r="K392" s="252" t="s">
        <v>1089</v>
      </c>
      <c r="L392" s="261">
        <v>0.4</v>
      </c>
      <c r="M392" s="107">
        <v>0.85299999999999998</v>
      </c>
      <c r="N392" s="107">
        <v>0.84299999999999997</v>
      </c>
      <c r="O392" s="107">
        <v>0.94199999999999995</v>
      </c>
      <c r="P392" s="107">
        <v>0.86799999999999999</v>
      </c>
      <c r="Q392" s="107" t="s">
        <v>115</v>
      </c>
      <c r="R392" s="107" t="s">
        <v>115</v>
      </c>
      <c r="S392" s="28">
        <f t="shared" si="12"/>
        <v>0.87649999999999995</v>
      </c>
      <c r="T392" s="28">
        <f t="shared" si="13"/>
        <v>0.87649999999999995</v>
      </c>
      <c r="U392" s="266" t="b">
        <v>1</v>
      </c>
      <c r="V392" s="266" t="b">
        <v>0</v>
      </c>
      <c r="Z392"/>
    </row>
    <row r="393" spans="1:26" s="259" customFormat="1" ht="27" customHeight="1">
      <c r="A393" s="254" t="s">
        <v>1091</v>
      </c>
      <c r="B393" s="257" t="s">
        <v>984</v>
      </c>
      <c r="C393" s="252"/>
      <c r="D393" s="261" t="s">
        <v>983</v>
      </c>
      <c r="E393" s="261" t="s">
        <v>2033</v>
      </c>
      <c r="F393" s="137">
        <v>40909</v>
      </c>
      <c r="G393" s="188"/>
      <c r="H393" s="257"/>
      <c r="I393" s="257"/>
      <c r="J393" s="257"/>
      <c r="K393" s="27" t="s">
        <v>1089</v>
      </c>
      <c r="L393" s="271">
        <v>5</v>
      </c>
      <c r="M393" s="271">
        <v>12.388</v>
      </c>
      <c r="N393" s="130">
        <v>11.988</v>
      </c>
      <c r="O393" s="29">
        <v>13.013</v>
      </c>
      <c r="P393" s="37">
        <v>12.288</v>
      </c>
      <c r="Q393" s="37" t="s">
        <v>115</v>
      </c>
      <c r="R393" s="37" t="s">
        <v>115</v>
      </c>
      <c r="S393" s="28">
        <f t="shared" si="12"/>
        <v>12.419249999999998</v>
      </c>
      <c r="T393" s="28">
        <f t="shared" si="13"/>
        <v>12.419249999999998</v>
      </c>
      <c r="U393" s="266" t="b">
        <v>1</v>
      </c>
      <c r="V393" s="266" t="b">
        <v>0</v>
      </c>
      <c r="Z393"/>
    </row>
    <row r="394" spans="1:26" s="259" customFormat="1" ht="27" customHeight="1">
      <c r="A394" s="254" t="s">
        <v>1091</v>
      </c>
      <c r="B394" s="257" t="s">
        <v>986</v>
      </c>
      <c r="C394" s="252"/>
      <c r="D394" s="261" t="s">
        <v>985</v>
      </c>
      <c r="E394" s="261" t="s">
        <v>2034</v>
      </c>
      <c r="F394" s="137">
        <v>40966</v>
      </c>
      <c r="G394" s="188"/>
      <c r="H394" s="257"/>
      <c r="I394" s="257"/>
      <c r="J394" s="257"/>
      <c r="K394" s="27" t="s">
        <v>1089</v>
      </c>
      <c r="L394" s="271">
        <v>5</v>
      </c>
      <c r="M394" s="271">
        <v>12.231999999999999</v>
      </c>
      <c r="N394" s="130">
        <v>11.885999999999999</v>
      </c>
      <c r="O394" s="29">
        <v>13.222</v>
      </c>
      <c r="P394" s="37">
        <v>11.268000000000001</v>
      </c>
      <c r="Q394" s="37" t="s">
        <v>115</v>
      </c>
      <c r="R394" s="37" t="s">
        <v>115</v>
      </c>
      <c r="S394" s="28">
        <f t="shared" si="12"/>
        <v>12.151999999999999</v>
      </c>
      <c r="T394" s="28">
        <f t="shared" si="13"/>
        <v>12.151999999999999</v>
      </c>
      <c r="U394" s="266" t="b">
        <v>1</v>
      </c>
      <c r="V394" s="266" t="b">
        <v>0</v>
      </c>
      <c r="Z394"/>
    </row>
    <row r="395" spans="1:26" s="259" customFormat="1" ht="27" customHeight="1">
      <c r="A395" s="254" t="s">
        <v>1091</v>
      </c>
      <c r="B395" s="257" t="s">
        <v>988</v>
      </c>
      <c r="C395" s="252"/>
      <c r="D395" s="261" t="s">
        <v>987</v>
      </c>
      <c r="E395" s="261" t="s">
        <v>2035</v>
      </c>
      <c r="F395" s="137">
        <v>40966</v>
      </c>
      <c r="G395" s="188"/>
      <c r="H395" s="257"/>
      <c r="I395" s="257"/>
      <c r="J395" s="257"/>
      <c r="K395" s="27" t="s">
        <v>1089</v>
      </c>
      <c r="L395" s="271">
        <v>5</v>
      </c>
      <c r="M395" s="271">
        <v>12.272</v>
      </c>
      <c r="N395" s="130">
        <v>11.805</v>
      </c>
      <c r="O395" s="29">
        <v>13.084</v>
      </c>
      <c r="P395" s="37">
        <v>11.292</v>
      </c>
      <c r="Q395" s="37" t="s">
        <v>115</v>
      </c>
      <c r="R395" s="37" t="s">
        <v>115</v>
      </c>
      <c r="S395" s="28">
        <f t="shared" si="12"/>
        <v>12.113250000000001</v>
      </c>
      <c r="T395" s="28">
        <f t="shared" si="13"/>
        <v>12.113250000000001</v>
      </c>
      <c r="U395" s="266" t="b">
        <v>1</v>
      </c>
      <c r="V395" s="266" t="b">
        <v>0</v>
      </c>
      <c r="Z395"/>
    </row>
    <row r="396" spans="1:26" s="259" customFormat="1" ht="27" customHeight="1">
      <c r="A396" s="252" t="s">
        <v>968</v>
      </c>
      <c r="B396" s="257" t="s">
        <v>990</v>
      </c>
      <c r="C396" s="252"/>
      <c r="D396" s="261" t="s">
        <v>989</v>
      </c>
      <c r="E396" s="261" t="s">
        <v>2036</v>
      </c>
      <c r="F396" s="137">
        <v>41221</v>
      </c>
      <c r="G396" s="188"/>
      <c r="H396" s="257"/>
      <c r="I396" s="257"/>
      <c r="J396" s="257"/>
      <c r="K396" s="27" t="s">
        <v>1089</v>
      </c>
      <c r="L396" s="258">
        <v>5</v>
      </c>
      <c r="M396" s="258">
        <v>12.317</v>
      </c>
      <c r="N396" s="130">
        <v>12.250999999999999</v>
      </c>
      <c r="O396" s="29">
        <v>13.135</v>
      </c>
      <c r="P396" s="29">
        <v>0.85499999999999998</v>
      </c>
      <c r="Q396" s="29" t="s">
        <v>115</v>
      </c>
      <c r="R396" s="29" t="s">
        <v>115</v>
      </c>
      <c r="S396" s="28">
        <f t="shared" si="12"/>
        <v>9.6394999999999982</v>
      </c>
      <c r="T396" s="28">
        <f t="shared" si="13"/>
        <v>9.6394999999999982</v>
      </c>
      <c r="U396" s="266" t="b">
        <v>1</v>
      </c>
      <c r="V396" s="266" t="b">
        <v>0</v>
      </c>
      <c r="Z396"/>
    </row>
    <row r="397" spans="1:26" s="259" customFormat="1" ht="27" customHeight="1">
      <c r="A397" s="252" t="s">
        <v>968</v>
      </c>
      <c r="B397" s="257" t="s">
        <v>992</v>
      </c>
      <c r="C397" s="252"/>
      <c r="D397" s="261" t="s">
        <v>991</v>
      </c>
      <c r="E397" s="261" t="s">
        <v>2037</v>
      </c>
      <c r="F397" s="137">
        <v>41221</v>
      </c>
      <c r="G397" s="188"/>
      <c r="H397" s="257"/>
      <c r="I397" s="257"/>
      <c r="J397" s="257"/>
      <c r="K397" s="27" t="s">
        <v>1089</v>
      </c>
      <c r="L397" s="258">
        <v>5</v>
      </c>
      <c r="M397" s="258">
        <v>12.353999999999999</v>
      </c>
      <c r="N397" s="130">
        <v>12.143000000000001</v>
      </c>
      <c r="O397" s="29">
        <v>12.917</v>
      </c>
      <c r="P397" s="29">
        <v>0.878</v>
      </c>
      <c r="Q397" s="29" t="s">
        <v>115</v>
      </c>
      <c r="R397" s="29" t="s">
        <v>115</v>
      </c>
      <c r="S397" s="28">
        <f t="shared" si="12"/>
        <v>9.5730000000000004</v>
      </c>
      <c r="T397" s="28">
        <f t="shared" si="13"/>
        <v>9.5730000000000004</v>
      </c>
      <c r="U397" s="266" t="b">
        <v>1</v>
      </c>
      <c r="V397" s="266" t="b">
        <v>0</v>
      </c>
      <c r="Z397"/>
    </row>
    <row r="398" spans="1:26" s="259" customFormat="1" ht="27" customHeight="1">
      <c r="A398" s="252" t="s">
        <v>968</v>
      </c>
      <c r="B398" s="257" t="s">
        <v>994</v>
      </c>
      <c r="C398" s="252"/>
      <c r="D398" s="139" t="s">
        <v>993</v>
      </c>
      <c r="E398" s="139" t="s">
        <v>2038</v>
      </c>
      <c r="F398" s="137">
        <v>41221</v>
      </c>
      <c r="G398" s="188"/>
      <c r="H398" s="257"/>
      <c r="I398" s="257"/>
      <c r="J398" s="257"/>
      <c r="K398" s="27" t="s">
        <v>1089</v>
      </c>
      <c r="L398" s="258">
        <v>5</v>
      </c>
      <c r="M398" s="258">
        <v>12.241</v>
      </c>
      <c r="N398" s="130">
        <v>11.753</v>
      </c>
      <c r="O398" s="29">
        <v>13.129</v>
      </c>
      <c r="P398" s="29">
        <v>0.91</v>
      </c>
      <c r="Q398" s="29" t="s">
        <v>115</v>
      </c>
      <c r="R398" s="29" t="s">
        <v>115</v>
      </c>
      <c r="S398" s="28">
        <f t="shared" si="12"/>
        <v>9.5082499999999985</v>
      </c>
      <c r="T398" s="28">
        <f t="shared" si="13"/>
        <v>9.5082499999999985</v>
      </c>
      <c r="U398" s="266" t="b">
        <v>1</v>
      </c>
      <c r="V398" s="266" t="b">
        <v>0</v>
      </c>
      <c r="Z398"/>
    </row>
    <row r="399" spans="1:26" s="259" customFormat="1" ht="27" customHeight="1">
      <c r="A399" s="252" t="s">
        <v>968</v>
      </c>
      <c r="B399" s="257" t="s">
        <v>996</v>
      </c>
      <c r="C399" s="252"/>
      <c r="D399" s="261" t="s">
        <v>995</v>
      </c>
      <c r="E399" s="261" t="s">
        <v>2039</v>
      </c>
      <c r="F399" s="137">
        <v>41221</v>
      </c>
      <c r="G399" s="188"/>
      <c r="H399" s="257"/>
      <c r="I399" s="257"/>
      <c r="J399" s="257"/>
      <c r="K399" s="27" t="s">
        <v>1089</v>
      </c>
      <c r="L399" s="258">
        <v>5</v>
      </c>
      <c r="M399" s="258">
        <v>1.36</v>
      </c>
      <c r="N399" s="130">
        <v>12.301</v>
      </c>
      <c r="O399" s="29">
        <v>12.858000000000001</v>
      </c>
      <c r="P399" s="29">
        <v>0.90400000000000003</v>
      </c>
      <c r="Q399" s="29" t="s">
        <v>115</v>
      </c>
      <c r="R399" s="29" t="s">
        <v>115</v>
      </c>
      <c r="S399" s="28">
        <f t="shared" si="12"/>
        <v>6.8557499999999996</v>
      </c>
      <c r="T399" s="28">
        <f t="shared" si="13"/>
        <v>6.8557499999999996</v>
      </c>
      <c r="U399" s="266" t="b">
        <v>1</v>
      </c>
      <c r="V399" s="266" t="b">
        <v>0</v>
      </c>
      <c r="Z399"/>
    </row>
    <row r="400" spans="1:26" s="259" customFormat="1" ht="27" customHeight="1">
      <c r="A400" s="252" t="s">
        <v>968</v>
      </c>
      <c r="B400" s="257" t="s">
        <v>998</v>
      </c>
      <c r="C400" s="252"/>
      <c r="D400" s="261" t="s">
        <v>997</v>
      </c>
      <c r="E400" s="261" t="s">
        <v>2040</v>
      </c>
      <c r="F400" s="137">
        <v>41221</v>
      </c>
      <c r="G400" s="188"/>
      <c r="H400" s="257"/>
      <c r="I400" s="257"/>
      <c r="J400" s="257"/>
      <c r="K400" s="27" t="s">
        <v>1089</v>
      </c>
      <c r="L400" s="258">
        <v>5</v>
      </c>
      <c r="M400" s="258">
        <v>12.371</v>
      </c>
      <c r="N400" s="130">
        <v>12.244</v>
      </c>
      <c r="O400" s="29">
        <v>13.061</v>
      </c>
      <c r="P400" s="29">
        <v>0.84799999999999998</v>
      </c>
      <c r="Q400" s="29" t="s">
        <v>115</v>
      </c>
      <c r="R400" s="29" t="s">
        <v>115</v>
      </c>
      <c r="S400" s="28">
        <f t="shared" si="12"/>
        <v>9.6310000000000002</v>
      </c>
      <c r="T400" s="28">
        <f t="shared" si="13"/>
        <v>9.6310000000000002</v>
      </c>
      <c r="U400" s="266" t="b">
        <v>1</v>
      </c>
      <c r="V400" s="266" t="b">
        <v>0</v>
      </c>
      <c r="Z400"/>
    </row>
    <row r="401" spans="1:26" s="259" customFormat="1" ht="27" customHeight="1">
      <c r="A401" s="252" t="s">
        <v>968</v>
      </c>
      <c r="B401" s="257" t="s">
        <v>1000</v>
      </c>
      <c r="C401" s="252"/>
      <c r="D401" s="139" t="s">
        <v>999</v>
      </c>
      <c r="E401" s="139" t="s">
        <v>2041</v>
      </c>
      <c r="F401" s="137">
        <v>41221</v>
      </c>
      <c r="G401" s="188"/>
      <c r="H401" s="257"/>
      <c r="I401" s="257"/>
      <c r="J401" s="257"/>
      <c r="K401" s="27" t="s">
        <v>1089</v>
      </c>
      <c r="L401" s="258">
        <v>5</v>
      </c>
      <c r="M401" s="258">
        <v>12.316000000000001</v>
      </c>
      <c r="N401" s="130">
        <v>12.281000000000001</v>
      </c>
      <c r="O401" s="29">
        <v>12.929</v>
      </c>
      <c r="P401" s="29">
        <v>0.85499999999999998</v>
      </c>
      <c r="Q401" s="29" t="s">
        <v>115</v>
      </c>
      <c r="R401" s="29" t="s">
        <v>115</v>
      </c>
      <c r="S401" s="28">
        <f t="shared" si="12"/>
        <v>9.5952500000000001</v>
      </c>
      <c r="T401" s="28">
        <f t="shared" si="13"/>
        <v>9.5952500000000001</v>
      </c>
      <c r="U401" s="266" t="b">
        <v>1</v>
      </c>
      <c r="V401" s="266" t="b">
        <v>0</v>
      </c>
      <c r="Z401"/>
    </row>
    <row r="402" spans="1:26" s="259" customFormat="1" ht="27" customHeight="1">
      <c r="A402" s="261"/>
      <c r="B402" s="260" t="s">
        <v>4534</v>
      </c>
      <c r="C402" s="107"/>
      <c r="D402" s="260" t="s">
        <v>4533</v>
      </c>
      <c r="E402" s="107"/>
      <c r="F402" s="156">
        <v>40422</v>
      </c>
      <c r="G402" s="257"/>
      <c r="H402" s="107"/>
      <c r="I402" s="107"/>
      <c r="J402" s="107"/>
      <c r="K402" s="252" t="s">
        <v>1089</v>
      </c>
      <c r="L402" s="261">
        <v>1</v>
      </c>
      <c r="M402" s="107">
        <v>1.544</v>
      </c>
      <c r="N402" s="107">
        <v>1.875</v>
      </c>
      <c r="O402" s="107">
        <v>2.0169999999999999</v>
      </c>
      <c r="P402" s="107">
        <v>1.7629999999999999</v>
      </c>
      <c r="Q402" s="107">
        <v>1.907</v>
      </c>
      <c r="R402" s="107">
        <v>0.48099999999999998</v>
      </c>
      <c r="S402" s="28">
        <f t="shared" si="12"/>
        <v>1.5978333333333332</v>
      </c>
      <c r="T402" s="28">
        <f t="shared" si="13"/>
        <v>1.5978333333333332</v>
      </c>
      <c r="U402" s="266" t="b">
        <v>1</v>
      </c>
      <c r="V402" s="266" t="b">
        <v>0</v>
      </c>
      <c r="Z402"/>
    </row>
    <row r="403" spans="1:26" s="259" customFormat="1" ht="27" customHeight="1">
      <c r="A403" s="261"/>
      <c r="B403" s="260" t="s">
        <v>4536</v>
      </c>
      <c r="C403" s="107"/>
      <c r="D403" s="260" t="s">
        <v>4535</v>
      </c>
      <c r="E403" s="107"/>
      <c r="F403" s="156">
        <v>39904</v>
      </c>
      <c r="G403" s="257"/>
      <c r="H403" s="107"/>
      <c r="I403" s="107"/>
      <c r="J403" s="107"/>
      <c r="K403" s="252" t="s">
        <v>1089</v>
      </c>
      <c r="L403" s="261">
        <v>1</v>
      </c>
      <c r="M403" s="107">
        <v>1.3879999999999999</v>
      </c>
      <c r="N403" s="107">
        <v>2.008</v>
      </c>
      <c r="O403" s="107">
        <v>2.105</v>
      </c>
      <c r="P403" s="107">
        <v>2.0089999999999999</v>
      </c>
      <c r="Q403" s="107">
        <v>1.9039999999999999</v>
      </c>
      <c r="R403" s="107">
        <v>2.0870000000000002</v>
      </c>
      <c r="S403" s="28">
        <f t="shared" si="12"/>
        <v>1.9168333333333332</v>
      </c>
      <c r="T403" s="28">
        <f t="shared" si="13"/>
        <v>1.9168333333333332</v>
      </c>
      <c r="U403" s="266" t="b">
        <v>1</v>
      </c>
      <c r="V403" s="266" t="b">
        <v>0</v>
      </c>
      <c r="Z403"/>
    </row>
    <row r="404" spans="1:26" s="259" customFormat="1" ht="27" customHeight="1">
      <c r="A404" s="252" t="s">
        <v>968</v>
      </c>
      <c r="B404" s="256" t="s">
        <v>1103</v>
      </c>
      <c r="C404" s="252" t="s">
        <v>3376</v>
      </c>
      <c r="D404" s="250" t="s">
        <v>1031</v>
      </c>
      <c r="E404" s="250"/>
      <c r="F404" s="43" t="s">
        <v>1119</v>
      </c>
      <c r="G404" s="282" t="s">
        <v>2534</v>
      </c>
      <c r="H404" s="256"/>
      <c r="I404" s="256"/>
      <c r="J404" s="257"/>
      <c r="K404" s="257" t="s">
        <v>1089</v>
      </c>
      <c r="L404" s="258">
        <v>5</v>
      </c>
      <c r="M404" s="258">
        <v>11.42</v>
      </c>
      <c r="N404" s="130">
        <v>11.898999999999999</v>
      </c>
      <c r="O404" s="28"/>
      <c r="P404" s="37" t="s">
        <v>115</v>
      </c>
      <c r="Q404" s="37" t="s">
        <v>115</v>
      </c>
      <c r="R404" s="37" t="s">
        <v>115</v>
      </c>
      <c r="S404" s="28">
        <f t="shared" si="12"/>
        <v>11.6595</v>
      </c>
      <c r="T404" s="28">
        <f t="shared" si="13"/>
        <v>11.6595</v>
      </c>
      <c r="U404" s="266" t="b">
        <v>1</v>
      </c>
      <c r="V404" s="266" t="b">
        <v>0</v>
      </c>
      <c r="Z404"/>
    </row>
    <row r="405" spans="1:26" s="259" customFormat="1" ht="27" customHeight="1">
      <c r="A405" s="252" t="s">
        <v>968</v>
      </c>
      <c r="B405" s="256" t="s">
        <v>1113</v>
      </c>
      <c r="C405" s="252" t="s">
        <v>3377</v>
      </c>
      <c r="D405" s="250" t="s">
        <v>1041</v>
      </c>
      <c r="E405" s="250" t="s">
        <v>2064</v>
      </c>
      <c r="F405" s="43" t="s">
        <v>1123</v>
      </c>
      <c r="G405" s="282" t="s">
        <v>5180</v>
      </c>
      <c r="H405" s="256"/>
      <c r="I405" s="256"/>
      <c r="J405" s="257"/>
      <c r="K405" s="257" t="s">
        <v>1089</v>
      </c>
      <c r="L405" s="258">
        <v>20</v>
      </c>
      <c r="M405" s="258">
        <v>58.558</v>
      </c>
      <c r="N405" s="130">
        <v>59.643000000000001</v>
      </c>
      <c r="O405" s="28"/>
      <c r="P405" s="37" t="s">
        <v>115</v>
      </c>
      <c r="Q405" s="37" t="s">
        <v>115</v>
      </c>
      <c r="R405" s="37" t="s">
        <v>115</v>
      </c>
      <c r="S405" s="28">
        <f t="shared" si="12"/>
        <v>59.100499999999997</v>
      </c>
      <c r="T405" s="28">
        <f t="shared" si="13"/>
        <v>59.100499999999997</v>
      </c>
      <c r="U405" s="266" t="b">
        <v>1</v>
      </c>
      <c r="V405" s="266" t="b">
        <v>0</v>
      </c>
      <c r="Z405"/>
    </row>
    <row r="406" spans="1:26" s="259" customFormat="1" ht="27" customHeight="1">
      <c r="A406" s="252" t="s">
        <v>968</v>
      </c>
      <c r="B406" s="256" t="s">
        <v>1112</v>
      </c>
      <c r="C406" s="252" t="s">
        <v>3378</v>
      </c>
      <c r="D406" s="250" t="s">
        <v>1040</v>
      </c>
      <c r="E406" s="250"/>
      <c r="F406" s="43" t="s">
        <v>1122</v>
      </c>
      <c r="G406" s="282" t="s">
        <v>2535</v>
      </c>
      <c r="H406" s="256"/>
      <c r="I406" s="256"/>
      <c r="J406" s="257"/>
      <c r="K406" s="257" t="s">
        <v>1089</v>
      </c>
      <c r="L406" s="258">
        <v>20</v>
      </c>
      <c r="M406" s="258">
        <v>49.578000000000003</v>
      </c>
      <c r="N406" s="130">
        <v>51.274000000000001</v>
      </c>
      <c r="O406" s="28"/>
      <c r="P406" s="37" t="s">
        <v>115</v>
      </c>
      <c r="Q406" s="37" t="s">
        <v>115</v>
      </c>
      <c r="R406" s="37" t="s">
        <v>115</v>
      </c>
      <c r="S406" s="28">
        <f t="shared" si="12"/>
        <v>50.426000000000002</v>
      </c>
      <c r="T406" s="28">
        <f t="shared" si="13"/>
        <v>50.426000000000002</v>
      </c>
      <c r="U406" s="266" t="b">
        <v>1</v>
      </c>
      <c r="V406" s="266" t="b">
        <v>0</v>
      </c>
      <c r="Z406"/>
    </row>
    <row r="407" spans="1:26" s="259" customFormat="1" ht="27.75" customHeight="1">
      <c r="A407" s="252" t="s">
        <v>968</v>
      </c>
      <c r="B407" s="256" t="s">
        <v>1104</v>
      </c>
      <c r="C407" s="252" t="s">
        <v>3380</v>
      </c>
      <c r="D407" s="250" t="s">
        <v>1032</v>
      </c>
      <c r="E407" s="250"/>
      <c r="F407" s="43" t="s">
        <v>1120</v>
      </c>
      <c r="G407" s="282" t="s">
        <v>2536</v>
      </c>
      <c r="H407" s="256"/>
      <c r="I407" s="256"/>
      <c r="J407" s="257"/>
      <c r="K407" s="257" t="s">
        <v>1089</v>
      </c>
      <c r="L407" s="258">
        <v>17.5</v>
      </c>
      <c r="M407" s="258">
        <v>47.863999999999997</v>
      </c>
      <c r="N407" s="130">
        <v>51.558999999999997</v>
      </c>
      <c r="O407" s="28">
        <v>2.2721100000000001</v>
      </c>
      <c r="P407" s="37" t="s">
        <v>115</v>
      </c>
      <c r="Q407" s="37" t="s">
        <v>115</v>
      </c>
      <c r="R407" s="37" t="s">
        <v>115</v>
      </c>
      <c r="S407" s="28">
        <f t="shared" si="12"/>
        <v>33.89837</v>
      </c>
      <c r="T407" s="28">
        <f t="shared" si="13"/>
        <v>33.89837</v>
      </c>
      <c r="U407" s="266" t="b">
        <v>1</v>
      </c>
      <c r="V407" s="266" t="b">
        <v>0</v>
      </c>
      <c r="Z407"/>
    </row>
    <row r="408" spans="1:26" s="259" customFormat="1" ht="27.75" customHeight="1">
      <c r="A408" s="143" t="s">
        <v>1756</v>
      </c>
      <c r="B408" s="143" t="s">
        <v>1757</v>
      </c>
      <c r="C408" s="260"/>
      <c r="D408" s="257" t="s">
        <v>3785</v>
      </c>
      <c r="E408" s="209" t="s">
        <v>1755</v>
      </c>
      <c r="F408" s="151">
        <v>42217</v>
      </c>
      <c r="G408" s="262" t="s">
        <v>3666</v>
      </c>
      <c r="H408" s="262"/>
      <c r="I408" s="188"/>
      <c r="J408" s="262" t="s">
        <v>1576</v>
      </c>
      <c r="K408" s="257" t="s">
        <v>1089</v>
      </c>
      <c r="L408" s="261">
        <v>16.66</v>
      </c>
      <c r="M408" s="258">
        <v>11.90807</v>
      </c>
      <c r="N408" s="144" t="s">
        <v>115</v>
      </c>
      <c r="O408" s="241" t="s">
        <v>115</v>
      </c>
      <c r="P408" s="134" t="s">
        <v>115</v>
      </c>
      <c r="Q408" s="254" t="s">
        <v>115</v>
      </c>
      <c r="R408" s="264" t="s">
        <v>115</v>
      </c>
      <c r="S408" s="28">
        <f t="shared" si="12"/>
        <v>11.90807</v>
      </c>
      <c r="T408" s="28">
        <f t="shared" si="13"/>
        <v>38.674523999999998</v>
      </c>
      <c r="U408" s="266" t="b">
        <v>1</v>
      </c>
      <c r="V408" s="266" t="b">
        <v>0</v>
      </c>
      <c r="Z408"/>
    </row>
    <row r="409" spans="1:26" s="259" customFormat="1" ht="27.75" customHeight="1">
      <c r="A409" s="252" t="s">
        <v>1193</v>
      </c>
      <c r="B409" s="256" t="s">
        <v>1533</v>
      </c>
      <c r="C409" s="252" t="s">
        <v>1698</v>
      </c>
      <c r="D409" s="250" t="s">
        <v>1291</v>
      </c>
      <c r="E409" s="250" t="s">
        <v>2814</v>
      </c>
      <c r="F409" s="251">
        <v>41954</v>
      </c>
      <c r="G409" s="282" t="s">
        <v>3592</v>
      </c>
      <c r="H409" s="256"/>
      <c r="I409" s="256"/>
      <c r="J409" s="257"/>
      <c r="K409" s="257" t="s">
        <v>1089</v>
      </c>
      <c r="L409" s="258">
        <v>60</v>
      </c>
      <c r="M409" s="258">
        <v>166.00700000000001</v>
      </c>
      <c r="N409" s="130">
        <v>13.499370000000001</v>
      </c>
      <c r="O409" s="28" t="s">
        <v>115</v>
      </c>
      <c r="P409" s="32" t="s">
        <v>115</v>
      </c>
      <c r="Q409" s="253" t="s">
        <v>115</v>
      </c>
      <c r="R409" s="253" t="s">
        <v>115</v>
      </c>
      <c r="S409" s="28">
        <f t="shared" si="12"/>
        <v>89.753185000000002</v>
      </c>
      <c r="T409" s="28">
        <f t="shared" si="13"/>
        <v>89.753185000000002</v>
      </c>
      <c r="U409" s="266" t="b">
        <v>1</v>
      </c>
      <c r="V409" s="266" t="b">
        <v>0</v>
      </c>
      <c r="Z409"/>
    </row>
    <row r="410" spans="1:26" s="259" customFormat="1" ht="25.5">
      <c r="A410" s="27" t="s">
        <v>78</v>
      </c>
      <c r="B410" s="27" t="s">
        <v>103</v>
      </c>
      <c r="C410" s="252"/>
      <c r="D410" s="250" t="s">
        <v>705</v>
      </c>
      <c r="E410" s="250"/>
      <c r="F410" s="43" t="s">
        <v>1162</v>
      </c>
      <c r="G410" s="27" t="s">
        <v>2202</v>
      </c>
      <c r="H410" s="27"/>
      <c r="I410" s="27"/>
      <c r="J410" s="257"/>
      <c r="K410" s="27" t="s">
        <v>7</v>
      </c>
      <c r="L410" s="58">
        <v>55</v>
      </c>
      <c r="M410" s="58">
        <v>647.82500000000005</v>
      </c>
      <c r="N410" s="130">
        <v>657.70699999999999</v>
      </c>
      <c r="O410" s="28">
        <v>670.77499999999998</v>
      </c>
      <c r="P410" s="29">
        <v>627.745</v>
      </c>
      <c r="Q410" s="28">
        <v>631.32000000000005</v>
      </c>
      <c r="R410" s="28">
        <v>636.48900000000003</v>
      </c>
      <c r="S410" s="28">
        <f t="shared" si="12"/>
        <v>645.31016666666676</v>
      </c>
      <c r="T410" s="28">
        <f t="shared" si="13"/>
        <v>645.31016666666676</v>
      </c>
      <c r="U410" s="266" t="b">
        <v>1</v>
      </c>
      <c r="V410" s="266" t="b">
        <v>0</v>
      </c>
      <c r="Z410"/>
    </row>
    <row r="411" spans="1:26" s="259" customFormat="1" ht="15">
      <c r="A411" s="252"/>
      <c r="B411" s="252" t="s">
        <v>1867</v>
      </c>
      <c r="C411" s="257"/>
      <c r="D411" s="48" t="s">
        <v>1332</v>
      </c>
      <c r="E411" s="48"/>
      <c r="F411" s="257"/>
      <c r="G411" s="252" t="s">
        <v>2544</v>
      </c>
      <c r="H411" s="252"/>
      <c r="I411" s="252"/>
      <c r="J411" s="257"/>
      <c r="K411" s="252" t="s">
        <v>9</v>
      </c>
      <c r="L411" s="268">
        <v>28.3</v>
      </c>
      <c r="M411" s="268">
        <v>55.652419999999999</v>
      </c>
      <c r="N411" s="32">
        <v>66.230399999999989</v>
      </c>
      <c r="O411" s="32" t="s">
        <v>115</v>
      </c>
      <c r="P411" s="32" t="s">
        <v>115</v>
      </c>
      <c r="Q411" s="253" t="s">
        <v>115</v>
      </c>
      <c r="R411" s="253" t="s">
        <v>115</v>
      </c>
      <c r="S411" s="28">
        <f t="shared" si="12"/>
        <v>60.941409999999991</v>
      </c>
      <c r="T411" s="28">
        <f t="shared" si="13"/>
        <v>60.941409999999991</v>
      </c>
      <c r="U411" s="266" t="b">
        <v>1</v>
      </c>
      <c r="V411" s="266" t="b">
        <v>0</v>
      </c>
      <c r="Z411"/>
    </row>
    <row r="412" spans="1:26" s="259" customFormat="1" ht="27.75" customHeight="1">
      <c r="A412" s="252"/>
      <c r="B412" s="252" t="s">
        <v>1868</v>
      </c>
      <c r="C412" s="257"/>
      <c r="D412" s="48" t="s">
        <v>1312</v>
      </c>
      <c r="E412" s="48"/>
      <c r="F412" s="257"/>
      <c r="G412" s="252" t="s">
        <v>2545</v>
      </c>
      <c r="H412" s="252"/>
      <c r="I412" s="252"/>
      <c r="J412" s="257"/>
      <c r="K412" s="252" t="s">
        <v>9</v>
      </c>
      <c r="L412" s="268">
        <v>47</v>
      </c>
      <c r="M412" s="268">
        <v>130.22746000000001</v>
      </c>
      <c r="N412" s="32">
        <v>145.04551000000001</v>
      </c>
      <c r="O412" s="32" t="s">
        <v>115</v>
      </c>
      <c r="P412" s="32" t="s">
        <v>115</v>
      </c>
      <c r="Q412" s="253" t="s">
        <v>115</v>
      </c>
      <c r="R412" s="253" t="s">
        <v>115</v>
      </c>
      <c r="S412" s="28">
        <f t="shared" si="12"/>
        <v>137.63648499999999</v>
      </c>
      <c r="T412" s="28">
        <f t="shared" si="13"/>
        <v>137.63648499999999</v>
      </c>
      <c r="U412" s="266" t="b">
        <v>1</v>
      </c>
      <c r="V412" s="266" t="b">
        <v>0</v>
      </c>
      <c r="Z412"/>
    </row>
    <row r="413" spans="1:26" s="259" customFormat="1" ht="27.75" customHeight="1">
      <c r="A413" s="27" t="s">
        <v>949</v>
      </c>
      <c r="B413" s="27" t="s">
        <v>41</v>
      </c>
      <c r="C413" s="252" t="s">
        <v>3382</v>
      </c>
      <c r="D413" s="250" t="s">
        <v>704</v>
      </c>
      <c r="E413" s="250" t="s">
        <v>4912</v>
      </c>
      <c r="F413" s="251"/>
      <c r="G413" s="281" t="s">
        <v>2269</v>
      </c>
      <c r="H413" s="27"/>
      <c r="I413" s="27"/>
      <c r="J413" s="257"/>
      <c r="K413" s="252" t="s">
        <v>3</v>
      </c>
      <c r="L413" s="58">
        <v>24.3</v>
      </c>
      <c r="M413" s="58">
        <v>191.37799999999999</v>
      </c>
      <c r="N413" s="130">
        <v>193.07</v>
      </c>
      <c r="O413" s="28">
        <v>182.35400000000001</v>
      </c>
      <c r="P413" s="29">
        <v>180.53</v>
      </c>
      <c r="Q413" s="28">
        <v>195.57900000000001</v>
      </c>
      <c r="R413" s="28">
        <v>177.965</v>
      </c>
      <c r="S413" s="28">
        <f t="shared" si="12"/>
        <v>186.81266666666667</v>
      </c>
      <c r="T413" s="28">
        <f t="shared" si="13"/>
        <v>186.81266666666667</v>
      </c>
      <c r="U413" s="266" t="b">
        <v>1</v>
      </c>
      <c r="V413" s="266" t="b">
        <v>0</v>
      </c>
      <c r="Z413"/>
    </row>
    <row r="414" spans="1:26" ht="27" customHeight="1">
      <c r="A414" s="27" t="s">
        <v>40</v>
      </c>
      <c r="B414" s="27" t="s">
        <v>40</v>
      </c>
      <c r="C414" s="252" t="s">
        <v>3383</v>
      </c>
      <c r="D414" s="250" t="s">
        <v>703</v>
      </c>
      <c r="E414" s="250" t="s">
        <v>4914</v>
      </c>
      <c r="F414" s="251"/>
      <c r="G414" s="281" t="s">
        <v>2275</v>
      </c>
      <c r="H414" s="27"/>
      <c r="I414" s="27"/>
      <c r="J414" s="257"/>
      <c r="K414" s="252" t="s">
        <v>3</v>
      </c>
      <c r="L414" s="58">
        <v>24.3</v>
      </c>
      <c r="M414" s="58">
        <v>185.702</v>
      </c>
      <c r="N414" s="130">
        <v>189.81</v>
      </c>
      <c r="O414" s="28">
        <v>186.08099999999999</v>
      </c>
      <c r="P414" s="29">
        <v>177.42400000000001</v>
      </c>
      <c r="Q414" s="28">
        <v>185.21700000000001</v>
      </c>
      <c r="R414" s="28">
        <v>172.27500000000001</v>
      </c>
      <c r="S414" s="28">
        <f t="shared" si="12"/>
        <v>182.75149999999999</v>
      </c>
      <c r="T414" s="28">
        <f t="shared" si="13"/>
        <v>182.75149999999999</v>
      </c>
      <c r="U414" s="266" t="b">
        <v>1</v>
      </c>
      <c r="V414" s="266" t="b">
        <v>0</v>
      </c>
      <c r="Z414"/>
    </row>
    <row r="415" spans="1:26" s="259" customFormat="1" ht="27" customHeight="1">
      <c r="A415" s="252"/>
      <c r="B415" s="252" t="s">
        <v>1869</v>
      </c>
      <c r="C415" s="257"/>
      <c r="D415" s="48" t="s">
        <v>1452</v>
      </c>
      <c r="E415" s="48" t="s">
        <v>2815</v>
      </c>
      <c r="F415" s="257"/>
      <c r="G415" s="252" t="s">
        <v>3610</v>
      </c>
      <c r="H415" s="252"/>
      <c r="I415" s="252"/>
      <c r="J415" s="257"/>
      <c r="K415" s="252" t="s">
        <v>9</v>
      </c>
      <c r="L415" s="268">
        <v>79.2</v>
      </c>
      <c r="M415" s="268">
        <v>197.51093</v>
      </c>
      <c r="N415" s="32"/>
      <c r="O415" s="32" t="s">
        <v>115</v>
      </c>
      <c r="P415" s="32" t="s">
        <v>115</v>
      </c>
      <c r="Q415" s="253" t="s">
        <v>115</v>
      </c>
      <c r="R415" s="253" t="s">
        <v>115</v>
      </c>
      <c r="S415" s="28">
        <f t="shared" si="12"/>
        <v>197.51093</v>
      </c>
      <c r="T415" s="28">
        <f t="shared" si="13"/>
        <v>197.51093</v>
      </c>
      <c r="U415" s="266" t="b">
        <v>1</v>
      </c>
      <c r="V415" s="266" t="b">
        <v>0</v>
      </c>
      <c r="Z415"/>
    </row>
    <row r="416" spans="1:26" s="259" customFormat="1" ht="27" customHeight="1">
      <c r="A416" s="252"/>
      <c r="B416" s="252" t="s">
        <v>1870</v>
      </c>
      <c r="C416" s="257"/>
      <c r="D416" s="48" t="s">
        <v>1453</v>
      </c>
      <c r="E416" s="48" t="s">
        <v>2816</v>
      </c>
      <c r="F416" s="257"/>
      <c r="G416" s="252" t="s">
        <v>2608</v>
      </c>
      <c r="H416" s="252"/>
      <c r="I416" s="252"/>
      <c r="J416" s="257"/>
      <c r="K416" s="252" t="s">
        <v>9</v>
      </c>
      <c r="L416" s="268">
        <v>19.8</v>
      </c>
      <c r="M416" s="268">
        <v>46.62171</v>
      </c>
      <c r="N416" s="32"/>
      <c r="O416" s="32" t="s">
        <v>115</v>
      </c>
      <c r="P416" s="32" t="s">
        <v>115</v>
      </c>
      <c r="Q416" s="253" t="s">
        <v>115</v>
      </c>
      <c r="R416" s="253" t="s">
        <v>115</v>
      </c>
      <c r="S416" s="28">
        <f t="shared" si="12"/>
        <v>46.62171</v>
      </c>
      <c r="T416" s="28">
        <f t="shared" si="13"/>
        <v>46.62171</v>
      </c>
      <c r="U416" s="266" t="b">
        <v>1</v>
      </c>
      <c r="V416" s="266" t="b">
        <v>0</v>
      </c>
      <c r="Z416"/>
    </row>
    <row r="417" spans="1:26" s="259" customFormat="1" ht="27" customHeight="1">
      <c r="A417" s="143"/>
      <c r="B417" s="143" t="s">
        <v>2085</v>
      </c>
      <c r="C417" s="252" t="s">
        <v>2084</v>
      </c>
      <c r="D417" s="257" t="s">
        <v>2083</v>
      </c>
      <c r="E417" s="209" t="s">
        <v>2817</v>
      </c>
      <c r="F417" s="151">
        <v>42139</v>
      </c>
      <c r="G417" s="262" t="s">
        <v>3609</v>
      </c>
      <c r="H417" s="262"/>
      <c r="I417" s="188"/>
      <c r="J417" s="262" t="s">
        <v>3919</v>
      </c>
      <c r="K417" s="257" t="s">
        <v>2086</v>
      </c>
      <c r="L417" s="261">
        <v>99</v>
      </c>
      <c r="M417" s="258">
        <v>177.23908</v>
      </c>
      <c r="N417" s="144" t="s">
        <v>115</v>
      </c>
      <c r="O417" s="241" t="s">
        <v>115</v>
      </c>
      <c r="P417" s="134" t="s">
        <v>115</v>
      </c>
      <c r="Q417" s="253" t="s">
        <v>115</v>
      </c>
      <c r="R417" s="252" t="s">
        <v>115</v>
      </c>
      <c r="S417" s="28">
        <f t="shared" si="12"/>
        <v>177.23908</v>
      </c>
      <c r="T417" s="28">
        <f t="shared" si="13"/>
        <v>346.89600000000002</v>
      </c>
      <c r="U417" s="266" t="b">
        <v>1</v>
      </c>
      <c r="V417" s="266" t="b">
        <v>0</v>
      </c>
      <c r="Z417"/>
    </row>
    <row r="418" spans="1:26" s="259" customFormat="1" ht="27" customHeight="1">
      <c r="A418" s="27" t="s">
        <v>531</v>
      </c>
      <c r="B418" s="27" t="s">
        <v>1475</v>
      </c>
      <c r="C418" s="252"/>
      <c r="D418" s="29" t="s">
        <v>702</v>
      </c>
      <c r="E418" s="29" t="s">
        <v>2781</v>
      </c>
      <c r="F418" s="251">
        <v>39934</v>
      </c>
      <c r="G418" s="281"/>
      <c r="H418" s="27"/>
      <c r="I418" s="27"/>
      <c r="J418" s="257" t="s">
        <v>3284</v>
      </c>
      <c r="K418" s="27" t="s">
        <v>1089</v>
      </c>
      <c r="L418" s="58">
        <v>1.375</v>
      </c>
      <c r="M418" s="58">
        <v>2.778</v>
      </c>
      <c r="N418" s="130">
        <v>2.8279999999999998</v>
      </c>
      <c r="O418" s="28">
        <v>3.0670000000000002</v>
      </c>
      <c r="P418" s="29">
        <v>2.2930999999999999</v>
      </c>
      <c r="Q418" s="28">
        <v>1.782</v>
      </c>
      <c r="R418" s="28">
        <v>0.75800000000000001</v>
      </c>
      <c r="S418" s="28">
        <f t="shared" si="12"/>
        <v>2.2510166666666667</v>
      </c>
      <c r="T418" s="28">
        <f t="shared" si="13"/>
        <v>2.2510166666666667</v>
      </c>
      <c r="U418" s="266" t="b">
        <v>1</v>
      </c>
      <c r="V418" s="266" t="b">
        <v>0</v>
      </c>
      <c r="Z418"/>
    </row>
    <row r="419" spans="1:26" s="259" customFormat="1" ht="27" customHeight="1">
      <c r="A419" s="143" t="s">
        <v>1594</v>
      </c>
      <c r="B419" s="331" t="s">
        <v>1595</v>
      </c>
      <c r="C419" s="257"/>
      <c r="D419" s="257" t="s">
        <v>4040</v>
      </c>
      <c r="E419" s="209" t="s">
        <v>3005</v>
      </c>
      <c r="F419" s="151">
        <v>42293</v>
      </c>
      <c r="G419" s="262"/>
      <c r="H419" s="354"/>
      <c r="I419" s="262"/>
      <c r="J419" s="262" t="s">
        <v>1588</v>
      </c>
      <c r="K419" s="257" t="s">
        <v>1089</v>
      </c>
      <c r="L419" s="261">
        <v>1</v>
      </c>
      <c r="M419" s="144"/>
      <c r="N419" s="241"/>
      <c r="O419" s="134"/>
      <c r="P419" s="254"/>
      <c r="Q419" s="264"/>
      <c r="R419" s="252"/>
      <c r="S419" s="28">
        <f t="shared" si="12"/>
        <v>0</v>
      </c>
      <c r="T419" s="28">
        <f t="shared" si="13"/>
        <v>2.3214000000000001</v>
      </c>
      <c r="U419" s="266" t="b">
        <v>1</v>
      </c>
      <c r="V419" s="266" t="b">
        <v>0</v>
      </c>
      <c r="Z419"/>
    </row>
    <row r="420" spans="1:26" s="259" customFormat="1" ht="27" customHeight="1">
      <c r="A420" s="248" t="s">
        <v>2963</v>
      </c>
      <c r="B420" s="248" t="s">
        <v>2965</v>
      </c>
      <c r="C420" s="257"/>
      <c r="D420" s="29" t="s">
        <v>3543</v>
      </c>
      <c r="E420" s="29" t="s">
        <v>1784</v>
      </c>
      <c r="F420" s="251">
        <v>41796</v>
      </c>
      <c r="G420" s="281" t="s">
        <v>3615</v>
      </c>
      <c r="H420" s="248">
        <v>58751</v>
      </c>
      <c r="I420" s="248"/>
      <c r="J420" s="257" t="s">
        <v>2946</v>
      </c>
      <c r="K420" s="248" t="s">
        <v>1089</v>
      </c>
      <c r="L420" s="58">
        <v>1.5</v>
      </c>
      <c r="M420" s="58">
        <v>3.86694</v>
      </c>
      <c r="N420" s="130">
        <v>1.998</v>
      </c>
      <c r="O420" s="28" t="s">
        <v>115</v>
      </c>
      <c r="P420" s="29" t="s">
        <v>115</v>
      </c>
      <c r="Q420" s="28" t="s">
        <v>115</v>
      </c>
      <c r="R420" s="28" t="s">
        <v>115</v>
      </c>
      <c r="S420" s="28">
        <f t="shared" si="12"/>
        <v>2.9324699999999999</v>
      </c>
      <c r="T420" s="28">
        <f t="shared" si="13"/>
        <v>2.9324699999999999</v>
      </c>
      <c r="U420" s="266" t="b">
        <v>1</v>
      </c>
      <c r="V420" s="266" t="b">
        <v>0</v>
      </c>
      <c r="Z420"/>
    </row>
    <row r="421" spans="1:26" s="259" customFormat="1" ht="27" customHeight="1">
      <c r="A421" s="143" t="s">
        <v>2964</v>
      </c>
      <c r="B421" s="143" t="s">
        <v>2966</v>
      </c>
      <c r="C421" s="143"/>
      <c r="D421" s="29" t="s">
        <v>3544</v>
      </c>
      <c r="E421" s="143" t="s">
        <v>1785</v>
      </c>
      <c r="F421" s="344">
        <v>41796</v>
      </c>
      <c r="G421" s="241" t="s">
        <v>3616</v>
      </c>
      <c r="H421" s="246">
        <v>58752</v>
      </c>
      <c r="I421" s="246"/>
      <c r="J421" s="257" t="s">
        <v>2946</v>
      </c>
      <c r="K421" s="248" t="s">
        <v>1089</v>
      </c>
      <c r="L421" s="58">
        <v>1.5</v>
      </c>
      <c r="M421" s="58">
        <v>3.9213659999999999</v>
      </c>
      <c r="N421" s="215">
        <v>1.9830000000000001</v>
      </c>
      <c r="O421" s="260" t="s">
        <v>115</v>
      </c>
      <c r="P421" s="345" t="s">
        <v>115</v>
      </c>
      <c r="Q421" s="345" t="s">
        <v>115</v>
      </c>
      <c r="R421" s="257" t="s">
        <v>115</v>
      </c>
      <c r="S421" s="28">
        <f t="shared" si="12"/>
        <v>2.9521829999999998</v>
      </c>
      <c r="T421" s="28">
        <f t="shared" si="13"/>
        <v>2.9521829999999998</v>
      </c>
      <c r="U421" s="266" t="b">
        <v>1</v>
      </c>
      <c r="V421" s="266" t="b">
        <v>0</v>
      </c>
      <c r="Z421"/>
    </row>
    <row r="422" spans="1:26" ht="27" customHeight="1">
      <c r="A422" s="143" t="s">
        <v>3605</v>
      </c>
      <c r="B422" s="143" t="s">
        <v>3578</v>
      </c>
      <c r="C422" s="254"/>
      <c r="D422" s="37" t="s">
        <v>5232</v>
      </c>
      <c r="E422" s="254" t="s">
        <v>3579</v>
      </c>
      <c r="F422" s="346">
        <v>41668</v>
      </c>
      <c r="G422" s="241" t="s">
        <v>3606</v>
      </c>
      <c r="H422" s="241">
        <v>58449</v>
      </c>
      <c r="I422" s="241"/>
      <c r="J422" s="134" t="s">
        <v>2946</v>
      </c>
      <c r="K422" s="27" t="s">
        <v>1089</v>
      </c>
      <c r="L422" s="58">
        <v>4</v>
      </c>
      <c r="M422" s="58">
        <v>11.18</v>
      </c>
      <c r="N422" s="215">
        <v>10.042999999999999</v>
      </c>
      <c r="O422" s="260"/>
      <c r="P422" s="347"/>
      <c r="Q422" s="347"/>
      <c r="R422" s="252"/>
      <c r="S422" s="28">
        <f t="shared" si="12"/>
        <v>10.611499999999999</v>
      </c>
      <c r="T422" s="28">
        <f t="shared" si="13"/>
        <v>10.611499999999999</v>
      </c>
      <c r="U422" s="266" t="b">
        <v>1</v>
      </c>
      <c r="V422" s="266" t="b">
        <v>0</v>
      </c>
      <c r="Z422"/>
    </row>
    <row r="423" spans="1:26" s="259" customFormat="1" ht="25.5">
      <c r="A423" s="252" t="s">
        <v>3537</v>
      </c>
      <c r="B423" s="46" t="s">
        <v>2021</v>
      </c>
      <c r="C423" s="252"/>
      <c r="D423" s="48"/>
      <c r="E423" s="48" t="s">
        <v>2022</v>
      </c>
      <c r="F423" s="43">
        <v>39654</v>
      </c>
      <c r="G423" s="243"/>
      <c r="H423" s="243">
        <v>56875</v>
      </c>
      <c r="I423" s="46"/>
      <c r="J423" s="257" t="s">
        <v>3541</v>
      </c>
      <c r="K423" s="257" t="s">
        <v>1089</v>
      </c>
      <c r="L423" s="270">
        <v>1</v>
      </c>
      <c r="M423" s="270"/>
      <c r="N423" s="130">
        <v>1.6919999999999999</v>
      </c>
      <c r="O423" s="136">
        <v>1.778</v>
      </c>
      <c r="P423" s="37">
        <v>1.7090000000000001</v>
      </c>
      <c r="Q423" s="37">
        <v>1.78</v>
      </c>
      <c r="R423" s="37">
        <v>1.744</v>
      </c>
      <c r="S423" s="28">
        <f t="shared" si="12"/>
        <v>1.7406000000000001</v>
      </c>
      <c r="T423" s="28">
        <f t="shared" si="13"/>
        <v>1.7406000000000001</v>
      </c>
      <c r="U423" s="266" t="b">
        <v>1</v>
      </c>
      <c r="V423" s="266" t="b">
        <v>0</v>
      </c>
      <c r="Z423"/>
    </row>
    <row r="424" spans="1:26" s="259" customFormat="1" ht="27" customHeight="1">
      <c r="A424" s="252"/>
      <c r="B424" s="252" t="s">
        <v>1871</v>
      </c>
      <c r="C424" s="257"/>
      <c r="D424" s="48" t="s">
        <v>1370</v>
      </c>
      <c r="E424" s="48"/>
      <c r="F424" s="257"/>
      <c r="G424" s="252"/>
      <c r="H424" s="252"/>
      <c r="I424" s="252"/>
      <c r="J424" s="257" t="s">
        <v>3284</v>
      </c>
      <c r="K424" s="252" t="s">
        <v>9</v>
      </c>
      <c r="L424" s="268">
        <v>2</v>
      </c>
      <c r="M424" s="268">
        <v>2.3249200000000001</v>
      </c>
      <c r="N424" s="32">
        <v>2.2347700000000001</v>
      </c>
      <c r="O424" s="32" t="s">
        <v>115</v>
      </c>
      <c r="P424" s="32" t="s">
        <v>115</v>
      </c>
      <c r="Q424" s="253" t="s">
        <v>115</v>
      </c>
      <c r="R424" s="253" t="s">
        <v>115</v>
      </c>
      <c r="S424" s="28">
        <f t="shared" si="12"/>
        <v>2.2798449999999999</v>
      </c>
      <c r="T424" s="28">
        <f t="shared" si="13"/>
        <v>2.2798449999999999</v>
      </c>
      <c r="U424" s="266" t="b">
        <v>1</v>
      </c>
      <c r="V424" s="266" t="b">
        <v>0</v>
      </c>
      <c r="Z424"/>
    </row>
    <row r="425" spans="1:26" s="80" customFormat="1" ht="27" customHeight="1">
      <c r="A425" s="27" t="s">
        <v>83</v>
      </c>
      <c r="B425" s="27" t="s">
        <v>101</v>
      </c>
      <c r="C425" s="252" t="s">
        <v>3313</v>
      </c>
      <c r="D425" s="250" t="s">
        <v>701</v>
      </c>
      <c r="E425" s="250"/>
      <c r="F425" s="43" t="s">
        <v>1155</v>
      </c>
      <c r="G425" s="27" t="s">
        <v>2547</v>
      </c>
      <c r="H425" s="27"/>
      <c r="I425" s="27"/>
      <c r="J425" s="257" t="s">
        <v>5170</v>
      </c>
      <c r="K425" s="27" t="s">
        <v>7</v>
      </c>
      <c r="L425" s="58">
        <v>10</v>
      </c>
      <c r="M425" s="58">
        <v>75.370999999999995</v>
      </c>
      <c r="N425" s="130">
        <v>70.725009999999997</v>
      </c>
      <c r="O425" s="28">
        <v>64.472999999999999</v>
      </c>
      <c r="P425" s="29">
        <v>52.686099999999996</v>
      </c>
      <c r="Q425" s="28">
        <v>73.081999999999994</v>
      </c>
      <c r="R425" s="28">
        <v>77.13</v>
      </c>
      <c r="S425" s="28">
        <f t="shared" si="12"/>
        <v>68.911185000000003</v>
      </c>
      <c r="T425" s="28">
        <f t="shared" si="13"/>
        <v>68.911185000000003</v>
      </c>
      <c r="U425" s="266" t="b">
        <v>1</v>
      </c>
      <c r="V425" s="266" t="b">
        <v>0</v>
      </c>
      <c r="Z425"/>
    </row>
    <row r="426" spans="1:26" s="259" customFormat="1" ht="27" customHeight="1">
      <c r="A426" s="27" t="s">
        <v>83</v>
      </c>
      <c r="B426" s="27" t="s">
        <v>1476</v>
      </c>
      <c r="C426" s="252" t="s">
        <v>3313</v>
      </c>
      <c r="D426" s="250" t="s">
        <v>700</v>
      </c>
      <c r="E426" s="250"/>
      <c r="F426" s="43" t="s">
        <v>1156</v>
      </c>
      <c r="G426" s="27" t="s">
        <v>2548</v>
      </c>
      <c r="H426" s="27"/>
      <c r="I426" s="27"/>
      <c r="J426" s="257" t="s">
        <v>5170</v>
      </c>
      <c r="K426" s="27" t="s">
        <v>7</v>
      </c>
      <c r="L426" s="58">
        <v>11.65</v>
      </c>
      <c r="M426" s="58">
        <v>116.758</v>
      </c>
      <c r="N426" s="130">
        <v>105.35702999999999</v>
      </c>
      <c r="O426" s="28">
        <v>108.417</v>
      </c>
      <c r="P426" s="29">
        <v>110.998</v>
      </c>
      <c r="Q426" s="28">
        <v>125.081</v>
      </c>
      <c r="R426" s="28">
        <v>121.824</v>
      </c>
      <c r="S426" s="28">
        <f t="shared" si="12"/>
        <v>114.73917166666665</v>
      </c>
      <c r="T426" s="28">
        <f t="shared" si="13"/>
        <v>114.73917166666665</v>
      </c>
      <c r="U426" s="266" t="b">
        <v>1</v>
      </c>
      <c r="V426" s="266" t="b">
        <v>0</v>
      </c>
      <c r="Z426"/>
    </row>
    <row r="427" spans="1:26" s="259" customFormat="1" ht="27" customHeight="1">
      <c r="A427" s="27" t="s">
        <v>83</v>
      </c>
      <c r="B427" s="27" t="s">
        <v>102</v>
      </c>
      <c r="C427" s="252" t="s">
        <v>3313</v>
      </c>
      <c r="D427" s="250" t="s">
        <v>699</v>
      </c>
      <c r="E427" s="250"/>
      <c r="F427" s="43" t="s">
        <v>1157</v>
      </c>
      <c r="G427" s="27" t="s">
        <v>2549</v>
      </c>
      <c r="H427" s="27"/>
      <c r="I427" s="27"/>
      <c r="J427" s="257" t="s">
        <v>5170</v>
      </c>
      <c r="K427" s="27" t="s">
        <v>7</v>
      </c>
      <c r="L427" s="58">
        <v>53.97</v>
      </c>
      <c r="M427" s="58">
        <v>365.94801000000001</v>
      </c>
      <c r="N427" s="130">
        <v>312.57900999999998</v>
      </c>
      <c r="O427" s="28">
        <v>323.577</v>
      </c>
      <c r="P427" s="29">
        <v>343.971</v>
      </c>
      <c r="Q427" s="28">
        <v>369.65</v>
      </c>
      <c r="R427" s="28">
        <v>380.14100000000002</v>
      </c>
      <c r="S427" s="28">
        <f t="shared" si="12"/>
        <v>349.3110033333333</v>
      </c>
      <c r="T427" s="28">
        <f t="shared" si="13"/>
        <v>349.3110033333333</v>
      </c>
      <c r="U427" s="266" t="b">
        <v>1</v>
      </c>
      <c r="V427" s="266" t="b">
        <v>0</v>
      </c>
      <c r="Z427"/>
    </row>
    <row r="428" spans="1:26" s="259" customFormat="1" ht="27" customHeight="1">
      <c r="A428" s="27" t="s">
        <v>83</v>
      </c>
      <c r="B428" s="27" t="s">
        <v>85</v>
      </c>
      <c r="C428" s="252" t="s">
        <v>3313</v>
      </c>
      <c r="D428" s="250" t="s">
        <v>698</v>
      </c>
      <c r="E428" s="250"/>
      <c r="F428" s="43" t="s">
        <v>1142</v>
      </c>
      <c r="G428" s="27" t="s">
        <v>2550</v>
      </c>
      <c r="H428" s="27"/>
      <c r="I428" s="27"/>
      <c r="J428" s="257" t="s">
        <v>5170</v>
      </c>
      <c r="K428" s="27" t="s">
        <v>7</v>
      </c>
      <c r="L428" s="58">
        <v>51</v>
      </c>
      <c r="M428" s="58">
        <v>316.74299999999999</v>
      </c>
      <c r="N428" s="130">
        <v>281.49700999999999</v>
      </c>
      <c r="O428" s="28">
        <v>310.98099999999999</v>
      </c>
      <c r="P428" s="29">
        <v>293.34300000000002</v>
      </c>
      <c r="Q428" s="28">
        <v>330.39100000000002</v>
      </c>
      <c r="R428" s="28">
        <v>311.53800000000001</v>
      </c>
      <c r="S428" s="28">
        <f t="shared" si="12"/>
        <v>307.41550166666667</v>
      </c>
      <c r="T428" s="28">
        <f t="shared" si="13"/>
        <v>307.41550166666667</v>
      </c>
      <c r="U428" s="266" t="b">
        <v>1</v>
      </c>
      <c r="V428" s="266" t="b">
        <v>0</v>
      </c>
      <c r="Z428"/>
    </row>
    <row r="429" spans="1:26" ht="25.5">
      <c r="A429" s="27" t="s">
        <v>83</v>
      </c>
      <c r="B429" s="27" t="s">
        <v>86</v>
      </c>
      <c r="C429" s="252"/>
      <c r="D429" s="250" t="s">
        <v>697</v>
      </c>
      <c r="E429" s="250" t="s">
        <v>2820</v>
      </c>
      <c r="F429" s="43" t="s">
        <v>1143</v>
      </c>
      <c r="G429" s="27" t="s">
        <v>478</v>
      </c>
      <c r="H429" s="27"/>
      <c r="I429" s="27"/>
      <c r="J429" s="257" t="s">
        <v>5170</v>
      </c>
      <c r="K429" s="27" t="s">
        <v>7</v>
      </c>
      <c r="L429" s="58">
        <v>49.9</v>
      </c>
      <c r="M429" s="58">
        <v>338.77100999999999</v>
      </c>
      <c r="N429" s="130">
        <v>291.97601000000003</v>
      </c>
      <c r="O429" s="28">
        <v>293.85300000000001</v>
      </c>
      <c r="P429" s="29">
        <v>291.35300000000001</v>
      </c>
      <c r="Q429" s="28">
        <v>348.73399999999998</v>
      </c>
      <c r="R429" s="28">
        <v>350.62599999999998</v>
      </c>
      <c r="S429" s="28">
        <f t="shared" si="12"/>
        <v>319.21883666666668</v>
      </c>
      <c r="T429" s="28">
        <f t="shared" si="13"/>
        <v>319.21883666666668</v>
      </c>
      <c r="U429" s="266" t="b">
        <v>1</v>
      </c>
      <c r="V429" s="266" t="b">
        <v>0</v>
      </c>
      <c r="Z429"/>
    </row>
    <row r="430" spans="1:26" ht="25.5">
      <c r="A430" s="261"/>
      <c r="B430" s="260" t="s">
        <v>4552</v>
      </c>
      <c r="C430" s="107"/>
      <c r="D430" s="260" t="s">
        <v>4551</v>
      </c>
      <c r="E430" s="107"/>
      <c r="F430" s="156">
        <v>40879</v>
      </c>
      <c r="G430" s="257"/>
      <c r="H430" s="107"/>
      <c r="I430" s="107"/>
      <c r="J430" s="107"/>
      <c r="K430" s="252" t="s">
        <v>1089</v>
      </c>
      <c r="L430" s="261">
        <v>1</v>
      </c>
      <c r="M430" s="107">
        <v>1.653</v>
      </c>
      <c r="N430" s="107" t="s">
        <v>115</v>
      </c>
      <c r="O430" s="107" t="s">
        <v>115</v>
      </c>
      <c r="P430" s="107" t="s">
        <v>115</v>
      </c>
      <c r="Q430" s="107" t="s">
        <v>115</v>
      </c>
      <c r="R430" s="107" t="s">
        <v>115</v>
      </c>
      <c r="S430" s="28">
        <f t="shared" si="12"/>
        <v>1.653</v>
      </c>
      <c r="T430" s="28">
        <f t="shared" si="13"/>
        <v>1.653</v>
      </c>
      <c r="U430" s="266" t="b">
        <v>1</v>
      </c>
      <c r="V430" s="266" t="b">
        <v>0</v>
      </c>
      <c r="Z430"/>
    </row>
    <row r="431" spans="1:26" s="259" customFormat="1" ht="27" customHeight="1">
      <c r="A431" s="252"/>
      <c r="B431" s="252" t="s">
        <v>1872</v>
      </c>
      <c r="C431" s="257"/>
      <c r="D431" s="48" t="s">
        <v>1311</v>
      </c>
      <c r="E431" s="48"/>
      <c r="F431" s="257"/>
      <c r="G431" s="252" t="s">
        <v>4795</v>
      </c>
      <c r="H431" s="252"/>
      <c r="I431" s="252"/>
      <c r="J431" s="257"/>
      <c r="K431" s="252" t="s">
        <v>9</v>
      </c>
      <c r="L431" s="268">
        <v>31</v>
      </c>
      <c r="M431" s="268">
        <v>79.199470000000005</v>
      </c>
      <c r="N431" s="32">
        <v>72.753460000000004</v>
      </c>
      <c r="O431" s="32" t="s">
        <v>115</v>
      </c>
      <c r="P431" s="32" t="s">
        <v>115</v>
      </c>
      <c r="Q431" s="253" t="s">
        <v>115</v>
      </c>
      <c r="R431" s="253" t="s">
        <v>115</v>
      </c>
      <c r="S431" s="28">
        <f t="shared" si="12"/>
        <v>75.976465000000005</v>
      </c>
      <c r="T431" s="28">
        <f t="shared" si="13"/>
        <v>75.976465000000005</v>
      </c>
      <c r="U431" s="266" t="b">
        <v>1</v>
      </c>
      <c r="V431" s="266" t="b">
        <v>0</v>
      </c>
      <c r="Z431"/>
    </row>
    <row r="432" spans="1:26" s="259" customFormat="1" ht="27" customHeight="1">
      <c r="A432" s="252"/>
      <c r="B432" s="252" t="s">
        <v>1873</v>
      </c>
      <c r="C432" s="257"/>
      <c r="D432" s="48" t="s">
        <v>1325</v>
      </c>
      <c r="E432" s="48"/>
      <c r="F432" s="257"/>
      <c r="G432" s="252" t="s">
        <v>5055</v>
      </c>
      <c r="H432" s="252"/>
      <c r="I432" s="252"/>
      <c r="J432" s="257"/>
      <c r="K432" s="252" t="s">
        <v>9</v>
      </c>
      <c r="L432" s="268">
        <v>43.4</v>
      </c>
      <c r="M432" s="268">
        <v>114.68057</v>
      </c>
      <c r="N432" s="32">
        <v>110.61169</v>
      </c>
      <c r="O432" s="32" t="s">
        <v>115</v>
      </c>
      <c r="P432" s="32" t="s">
        <v>115</v>
      </c>
      <c r="Q432" s="253" t="s">
        <v>115</v>
      </c>
      <c r="R432" s="253" t="s">
        <v>115</v>
      </c>
      <c r="S432" s="28">
        <f t="shared" si="12"/>
        <v>112.64613</v>
      </c>
      <c r="T432" s="28">
        <f t="shared" si="13"/>
        <v>112.64613</v>
      </c>
      <c r="U432" s="266" t="b">
        <v>1</v>
      </c>
      <c r="V432" s="266" t="b">
        <v>0</v>
      </c>
      <c r="Z432"/>
    </row>
    <row r="433" spans="1:26" s="363" customFormat="1" ht="15">
      <c r="A433" s="252"/>
      <c r="B433" s="252" t="s">
        <v>1874</v>
      </c>
      <c r="C433" s="257"/>
      <c r="D433" s="48" t="s">
        <v>1443</v>
      </c>
      <c r="E433" s="48"/>
      <c r="F433" s="257"/>
      <c r="G433" s="252"/>
      <c r="H433" s="252"/>
      <c r="I433" s="252"/>
      <c r="J433" s="257"/>
      <c r="K433" s="252" t="s">
        <v>9</v>
      </c>
      <c r="L433" s="268">
        <v>49.5</v>
      </c>
      <c r="M433" s="268">
        <v>180.107</v>
      </c>
      <c r="N433" s="32">
        <v>183.708</v>
      </c>
      <c r="O433" s="32" t="s">
        <v>115</v>
      </c>
      <c r="P433" s="32" t="s">
        <v>115</v>
      </c>
      <c r="Q433" s="253" t="s">
        <v>115</v>
      </c>
      <c r="R433" s="253" t="s">
        <v>115</v>
      </c>
      <c r="S433" s="28">
        <f t="shared" si="12"/>
        <v>181.9075</v>
      </c>
      <c r="T433" s="28">
        <f t="shared" si="13"/>
        <v>181.9075</v>
      </c>
      <c r="U433" s="266" t="b">
        <v>1</v>
      </c>
      <c r="V433" s="266" t="b">
        <v>0</v>
      </c>
      <c r="Z433"/>
    </row>
    <row r="434" spans="1:26" s="363" customFormat="1" ht="51">
      <c r="A434" s="27" t="s">
        <v>33</v>
      </c>
      <c r="B434" s="27" t="s">
        <v>2932</v>
      </c>
      <c r="C434" s="252" t="s">
        <v>3334</v>
      </c>
      <c r="D434" s="250" t="s">
        <v>696</v>
      </c>
      <c r="E434" s="48" t="s">
        <v>2969</v>
      </c>
      <c r="F434" s="251"/>
      <c r="G434" s="281" t="s">
        <v>2381</v>
      </c>
      <c r="H434" s="27"/>
      <c r="I434" s="27"/>
      <c r="J434" s="27" t="s">
        <v>2970</v>
      </c>
      <c r="K434" s="252" t="s">
        <v>2894</v>
      </c>
      <c r="L434" s="58">
        <v>1.76</v>
      </c>
      <c r="M434" s="58">
        <v>12.358000000000001</v>
      </c>
      <c r="N434" s="130">
        <v>11.544</v>
      </c>
      <c r="O434" s="28">
        <v>10.688000000000001</v>
      </c>
      <c r="P434" s="29">
        <v>11.866</v>
      </c>
      <c r="Q434" s="28">
        <v>5.5220000000000002</v>
      </c>
      <c r="R434" s="28">
        <v>3.5529999999999999</v>
      </c>
      <c r="S434" s="28">
        <f t="shared" si="12"/>
        <v>9.2551666666666659</v>
      </c>
      <c r="T434" s="28">
        <f t="shared" si="13"/>
        <v>9.2551666666666659</v>
      </c>
      <c r="U434" s="266" t="b">
        <v>1</v>
      </c>
      <c r="V434" s="266" t="b">
        <v>0</v>
      </c>
      <c r="Z434"/>
    </row>
    <row r="435" spans="1:26" s="363" customFormat="1" ht="25.5">
      <c r="A435" s="27" t="s">
        <v>524</v>
      </c>
      <c r="B435" s="52" t="s">
        <v>536</v>
      </c>
      <c r="C435" s="252" t="s">
        <v>3321</v>
      </c>
      <c r="D435" s="250" t="s">
        <v>622</v>
      </c>
      <c r="E435" s="250" t="s">
        <v>2280</v>
      </c>
      <c r="F435" s="50">
        <v>40762</v>
      </c>
      <c r="G435" s="276" t="s">
        <v>2279</v>
      </c>
      <c r="H435" s="52"/>
      <c r="I435" s="52"/>
      <c r="J435" s="257"/>
      <c r="K435" s="27" t="s">
        <v>1089</v>
      </c>
      <c r="L435" s="58">
        <v>19</v>
      </c>
      <c r="M435" s="58">
        <v>40.597999999999999</v>
      </c>
      <c r="N435" s="130">
        <v>40.728000000000002</v>
      </c>
      <c r="O435" s="28">
        <v>42.064999999999998</v>
      </c>
      <c r="P435" s="35">
        <v>40.356000000000002</v>
      </c>
      <c r="Q435" s="28">
        <v>17.917000000000002</v>
      </c>
      <c r="R435" s="28" t="s">
        <v>115</v>
      </c>
      <c r="S435" s="28">
        <f t="shared" si="12"/>
        <v>36.332799999999999</v>
      </c>
      <c r="T435" s="28">
        <f t="shared" si="13"/>
        <v>36.332799999999999</v>
      </c>
      <c r="U435" s="266" t="b">
        <v>1</v>
      </c>
      <c r="V435" s="266" t="b">
        <v>0</v>
      </c>
      <c r="Z435"/>
    </row>
    <row r="436" spans="1:26" s="363" customFormat="1" ht="15">
      <c r="A436" s="252"/>
      <c r="B436" s="252" t="s">
        <v>1875</v>
      </c>
      <c r="C436" s="257"/>
      <c r="D436" s="48" t="s">
        <v>1344</v>
      </c>
      <c r="E436" s="48"/>
      <c r="F436" s="257"/>
      <c r="G436" s="252"/>
      <c r="H436" s="252"/>
      <c r="I436" s="252"/>
      <c r="J436" s="257"/>
      <c r="K436" s="252" t="s">
        <v>9</v>
      </c>
      <c r="L436" s="268">
        <v>18</v>
      </c>
      <c r="M436" s="268">
        <v>23.034509999999997</v>
      </c>
      <c r="N436" s="32">
        <v>16.409790000000001</v>
      </c>
      <c r="O436" s="32" t="s">
        <v>115</v>
      </c>
      <c r="P436" s="32" t="s">
        <v>115</v>
      </c>
      <c r="Q436" s="253" t="s">
        <v>115</v>
      </c>
      <c r="R436" s="253" t="s">
        <v>115</v>
      </c>
      <c r="S436" s="28">
        <f t="shared" si="12"/>
        <v>19.722149999999999</v>
      </c>
      <c r="T436" s="28">
        <f t="shared" si="13"/>
        <v>19.722149999999999</v>
      </c>
      <c r="U436" s="266" t="b">
        <v>1</v>
      </c>
      <c r="V436" s="266" t="b">
        <v>0</v>
      </c>
      <c r="Z436"/>
    </row>
    <row r="437" spans="1:26" s="363" customFormat="1" ht="25.5">
      <c r="A437" s="27" t="s">
        <v>36</v>
      </c>
      <c r="B437" s="27" t="s">
        <v>518</v>
      </c>
      <c r="C437" s="252" t="s">
        <v>3332</v>
      </c>
      <c r="D437" s="29" t="s">
        <v>695</v>
      </c>
      <c r="E437" s="29" t="s">
        <v>2050</v>
      </c>
      <c r="F437" s="251"/>
      <c r="G437" s="281"/>
      <c r="H437" s="27"/>
      <c r="I437" s="27"/>
      <c r="J437" s="257"/>
      <c r="K437" s="27" t="s">
        <v>2894</v>
      </c>
      <c r="L437" s="58">
        <v>1.6</v>
      </c>
      <c r="M437" s="58">
        <v>9.0990000000000002</v>
      </c>
      <c r="N437" s="130">
        <v>8.6349999999999998</v>
      </c>
      <c r="O437" s="28">
        <v>10.146000000000001</v>
      </c>
      <c r="P437" s="29">
        <v>10.670999999999999</v>
      </c>
      <c r="Q437" s="28">
        <v>11.497999999999999</v>
      </c>
      <c r="R437" s="28">
        <v>9.1579999999999995</v>
      </c>
      <c r="S437" s="28">
        <f t="shared" si="12"/>
        <v>9.8678333333333335</v>
      </c>
      <c r="T437" s="28">
        <f t="shared" si="13"/>
        <v>9.8678333333333335</v>
      </c>
      <c r="U437" s="266" t="b">
        <v>1</v>
      </c>
      <c r="V437" s="266" t="b">
        <v>0</v>
      </c>
      <c r="Z437"/>
    </row>
    <row r="438" spans="1:26" s="363" customFormat="1" ht="25.5">
      <c r="A438" s="27" t="s">
        <v>3539</v>
      </c>
      <c r="B438" s="27" t="s">
        <v>2284</v>
      </c>
      <c r="C438" s="252"/>
      <c r="D438" s="29" t="s">
        <v>2931</v>
      </c>
      <c r="E438" s="29" t="s">
        <v>2285</v>
      </c>
      <c r="F438" s="251">
        <v>40428</v>
      </c>
      <c r="G438" s="281" t="s">
        <v>2286</v>
      </c>
      <c r="H438" s="27" t="s">
        <v>3540</v>
      </c>
      <c r="I438" s="27"/>
      <c r="J438" s="257"/>
      <c r="K438" s="27" t="s">
        <v>2894</v>
      </c>
      <c r="L438" s="58">
        <v>1.4259999999999999</v>
      </c>
      <c r="M438" s="58">
        <v>6.8019999999999996</v>
      </c>
      <c r="N438" s="130">
        <v>6.9020000000000001</v>
      </c>
      <c r="O438" s="28">
        <v>7.6710000000000003</v>
      </c>
      <c r="P438" s="29">
        <v>6.1840000000000002</v>
      </c>
      <c r="Q438" s="28">
        <v>2.6850000000000001</v>
      </c>
      <c r="R438" s="28">
        <v>1.1830000000000001</v>
      </c>
      <c r="S438" s="28">
        <f t="shared" si="12"/>
        <v>5.2378333333333336</v>
      </c>
      <c r="T438" s="28">
        <f t="shared" si="13"/>
        <v>5.2378333333333336</v>
      </c>
      <c r="U438" s="266" t="b">
        <v>1</v>
      </c>
      <c r="V438" s="266" t="b">
        <v>0</v>
      </c>
      <c r="Z438"/>
    </row>
    <row r="439" spans="1:26" s="363" customFormat="1" ht="25.5">
      <c r="A439" s="261"/>
      <c r="B439" s="260" t="s">
        <v>4561</v>
      </c>
      <c r="C439" s="107"/>
      <c r="D439" s="260" t="s">
        <v>4560</v>
      </c>
      <c r="E439" s="107"/>
      <c r="F439" s="156">
        <v>41379</v>
      </c>
      <c r="G439" s="257"/>
      <c r="H439" s="107"/>
      <c r="I439" s="107"/>
      <c r="J439" s="107"/>
      <c r="K439" s="252" t="s">
        <v>1089</v>
      </c>
      <c r="L439" s="261">
        <v>1</v>
      </c>
      <c r="M439" s="107">
        <v>1.8520000000000001</v>
      </c>
      <c r="N439" s="107" t="s">
        <v>115</v>
      </c>
      <c r="O439" s="107" t="s">
        <v>115</v>
      </c>
      <c r="P439" s="107" t="s">
        <v>115</v>
      </c>
      <c r="Q439" s="107" t="s">
        <v>115</v>
      </c>
      <c r="R439" s="107" t="s">
        <v>115</v>
      </c>
      <c r="S439" s="28">
        <f t="shared" si="12"/>
        <v>1.8520000000000001</v>
      </c>
      <c r="T439" s="28">
        <f t="shared" si="13"/>
        <v>1.8520000000000001</v>
      </c>
      <c r="U439" s="107"/>
      <c r="V439" s="107"/>
      <c r="Z439"/>
    </row>
    <row r="440" spans="1:26" s="363" customFormat="1" ht="38.25">
      <c r="A440" s="252"/>
      <c r="B440" s="252" t="s">
        <v>3558</v>
      </c>
      <c r="C440" s="257"/>
      <c r="D440" s="260" t="s">
        <v>4580</v>
      </c>
      <c r="E440" s="181" t="s">
        <v>3559</v>
      </c>
      <c r="F440" s="251">
        <v>41914</v>
      </c>
      <c r="G440" s="200" t="s">
        <v>3635</v>
      </c>
      <c r="H440" s="252">
        <v>59359</v>
      </c>
      <c r="I440" s="252" t="s">
        <v>3701</v>
      </c>
      <c r="J440" s="257"/>
      <c r="K440" s="257" t="s">
        <v>1089</v>
      </c>
      <c r="L440" s="268">
        <v>1.5</v>
      </c>
      <c r="M440" s="107">
        <v>4.0030000000000001</v>
      </c>
      <c r="N440" s="32">
        <v>0.629</v>
      </c>
      <c r="O440" s="32"/>
      <c r="P440" s="32"/>
      <c r="Q440" s="253"/>
      <c r="R440" s="253"/>
      <c r="S440" s="28">
        <f t="shared" si="12"/>
        <v>2.3159999999999998</v>
      </c>
      <c r="T440" s="28">
        <f t="shared" si="13"/>
        <v>2.3159999999999998</v>
      </c>
      <c r="U440" s="266" t="b">
        <v>1</v>
      </c>
      <c r="V440" s="266" t="b">
        <v>0</v>
      </c>
      <c r="Z440"/>
    </row>
    <row r="441" spans="1:26" s="363" customFormat="1" ht="38.25">
      <c r="A441" s="252"/>
      <c r="B441" s="252" t="s">
        <v>3560</v>
      </c>
      <c r="C441" s="257"/>
      <c r="D441" s="260" t="s">
        <v>4581</v>
      </c>
      <c r="E441" s="181" t="s">
        <v>3561</v>
      </c>
      <c r="F441" s="251">
        <v>41914</v>
      </c>
      <c r="G441" s="200" t="s">
        <v>3636</v>
      </c>
      <c r="H441" s="252">
        <v>59360</v>
      </c>
      <c r="I441" s="252" t="s">
        <v>3702</v>
      </c>
      <c r="J441" s="257"/>
      <c r="K441" s="257" t="s">
        <v>1089</v>
      </c>
      <c r="L441" s="268">
        <v>1</v>
      </c>
      <c r="M441" s="107">
        <v>2.6640000000000001</v>
      </c>
      <c r="N441" s="32">
        <v>0.443</v>
      </c>
      <c r="O441" s="32"/>
      <c r="P441" s="32"/>
      <c r="Q441" s="253"/>
      <c r="R441" s="253"/>
      <c r="S441" s="28">
        <f t="shared" si="12"/>
        <v>1.5535000000000001</v>
      </c>
      <c r="T441" s="28">
        <f t="shared" si="13"/>
        <v>1.5535000000000001</v>
      </c>
      <c r="U441" s="266" t="b">
        <v>1</v>
      </c>
      <c r="V441" s="266" t="b">
        <v>0</v>
      </c>
      <c r="Z441"/>
    </row>
    <row r="442" spans="1:26" s="363" customFormat="1" ht="15">
      <c r="A442" s="252" t="s">
        <v>2884</v>
      </c>
      <c r="B442" s="256" t="s">
        <v>2879</v>
      </c>
      <c r="C442" s="252"/>
      <c r="D442" s="250" t="s">
        <v>3807</v>
      </c>
      <c r="E442" s="163" t="s">
        <v>2881</v>
      </c>
      <c r="F442" s="156">
        <v>42005</v>
      </c>
      <c r="G442" s="262" t="s">
        <v>3658</v>
      </c>
      <c r="H442" s="262">
        <v>59423</v>
      </c>
      <c r="I442" s="262" t="s">
        <v>3703</v>
      </c>
      <c r="J442" s="257" t="s">
        <v>2946</v>
      </c>
      <c r="K442" s="257" t="s">
        <v>1089</v>
      </c>
      <c r="L442" s="252">
        <v>1.5</v>
      </c>
      <c r="M442" s="258">
        <v>3.9989560000000002</v>
      </c>
      <c r="N442" s="144" t="s">
        <v>115</v>
      </c>
      <c r="O442" s="241" t="s">
        <v>115</v>
      </c>
      <c r="P442" s="253" t="s">
        <v>115</v>
      </c>
      <c r="Q442" s="254" t="s">
        <v>115</v>
      </c>
      <c r="R442" s="252" t="s">
        <v>115</v>
      </c>
      <c r="S442" s="28">
        <f t="shared" si="12"/>
        <v>3.9989560000000002</v>
      </c>
      <c r="T442" s="28">
        <f t="shared" si="13"/>
        <v>3.4821</v>
      </c>
      <c r="U442" s="266" t="b">
        <v>1</v>
      </c>
      <c r="V442" s="266" t="b">
        <v>0</v>
      </c>
      <c r="Z442"/>
    </row>
    <row r="443" spans="1:26" s="363" customFormat="1" ht="15">
      <c r="A443" s="252" t="s">
        <v>2884</v>
      </c>
      <c r="B443" s="256" t="s">
        <v>2880</v>
      </c>
      <c r="C443" s="252"/>
      <c r="D443" s="250" t="s">
        <v>3808</v>
      </c>
      <c r="E443" s="163" t="s">
        <v>2882</v>
      </c>
      <c r="F443" s="156">
        <v>42005</v>
      </c>
      <c r="G443" s="262" t="s">
        <v>3657</v>
      </c>
      <c r="H443" s="262">
        <v>59422</v>
      </c>
      <c r="I443" s="262"/>
      <c r="J443" s="257" t="s">
        <v>2946</v>
      </c>
      <c r="K443" s="257" t="s">
        <v>1089</v>
      </c>
      <c r="L443" s="252">
        <v>1.5</v>
      </c>
      <c r="M443" s="258">
        <v>3.9463439999999999</v>
      </c>
      <c r="N443" s="144" t="s">
        <v>115</v>
      </c>
      <c r="O443" s="241" t="s">
        <v>115</v>
      </c>
      <c r="P443" s="253" t="s">
        <v>115</v>
      </c>
      <c r="Q443" s="254" t="s">
        <v>115</v>
      </c>
      <c r="R443" s="252" t="s">
        <v>115</v>
      </c>
      <c r="S443" s="28">
        <f t="shared" si="12"/>
        <v>3.9463439999999999</v>
      </c>
      <c r="T443" s="28">
        <f t="shared" si="13"/>
        <v>3.4821</v>
      </c>
      <c r="U443" s="266" t="b">
        <v>1</v>
      </c>
      <c r="V443" s="266" t="b">
        <v>0</v>
      </c>
      <c r="Z443"/>
    </row>
    <row r="444" spans="1:26" s="363" customFormat="1" ht="15">
      <c r="A444" s="252" t="s">
        <v>2884</v>
      </c>
      <c r="B444" s="256" t="s">
        <v>4582</v>
      </c>
      <c r="C444" s="252"/>
      <c r="D444" s="250" t="s">
        <v>3809</v>
      </c>
      <c r="E444" s="163" t="s">
        <v>2883</v>
      </c>
      <c r="F444" s="156">
        <v>42005</v>
      </c>
      <c r="G444" s="262" t="s">
        <v>3659</v>
      </c>
      <c r="H444" s="354">
        <v>59421</v>
      </c>
      <c r="I444" s="262"/>
      <c r="J444" s="257" t="s">
        <v>2946</v>
      </c>
      <c r="K444" s="257" t="s">
        <v>1089</v>
      </c>
      <c r="L444" s="252">
        <v>1.5</v>
      </c>
      <c r="M444" s="258">
        <v>3.9958239999999998</v>
      </c>
      <c r="N444" s="144"/>
      <c r="O444" s="241"/>
      <c r="P444" s="253"/>
      <c r="Q444" s="254"/>
      <c r="R444" s="252"/>
      <c r="S444" s="28">
        <f t="shared" si="12"/>
        <v>0</v>
      </c>
      <c r="T444" s="28">
        <f t="shared" si="13"/>
        <v>0</v>
      </c>
      <c r="U444" s="266" t="b">
        <v>0</v>
      </c>
      <c r="V444" s="266" t="b">
        <v>0</v>
      </c>
      <c r="Z444"/>
    </row>
    <row r="445" spans="1:26" s="363" customFormat="1" ht="25.5">
      <c r="A445" s="27" t="s">
        <v>513</v>
      </c>
      <c r="B445" s="27" t="s">
        <v>2930</v>
      </c>
      <c r="C445" s="252" t="s">
        <v>3317</v>
      </c>
      <c r="D445" s="250" t="s">
        <v>653</v>
      </c>
      <c r="E445" s="250" t="s">
        <v>2178</v>
      </c>
      <c r="F445" s="251">
        <v>13881</v>
      </c>
      <c r="G445" s="281" t="s">
        <v>2177</v>
      </c>
      <c r="H445" s="27"/>
      <c r="I445" s="27"/>
      <c r="J445" s="257"/>
      <c r="K445" s="252" t="s">
        <v>3</v>
      </c>
      <c r="L445" s="58">
        <f>7.5+12.5+12.5</f>
        <v>32.5</v>
      </c>
      <c r="M445" s="58">
        <v>0.81634000000000007</v>
      </c>
      <c r="N445" s="130">
        <v>96.517170000000007</v>
      </c>
      <c r="O445" s="28">
        <v>134.92891999999998</v>
      </c>
      <c r="P445" s="29">
        <v>139.14440000000002</v>
      </c>
      <c r="Q445" s="28">
        <v>120.56106</v>
      </c>
      <c r="R445" s="28">
        <v>122.86008000000001</v>
      </c>
      <c r="S445" s="28">
        <f t="shared" si="12"/>
        <v>102.47132833333335</v>
      </c>
      <c r="T445" s="28">
        <f t="shared" si="13"/>
        <v>102.47132833333335</v>
      </c>
      <c r="U445" s="266" t="b">
        <v>1</v>
      </c>
      <c r="V445" s="266" t="b">
        <v>0</v>
      </c>
      <c r="Z445"/>
    </row>
    <row r="446" spans="1:26" s="363" customFormat="1" ht="25.5">
      <c r="A446" s="27"/>
      <c r="B446" s="27" t="s">
        <v>1478</v>
      </c>
      <c r="C446" s="252" t="s">
        <v>3313</v>
      </c>
      <c r="D446" s="250" t="s">
        <v>628</v>
      </c>
      <c r="E446" s="250"/>
      <c r="F446" s="43" t="s">
        <v>1159</v>
      </c>
      <c r="G446" s="27" t="s">
        <v>2555</v>
      </c>
      <c r="H446" s="27"/>
      <c r="I446" s="27"/>
      <c r="J446" s="257"/>
      <c r="K446" s="27" t="s">
        <v>7</v>
      </c>
      <c r="L446" s="58">
        <v>48</v>
      </c>
      <c r="M446" s="58">
        <v>322.274</v>
      </c>
      <c r="N446" s="130">
        <v>333.339</v>
      </c>
      <c r="O446" s="28">
        <v>342.858</v>
      </c>
      <c r="P446" s="29">
        <v>368.08499999999998</v>
      </c>
      <c r="Q446" s="28">
        <v>387.40199999999999</v>
      </c>
      <c r="R446" s="28">
        <v>393.59199999999998</v>
      </c>
      <c r="S446" s="28">
        <f t="shared" si="12"/>
        <v>357.92500000000001</v>
      </c>
      <c r="T446" s="28">
        <f t="shared" si="13"/>
        <v>357.92500000000001</v>
      </c>
      <c r="U446" s="266" t="b">
        <v>1</v>
      </c>
      <c r="V446" s="266" t="b">
        <v>0</v>
      </c>
      <c r="Z446"/>
    </row>
    <row r="447" spans="1:26" ht="15">
      <c r="A447" s="17"/>
      <c r="B447" s="17" t="s">
        <v>1876</v>
      </c>
      <c r="C447" s="131"/>
      <c r="D447" s="389" t="s">
        <v>1333</v>
      </c>
      <c r="E447" s="389"/>
      <c r="F447" s="131"/>
      <c r="G447" s="17" t="s">
        <v>2552</v>
      </c>
      <c r="H447" s="17"/>
      <c r="I447" s="17"/>
      <c r="J447" s="131"/>
      <c r="K447" s="17" t="s">
        <v>9</v>
      </c>
      <c r="L447" s="446">
        <v>4.38</v>
      </c>
      <c r="M447" s="446">
        <v>8.9020000000000002E-2</v>
      </c>
      <c r="N447" s="400">
        <v>1.27721</v>
      </c>
      <c r="O447" s="400" t="s">
        <v>115</v>
      </c>
      <c r="P447" s="400" t="s">
        <v>115</v>
      </c>
      <c r="Q447" s="399" t="s">
        <v>115</v>
      </c>
      <c r="R447" s="399" t="s">
        <v>115</v>
      </c>
      <c r="S447" s="28">
        <f t="shared" si="12"/>
        <v>0.68311500000000003</v>
      </c>
      <c r="T447" s="28">
        <f t="shared" si="13"/>
        <v>0.68311500000000003</v>
      </c>
      <c r="U447" s="397" t="b">
        <v>1</v>
      </c>
      <c r="V447" s="397" t="b">
        <v>0</v>
      </c>
      <c r="Z447"/>
    </row>
    <row r="448" spans="1:26" ht="25.5">
      <c r="A448" s="443" t="s">
        <v>66</v>
      </c>
      <c r="B448" s="443" t="s">
        <v>67</v>
      </c>
      <c r="C448" s="17" t="s">
        <v>3416</v>
      </c>
      <c r="D448" s="396" t="s">
        <v>629</v>
      </c>
      <c r="E448" s="396"/>
      <c r="F448" s="444">
        <v>31017</v>
      </c>
      <c r="G448" s="445"/>
      <c r="H448" s="443"/>
      <c r="I448" s="443"/>
      <c r="J448" s="131"/>
      <c r="K448" s="443" t="s">
        <v>1079</v>
      </c>
      <c r="L448" s="447">
        <v>13.8</v>
      </c>
      <c r="M448" s="447">
        <v>15.207000000000001</v>
      </c>
      <c r="N448" s="390">
        <v>10.883010000000001</v>
      </c>
      <c r="O448" s="133">
        <v>11.981999999999999</v>
      </c>
      <c r="P448" s="442">
        <v>14.709100000000001</v>
      </c>
      <c r="Q448" s="133">
        <v>14.055009999999999</v>
      </c>
      <c r="R448" s="133">
        <v>13.472</v>
      </c>
      <c r="S448" s="28">
        <f t="shared" si="12"/>
        <v>13.384686666666665</v>
      </c>
      <c r="T448" s="28">
        <f t="shared" si="13"/>
        <v>13.384686666666665</v>
      </c>
      <c r="U448" s="397" t="b">
        <v>1</v>
      </c>
      <c r="V448" s="397" t="b">
        <v>0</v>
      </c>
      <c r="Z448"/>
    </row>
    <row r="449" spans="1:26" ht="27" customHeight="1">
      <c r="A449" s="143" t="s">
        <v>66</v>
      </c>
      <c r="B449" s="143" t="s">
        <v>68</v>
      </c>
      <c r="C449" s="254" t="s">
        <v>3417</v>
      </c>
      <c r="D449" s="37" t="s">
        <v>630</v>
      </c>
      <c r="E449" s="254"/>
      <c r="F449" s="346">
        <v>31382</v>
      </c>
      <c r="G449" s="241"/>
      <c r="H449" s="241"/>
      <c r="I449" s="241"/>
      <c r="J449" s="134"/>
      <c r="K449" s="27" t="s">
        <v>1079</v>
      </c>
      <c r="L449" s="58">
        <v>30</v>
      </c>
      <c r="M449" s="58"/>
      <c r="N449" s="215">
        <v>9.1920599999999997</v>
      </c>
      <c r="O449" s="260">
        <v>34.283000000000001</v>
      </c>
      <c r="P449" s="347">
        <v>37.204999999999998</v>
      </c>
      <c r="Q449" s="347">
        <v>38.036000000000001</v>
      </c>
      <c r="R449" s="252">
        <v>34.686</v>
      </c>
      <c r="S449" s="28">
        <f t="shared" si="12"/>
        <v>0</v>
      </c>
      <c r="T449" s="28">
        <f t="shared" si="13"/>
        <v>0</v>
      </c>
      <c r="U449" s="266" t="b">
        <v>0</v>
      </c>
      <c r="V449" s="266" t="b">
        <v>0</v>
      </c>
      <c r="Z449"/>
    </row>
    <row r="450" spans="1:26" ht="27" customHeight="1">
      <c r="A450" s="143" t="s">
        <v>69</v>
      </c>
      <c r="B450" s="143" t="s">
        <v>70</v>
      </c>
      <c r="C450" s="254" t="s">
        <v>3351</v>
      </c>
      <c r="D450" s="37" t="s">
        <v>631</v>
      </c>
      <c r="E450" s="254"/>
      <c r="F450" s="346">
        <v>31747</v>
      </c>
      <c r="G450" s="241" t="s">
        <v>2556</v>
      </c>
      <c r="H450" s="241"/>
      <c r="I450" s="241"/>
      <c r="J450" s="134"/>
      <c r="K450" s="27" t="s">
        <v>1079</v>
      </c>
      <c r="L450" s="58">
        <v>34.200000000000003</v>
      </c>
      <c r="M450" s="58">
        <v>58.835000000000001</v>
      </c>
      <c r="N450" s="215">
        <v>58.533000000000001</v>
      </c>
      <c r="O450" s="260">
        <v>61.850999999999999</v>
      </c>
      <c r="P450" s="347">
        <v>70.933999999999997</v>
      </c>
      <c r="Q450" s="347">
        <v>81.495000000000005</v>
      </c>
      <c r="R450" s="252">
        <v>72.947999999999993</v>
      </c>
      <c r="S450" s="28">
        <f t="shared" si="12"/>
        <v>67.432666666666663</v>
      </c>
      <c r="T450" s="28">
        <f t="shared" si="13"/>
        <v>67.432666666666663</v>
      </c>
      <c r="U450" s="266" t="b">
        <v>1</v>
      </c>
      <c r="V450" s="266" t="b">
        <v>0</v>
      </c>
      <c r="Z450"/>
    </row>
    <row r="451" spans="1:26" ht="27" customHeight="1">
      <c r="A451" s="143" t="s">
        <v>69</v>
      </c>
      <c r="B451" s="143" t="s">
        <v>71</v>
      </c>
      <c r="C451" s="254" t="s">
        <v>3351</v>
      </c>
      <c r="D451" s="37" t="s">
        <v>632</v>
      </c>
      <c r="E451" s="254"/>
      <c r="F451" s="346">
        <v>31747</v>
      </c>
      <c r="G451" s="241" t="s">
        <v>2557</v>
      </c>
      <c r="H451" s="241"/>
      <c r="I451" s="241"/>
      <c r="J451" s="134"/>
      <c r="K451" s="27" t="s">
        <v>1079</v>
      </c>
      <c r="L451" s="58">
        <v>34.200000000000003</v>
      </c>
      <c r="M451" s="58">
        <v>59.28</v>
      </c>
      <c r="N451" s="215">
        <v>58.426000000000002</v>
      </c>
      <c r="O451" s="260">
        <v>63.137</v>
      </c>
      <c r="P451" s="347">
        <v>78.718000000000004</v>
      </c>
      <c r="Q451" s="347">
        <v>74.52400999999999</v>
      </c>
      <c r="R451" s="252">
        <v>75.893000000000001</v>
      </c>
      <c r="S451" s="28">
        <f t="shared" ref="S451:S514" si="14">IF(AND(U451,NOT(V451)),IFERROR(AVERAGE(M451:R451),0),0)</f>
        <v>68.329668333333345</v>
      </c>
      <c r="T451" s="28">
        <f t="shared" si="13"/>
        <v>68.329668333333345</v>
      </c>
      <c r="U451" s="266" t="b">
        <v>1</v>
      </c>
      <c r="V451" s="266" t="b">
        <v>0</v>
      </c>
      <c r="Z451"/>
    </row>
    <row r="452" spans="1:26" ht="27" customHeight="1">
      <c r="A452" s="143" t="s">
        <v>69</v>
      </c>
      <c r="B452" s="143" t="s">
        <v>72</v>
      </c>
      <c r="C452" s="254" t="s">
        <v>3352</v>
      </c>
      <c r="D452" s="37" t="s">
        <v>633</v>
      </c>
      <c r="E452" s="254"/>
      <c r="F452" s="346">
        <v>33157</v>
      </c>
      <c r="G452" s="241" t="s">
        <v>2558</v>
      </c>
      <c r="H452" s="241"/>
      <c r="I452" s="241"/>
      <c r="J452" s="134"/>
      <c r="K452" s="27" t="s">
        <v>1079</v>
      </c>
      <c r="L452" s="58">
        <v>92</v>
      </c>
      <c r="M452" s="58">
        <v>163.273</v>
      </c>
      <c r="N452" s="215">
        <v>159.80401999999998</v>
      </c>
      <c r="O452" s="260">
        <v>168.85599999999999</v>
      </c>
      <c r="P452" s="347">
        <v>224.45699999999999</v>
      </c>
      <c r="Q452" s="347">
        <v>222.196</v>
      </c>
      <c r="R452" s="252">
        <v>232.46299999999999</v>
      </c>
      <c r="S452" s="28">
        <f t="shared" si="14"/>
        <v>195.17483666666666</v>
      </c>
      <c r="T452" s="28">
        <f t="shared" si="13"/>
        <v>195.17483666666666</v>
      </c>
      <c r="U452" s="266" t="b">
        <v>1</v>
      </c>
      <c r="V452" s="266" t="b">
        <v>0</v>
      </c>
      <c r="Z452"/>
    </row>
    <row r="453" spans="1:26" ht="27" customHeight="1">
      <c r="A453" s="143" t="s">
        <v>69</v>
      </c>
      <c r="B453" s="143" t="s">
        <v>73</v>
      </c>
      <c r="C453" s="254" t="s">
        <v>3351</v>
      </c>
      <c r="D453" s="37" t="s">
        <v>634</v>
      </c>
      <c r="E453" s="254"/>
      <c r="F453" s="346">
        <v>32051</v>
      </c>
      <c r="G453" s="241" t="s">
        <v>2559</v>
      </c>
      <c r="H453" s="241"/>
      <c r="I453" s="241"/>
      <c r="J453" s="134"/>
      <c r="K453" s="27" t="s">
        <v>1079</v>
      </c>
      <c r="L453" s="58">
        <v>34.200000000000003</v>
      </c>
      <c r="M453" s="58">
        <v>58.631999999999998</v>
      </c>
      <c r="N453" s="215">
        <v>60.197000000000003</v>
      </c>
      <c r="O453" s="260">
        <v>62.533999999999999</v>
      </c>
      <c r="P453" s="347">
        <v>81.382000000000005</v>
      </c>
      <c r="Q453" s="347">
        <v>78.777000000000001</v>
      </c>
      <c r="R453" s="252">
        <v>67.02901</v>
      </c>
      <c r="S453" s="28">
        <f t="shared" si="14"/>
        <v>68.091835000000003</v>
      </c>
      <c r="T453" s="28">
        <f t="shared" ref="T453:T516" si="15">IF(AND(U453,NOT(V453)),IFERROR(IF(YEAR(F453)=2015,AVERAGE(N453:R453,VLOOKUP(K453,$Z$3:$AA$10,2,FALSE)*L453*8.76),AVERAGE(M453:R453)),0),0)</f>
        <v>68.091835000000003</v>
      </c>
      <c r="U453" s="266" t="b">
        <v>1</v>
      </c>
      <c r="V453" s="266" t="b">
        <v>0</v>
      </c>
      <c r="Z453"/>
    </row>
    <row r="454" spans="1:26" ht="27" customHeight="1">
      <c r="A454" s="143" t="s">
        <v>69</v>
      </c>
      <c r="B454" s="143" t="s">
        <v>74</v>
      </c>
      <c r="C454" s="254" t="s">
        <v>3351</v>
      </c>
      <c r="D454" s="37" t="s">
        <v>635</v>
      </c>
      <c r="E454" s="254"/>
      <c r="F454" s="346">
        <v>32478</v>
      </c>
      <c r="G454" s="241" t="s">
        <v>2560</v>
      </c>
      <c r="H454" s="241"/>
      <c r="I454" s="241"/>
      <c r="J454" s="134"/>
      <c r="K454" s="27" t="s">
        <v>1079</v>
      </c>
      <c r="L454" s="58">
        <v>35</v>
      </c>
      <c r="M454" s="58">
        <v>54.713999999999999</v>
      </c>
      <c r="N454" s="215">
        <v>55.826000000000001</v>
      </c>
      <c r="O454" s="260">
        <v>58.665999999999997</v>
      </c>
      <c r="P454" s="347">
        <v>78.628</v>
      </c>
      <c r="Q454" s="347">
        <v>83.768000000000001</v>
      </c>
      <c r="R454" s="252">
        <v>83.56</v>
      </c>
      <c r="S454" s="28">
        <f t="shared" si="14"/>
        <v>69.193666666666658</v>
      </c>
      <c r="T454" s="28">
        <f t="shared" si="15"/>
        <v>69.193666666666658</v>
      </c>
      <c r="U454" s="266" t="b">
        <v>1</v>
      </c>
      <c r="V454" s="266" t="b">
        <v>0</v>
      </c>
      <c r="Z454"/>
    </row>
    <row r="455" spans="1:26" ht="27" customHeight="1">
      <c r="A455" s="143" t="s">
        <v>69</v>
      </c>
      <c r="B455" s="143" t="s">
        <v>75</v>
      </c>
      <c r="C455" s="254" t="s">
        <v>3351</v>
      </c>
      <c r="D455" s="37" t="s">
        <v>636</v>
      </c>
      <c r="E455" s="254"/>
      <c r="F455" s="346">
        <v>32478</v>
      </c>
      <c r="G455" s="241" t="s">
        <v>2561</v>
      </c>
      <c r="H455" s="241"/>
      <c r="I455" s="241"/>
      <c r="J455" s="134"/>
      <c r="K455" s="27" t="s">
        <v>1079</v>
      </c>
      <c r="L455" s="58">
        <v>35</v>
      </c>
      <c r="M455" s="58">
        <v>47.454000000000001</v>
      </c>
      <c r="N455" s="215">
        <v>52.484999999999999</v>
      </c>
      <c r="O455" s="260">
        <v>54.472999999999999</v>
      </c>
      <c r="P455" s="347">
        <v>77.981999999999999</v>
      </c>
      <c r="Q455" s="347">
        <v>81.709000000000003</v>
      </c>
      <c r="R455" s="252">
        <v>78.463999999999999</v>
      </c>
      <c r="S455" s="28">
        <f t="shared" si="14"/>
        <v>65.427833333333325</v>
      </c>
      <c r="T455" s="28">
        <f t="shared" si="15"/>
        <v>65.427833333333325</v>
      </c>
      <c r="U455" s="266" t="b">
        <v>1</v>
      </c>
      <c r="V455" s="266" t="b">
        <v>0</v>
      </c>
      <c r="Z455"/>
    </row>
    <row r="456" spans="1:26" ht="27" customHeight="1">
      <c r="A456" s="143" t="s">
        <v>69</v>
      </c>
      <c r="B456" s="143" t="s">
        <v>76</v>
      </c>
      <c r="C456" s="254" t="s">
        <v>3352</v>
      </c>
      <c r="D456" s="37" t="s">
        <v>637</v>
      </c>
      <c r="E456" s="254"/>
      <c r="F456" s="346">
        <v>32843</v>
      </c>
      <c r="G456" s="241" t="s">
        <v>2562</v>
      </c>
      <c r="H456" s="241"/>
      <c r="I456" s="241"/>
      <c r="J456" s="134"/>
      <c r="K456" s="27" t="s">
        <v>1079</v>
      </c>
      <c r="L456" s="58">
        <v>92</v>
      </c>
      <c r="M456" s="58">
        <v>157.196</v>
      </c>
      <c r="N456" s="215">
        <v>159.03899999999999</v>
      </c>
      <c r="O456" s="260">
        <v>158.02600000000001</v>
      </c>
      <c r="P456" s="347">
        <v>202.14599999999999</v>
      </c>
      <c r="Q456" s="347">
        <v>214.01300000000001</v>
      </c>
      <c r="R456" s="252">
        <v>219.72</v>
      </c>
      <c r="S456" s="28">
        <f t="shared" si="14"/>
        <v>185.02333333333334</v>
      </c>
      <c r="T456" s="28">
        <f t="shared" si="15"/>
        <v>185.02333333333334</v>
      </c>
      <c r="U456" s="266" t="b">
        <v>1</v>
      </c>
      <c r="V456" s="266" t="b">
        <v>0</v>
      </c>
      <c r="Z456"/>
    </row>
    <row r="457" spans="1:26" ht="27" customHeight="1">
      <c r="A457" s="143" t="s">
        <v>1084</v>
      </c>
      <c r="B457" s="143" t="s">
        <v>1085</v>
      </c>
      <c r="C457" s="254"/>
      <c r="D457" s="37" t="s">
        <v>981</v>
      </c>
      <c r="E457" s="254"/>
      <c r="F457" s="346">
        <v>41022</v>
      </c>
      <c r="G457" s="241" t="s">
        <v>2563</v>
      </c>
      <c r="H457" s="241"/>
      <c r="I457" s="241"/>
      <c r="J457" s="134"/>
      <c r="K457" s="27" t="s">
        <v>1089</v>
      </c>
      <c r="L457" s="58">
        <v>2</v>
      </c>
      <c r="M457" s="58">
        <v>5.2409999999999997</v>
      </c>
      <c r="N457" s="215">
        <v>5.2409999999999997</v>
      </c>
      <c r="O457" s="260">
        <v>5.399</v>
      </c>
      <c r="P457" s="347" t="s">
        <v>115</v>
      </c>
      <c r="Q457" s="347" t="s">
        <v>115</v>
      </c>
      <c r="R457" s="252" t="s">
        <v>115</v>
      </c>
      <c r="S457" s="28">
        <f t="shared" si="14"/>
        <v>5.2936666666666667</v>
      </c>
      <c r="T457" s="28">
        <f t="shared" si="15"/>
        <v>5.2936666666666667</v>
      </c>
      <c r="U457" s="266" t="b">
        <v>1</v>
      </c>
      <c r="V457" s="266" t="b">
        <v>0</v>
      </c>
      <c r="Z457"/>
    </row>
    <row r="458" spans="1:26" ht="27" customHeight="1">
      <c r="A458" s="143" t="s">
        <v>1084</v>
      </c>
      <c r="B458" s="143" t="s">
        <v>1086</v>
      </c>
      <c r="C458" s="254"/>
      <c r="D458" s="37" t="s">
        <v>982</v>
      </c>
      <c r="E458" s="254"/>
      <c r="F458" s="346">
        <v>41061</v>
      </c>
      <c r="G458" s="241" t="s">
        <v>2564</v>
      </c>
      <c r="H458" s="241"/>
      <c r="I458" s="241"/>
      <c r="J458" s="134"/>
      <c r="K458" s="27" t="s">
        <v>1089</v>
      </c>
      <c r="L458" s="58">
        <v>2</v>
      </c>
      <c r="M458" s="58">
        <v>4.4939999999999998</v>
      </c>
      <c r="N458" s="215">
        <v>4.4939999999999998</v>
      </c>
      <c r="O458" s="260">
        <v>4.5579999999999998</v>
      </c>
      <c r="P458" s="347" t="s">
        <v>115</v>
      </c>
      <c r="Q458" s="347" t="s">
        <v>115</v>
      </c>
      <c r="R458" s="252" t="s">
        <v>115</v>
      </c>
      <c r="S458" s="28">
        <f t="shared" si="14"/>
        <v>4.5153333333333334</v>
      </c>
      <c r="T458" s="28">
        <f t="shared" si="15"/>
        <v>4.5153333333333334</v>
      </c>
      <c r="U458" s="266" t="b">
        <v>1</v>
      </c>
      <c r="V458" s="266" t="b">
        <v>0</v>
      </c>
      <c r="Z458"/>
    </row>
    <row r="459" spans="1:26" ht="27" customHeight="1">
      <c r="A459" s="143"/>
      <c r="B459" s="143" t="s">
        <v>4570</v>
      </c>
      <c r="C459" s="254"/>
      <c r="D459" s="37" t="s">
        <v>4569</v>
      </c>
      <c r="E459" s="254"/>
      <c r="F459" s="346">
        <v>41725</v>
      </c>
      <c r="G459" s="241"/>
      <c r="H459" s="241"/>
      <c r="I459" s="241"/>
      <c r="J459" s="134"/>
      <c r="K459" s="27" t="s">
        <v>1089</v>
      </c>
      <c r="L459" s="58">
        <v>4.5</v>
      </c>
      <c r="M459" s="58">
        <v>14.712999999999999</v>
      </c>
      <c r="N459" s="215">
        <v>8.7379999999999995</v>
      </c>
      <c r="O459" s="260" t="s">
        <v>115</v>
      </c>
      <c r="P459" s="347" t="s">
        <v>115</v>
      </c>
      <c r="Q459" s="347" t="s">
        <v>115</v>
      </c>
      <c r="R459" s="252" t="s">
        <v>115</v>
      </c>
      <c r="S459" s="28">
        <f t="shared" si="14"/>
        <v>11.7255</v>
      </c>
      <c r="T459" s="28">
        <f t="shared" si="15"/>
        <v>11.7255</v>
      </c>
      <c r="U459" s="266" t="b">
        <v>1</v>
      </c>
      <c r="V459" s="266" t="b">
        <v>0</v>
      </c>
      <c r="Z459"/>
    </row>
    <row r="460" spans="1:26" ht="27" customHeight="1">
      <c r="A460" s="143"/>
      <c r="B460" s="143" t="s">
        <v>4572</v>
      </c>
      <c r="C460" s="254"/>
      <c r="D460" s="37" t="s">
        <v>4571</v>
      </c>
      <c r="E460" s="254"/>
      <c r="F460" s="346">
        <v>41880</v>
      </c>
      <c r="G460" s="241"/>
      <c r="H460" s="241"/>
      <c r="I460" s="241"/>
      <c r="J460" s="134"/>
      <c r="K460" s="27" t="s">
        <v>1089</v>
      </c>
      <c r="L460" s="58">
        <v>3</v>
      </c>
      <c r="M460" s="58">
        <v>6.0279999999999996</v>
      </c>
      <c r="N460" s="215">
        <v>1.6539999999999999</v>
      </c>
      <c r="O460" s="260" t="s">
        <v>115</v>
      </c>
      <c r="P460" s="347" t="s">
        <v>115</v>
      </c>
      <c r="Q460" s="347" t="s">
        <v>115</v>
      </c>
      <c r="R460" s="252" t="s">
        <v>115</v>
      </c>
      <c r="S460" s="28">
        <f t="shared" si="14"/>
        <v>3.8409999999999997</v>
      </c>
      <c r="T460" s="28">
        <f t="shared" si="15"/>
        <v>3.8409999999999997</v>
      </c>
      <c r="U460" s="266" t="b">
        <v>1</v>
      </c>
      <c r="V460" s="266" t="b">
        <v>0</v>
      </c>
      <c r="Z460"/>
    </row>
    <row r="461" spans="1:26" ht="27" customHeight="1">
      <c r="A461" s="143"/>
      <c r="B461" s="143" t="s">
        <v>4574</v>
      </c>
      <c r="C461" s="254"/>
      <c r="D461" s="37" t="s">
        <v>4573</v>
      </c>
      <c r="E461" s="254"/>
      <c r="F461" s="346">
        <v>41852</v>
      </c>
      <c r="G461" s="241"/>
      <c r="H461" s="241"/>
      <c r="I461" s="241"/>
      <c r="J461" s="134"/>
      <c r="K461" s="27" t="s">
        <v>1089</v>
      </c>
      <c r="L461" s="58">
        <v>3</v>
      </c>
      <c r="M461" s="58">
        <v>6.0979999999999999</v>
      </c>
      <c r="N461" s="215">
        <v>2.33</v>
      </c>
      <c r="O461" s="260" t="s">
        <v>115</v>
      </c>
      <c r="P461" s="347" t="s">
        <v>115</v>
      </c>
      <c r="Q461" s="347" t="s">
        <v>115</v>
      </c>
      <c r="R461" s="252" t="s">
        <v>115</v>
      </c>
      <c r="S461" s="28">
        <f t="shared" si="14"/>
        <v>4.2140000000000004</v>
      </c>
      <c r="T461" s="28">
        <f t="shared" si="15"/>
        <v>4.2140000000000004</v>
      </c>
      <c r="U461" s="266" t="b">
        <v>1</v>
      </c>
      <c r="V461" s="266" t="b">
        <v>0</v>
      </c>
      <c r="Z461"/>
    </row>
    <row r="462" spans="1:26" ht="27" customHeight="1">
      <c r="A462" s="143" t="s">
        <v>3244</v>
      </c>
      <c r="B462" s="143" t="s">
        <v>3245</v>
      </c>
      <c r="C462" s="254"/>
      <c r="D462" s="37" t="s">
        <v>3773</v>
      </c>
      <c r="E462" s="254" t="s">
        <v>3247</v>
      </c>
      <c r="F462" s="346">
        <v>42324</v>
      </c>
      <c r="G462" s="241" t="s">
        <v>5127</v>
      </c>
      <c r="H462" s="241"/>
      <c r="I462" s="241"/>
      <c r="J462" s="134"/>
      <c r="K462" s="27" t="s">
        <v>1089</v>
      </c>
      <c r="L462" s="58">
        <v>20</v>
      </c>
      <c r="M462" s="58">
        <v>0.25811000000000001</v>
      </c>
      <c r="N462" s="215" t="s">
        <v>115</v>
      </c>
      <c r="O462" s="260" t="s">
        <v>115</v>
      </c>
      <c r="P462" s="347" t="s">
        <v>115</v>
      </c>
      <c r="Q462" s="347" t="s">
        <v>115</v>
      </c>
      <c r="R462" s="252" t="s">
        <v>115</v>
      </c>
      <c r="S462" s="28">
        <f t="shared" si="14"/>
        <v>0.25811000000000001</v>
      </c>
      <c r="T462" s="28">
        <f t="shared" si="15"/>
        <v>46.428000000000004</v>
      </c>
      <c r="U462" s="266" t="b">
        <v>1</v>
      </c>
      <c r="V462" s="266" t="b">
        <v>0</v>
      </c>
      <c r="Z462"/>
    </row>
    <row r="463" spans="1:26" ht="27" customHeight="1">
      <c r="A463" s="143" t="s">
        <v>3244</v>
      </c>
      <c r="B463" s="143" t="s">
        <v>3246</v>
      </c>
      <c r="C463" s="254"/>
      <c r="D463" s="37" t="s">
        <v>3774</v>
      </c>
      <c r="E463" s="254" t="s">
        <v>3248</v>
      </c>
      <c r="F463" s="346">
        <v>42339</v>
      </c>
      <c r="G463" s="241" t="s">
        <v>1970</v>
      </c>
      <c r="H463" s="241"/>
      <c r="I463" s="241"/>
      <c r="J463" s="134"/>
      <c r="K463" s="27" t="s">
        <v>1089</v>
      </c>
      <c r="L463" s="58">
        <v>30</v>
      </c>
      <c r="M463" s="58">
        <v>0.69211</v>
      </c>
      <c r="N463" s="215" t="s">
        <v>115</v>
      </c>
      <c r="O463" s="260" t="s">
        <v>115</v>
      </c>
      <c r="P463" s="347" t="s">
        <v>115</v>
      </c>
      <c r="Q463" s="347" t="s">
        <v>115</v>
      </c>
      <c r="R463" s="252" t="s">
        <v>115</v>
      </c>
      <c r="S463" s="28">
        <f t="shared" si="14"/>
        <v>0.69211</v>
      </c>
      <c r="T463" s="28">
        <f t="shared" si="15"/>
        <v>69.641999999999996</v>
      </c>
      <c r="U463" s="266" t="b">
        <v>1</v>
      </c>
      <c r="V463" s="266" t="b">
        <v>0</v>
      </c>
      <c r="Z463"/>
    </row>
    <row r="464" spans="1:26" ht="27" customHeight="1">
      <c r="A464" s="143" t="s">
        <v>1574</v>
      </c>
      <c r="B464" s="143" t="s">
        <v>1573</v>
      </c>
      <c r="C464" s="254" t="s">
        <v>1622</v>
      </c>
      <c r="D464" s="37" t="s">
        <v>1294</v>
      </c>
      <c r="E464" s="254" t="s">
        <v>2873</v>
      </c>
      <c r="F464" s="346">
        <v>42158</v>
      </c>
      <c r="G464" s="241" t="s">
        <v>2607</v>
      </c>
      <c r="H464" s="241"/>
      <c r="I464" s="241"/>
      <c r="J464" s="134" t="s">
        <v>1571</v>
      </c>
      <c r="K464" s="27" t="s">
        <v>1089</v>
      </c>
      <c r="L464" s="58">
        <v>19.98</v>
      </c>
      <c r="M464" s="58">
        <v>34.34404</v>
      </c>
      <c r="N464" s="215" t="s">
        <v>115</v>
      </c>
      <c r="O464" s="260" t="s">
        <v>115</v>
      </c>
      <c r="P464" s="347" t="s">
        <v>115</v>
      </c>
      <c r="Q464" s="347" t="s">
        <v>115</v>
      </c>
      <c r="R464" s="252" t="s">
        <v>115</v>
      </c>
      <c r="S464" s="28">
        <f t="shared" si="14"/>
        <v>34.34404</v>
      </c>
      <c r="T464" s="28">
        <f t="shared" si="15"/>
        <v>46.381572000000006</v>
      </c>
      <c r="U464" s="266" t="b">
        <v>1</v>
      </c>
      <c r="V464" s="266" t="b">
        <v>0</v>
      </c>
      <c r="Z464"/>
    </row>
    <row r="465" spans="1:26" ht="27" customHeight="1">
      <c r="A465" s="143"/>
      <c r="B465" s="143" t="s">
        <v>1877</v>
      </c>
      <c r="C465" s="254"/>
      <c r="D465" s="37" t="s">
        <v>1351</v>
      </c>
      <c r="E465" s="254" t="s">
        <v>4915</v>
      </c>
      <c r="F465" s="346"/>
      <c r="G465" s="241" t="s">
        <v>2287</v>
      </c>
      <c r="H465" s="241"/>
      <c r="I465" s="241"/>
      <c r="J465" s="134"/>
      <c r="K465" s="27" t="s">
        <v>9</v>
      </c>
      <c r="L465" s="58">
        <v>150</v>
      </c>
      <c r="M465" s="58">
        <v>417.39262000000002</v>
      </c>
      <c r="N465" s="215">
        <v>397.31256000000002</v>
      </c>
      <c r="O465" s="260" t="s">
        <v>115</v>
      </c>
      <c r="P465" s="347" t="s">
        <v>115</v>
      </c>
      <c r="Q465" s="347" t="s">
        <v>115</v>
      </c>
      <c r="R465" s="252" t="s">
        <v>115</v>
      </c>
      <c r="S465" s="28">
        <f t="shared" si="14"/>
        <v>407.35259000000002</v>
      </c>
      <c r="T465" s="28">
        <f t="shared" si="15"/>
        <v>407.35259000000002</v>
      </c>
      <c r="U465" s="266" t="b">
        <v>1</v>
      </c>
      <c r="V465" s="266" t="b">
        <v>0</v>
      </c>
      <c r="Z465"/>
    </row>
    <row r="466" spans="1:26" ht="27" customHeight="1">
      <c r="A466" s="143"/>
      <c r="B466" s="143" t="s">
        <v>1878</v>
      </c>
      <c r="C466" s="254"/>
      <c r="D466" s="37" t="s">
        <v>1429</v>
      </c>
      <c r="E466" s="254" t="s">
        <v>4916</v>
      </c>
      <c r="F466" s="346"/>
      <c r="G466" s="241" t="s">
        <v>2288</v>
      </c>
      <c r="H466" s="241"/>
      <c r="I466" s="241"/>
      <c r="J466" s="134"/>
      <c r="K466" s="27" t="s">
        <v>9</v>
      </c>
      <c r="L466" s="58">
        <v>102.5</v>
      </c>
      <c r="M466" s="58">
        <v>275.37299999999999</v>
      </c>
      <c r="N466" s="215">
        <v>271.62053000000003</v>
      </c>
      <c r="O466" s="260" t="s">
        <v>115</v>
      </c>
      <c r="P466" s="347" t="s">
        <v>115</v>
      </c>
      <c r="Q466" s="347" t="s">
        <v>115</v>
      </c>
      <c r="R466" s="252" t="s">
        <v>115</v>
      </c>
      <c r="S466" s="28">
        <f t="shared" si="14"/>
        <v>273.49676499999998</v>
      </c>
      <c r="T466" s="28">
        <f t="shared" si="15"/>
        <v>273.49676499999998</v>
      </c>
      <c r="U466" s="266" t="b">
        <v>1</v>
      </c>
      <c r="V466" s="266" t="b">
        <v>0</v>
      </c>
      <c r="Z466"/>
    </row>
    <row r="467" spans="1:26" ht="27" customHeight="1">
      <c r="A467" s="143"/>
      <c r="B467" s="143" t="s">
        <v>1879</v>
      </c>
      <c r="C467" s="254"/>
      <c r="D467" s="37" t="s">
        <v>1430</v>
      </c>
      <c r="E467" s="254" t="s">
        <v>4918</v>
      </c>
      <c r="F467" s="346"/>
      <c r="G467" s="241" t="s">
        <v>2289</v>
      </c>
      <c r="H467" s="241"/>
      <c r="I467" s="241"/>
      <c r="J467" s="134"/>
      <c r="K467" s="27" t="s">
        <v>9</v>
      </c>
      <c r="L467" s="58">
        <v>102.5</v>
      </c>
      <c r="M467" s="58">
        <v>300.76477</v>
      </c>
      <c r="N467" s="215">
        <v>256.88056</v>
      </c>
      <c r="O467" s="260" t="s">
        <v>115</v>
      </c>
      <c r="P467" s="347" t="s">
        <v>115</v>
      </c>
      <c r="Q467" s="347" t="s">
        <v>115</v>
      </c>
      <c r="R467" s="252" t="s">
        <v>115</v>
      </c>
      <c r="S467" s="28">
        <f t="shared" si="14"/>
        <v>278.82266500000003</v>
      </c>
      <c r="T467" s="28">
        <f t="shared" si="15"/>
        <v>278.82266500000003</v>
      </c>
      <c r="U467" s="266" t="b">
        <v>1</v>
      </c>
      <c r="V467" s="266" t="b">
        <v>0</v>
      </c>
      <c r="Z467"/>
    </row>
    <row r="468" spans="1:26" ht="27" customHeight="1">
      <c r="A468" s="143"/>
      <c r="B468" s="143" t="s">
        <v>1880</v>
      </c>
      <c r="C468" s="254"/>
      <c r="D468" s="37" t="s">
        <v>1389</v>
      </c>
      <c r="E468" s="254" t="s">
        <v>4917</v>
      </c>
      <c r="F468" s="346"/>
      <c r="G468" s="241" t="s">
        <v>2290</v>
      </c>
      <c r="H468" s="241"/>
      <c r="I468" s="241"/>
      <c r="J468" s="134"/>
      <c r="K468" s="27" t="s">
        <v>9</v>
      </c>
      <c r="L468" s="58">
        <v>150</v>
      </c>
      <c r="M468" s="58">
        <v>412.93741999999997</v>
      </c>
      <c r="N468" s="215">
        <v>405.33434</v>
      </c>
      <c r="O468" s="260" t="s">
        <v>115</v>
      </c>
      <c r="P468" s="347" t="s">
        <v>115</v>
      </c>
      <c r="Q468" s="347" t="s">
        <v>115</v>
      </c>
      <c r="R468" s="252" t="s">
        <v>115</v>
      </c>
      <c r="S468" s="28">
        <f t="shared" si="14"/>
        <v>409.13587999999999</v>
      </c>
      <c r="T468" s="28">
        <f t="shared" si="15"/>
        <v>409.13587999999999</v>
      </c>
      <c r="U468" s="266" t="b">
        <v>1</v>
      </c>
      <c r="V468" s="266" t="b">
        <v>0</v>
      </c>
      <c r="Z468"/>
    </row>
    <row r="469" spans="1:26" ht="27" customHeight="1">
      <c r="A469" s="143" t="s">
        <v>2992</v>
      </c>
      <c r="B469" s="143" t="s">
        <v>1131</v>
      </c>
      <c r="C469" s="254"/>
      <c r="D469" s="37" t="s">
        <v>1128</v>
      </c>
      <c r="E469" s="254" t="s">
        <v>2821</v>
      </c>
      <c r="F469" s="346" t="s">
        <v>1121</v>
      </c>
      <c r="G469" s="241"/>
      <c r="H469" s="241"/>
      <c r="I469" s="241"/>
      <c r="J469" s="134" t="s">
        <v>2983</v>
      </c>
      <c r="K469" s="27" t="s">
        <v>1089</v>
      </c>
      <c r="L469" s="58">
        <f>0.927+0.593+0.374</f>
        <v>1.8940000000000001</v>
      </c>
      <c r="M469" s="58">
        <v>1.6240000000000001</v>
      </c>
      <c r="N469" s="215">
        <v>1.6240000000000001</v>
      </c>
      <c r="O469" s="260">
        <v>1.6240000000000001</v>
      </c>
      <c r="P469" s="347">
        <v>1.6240000000000001</v>
      </c>
      <c r="Q469" s="347" t="s">
        <v>115</v>
      </c>
      <c r="R469" s="252" t="s">
        <v>115</v>
      </c>
      <c r="S469" s="28">
        <f t="shared" si="14"/>
        <v>1.6240000000000001</v>
      </c>
      <c r="T469" s="28">
        <f t="shared" si="15"/>
        <v>1.6240000000000001</v>
      </c>
      <c r="U469" s="266" t="b">
        <v>1</v>
      </c>
      <c r="V469" s="266" t="b">
        <v>0</v>
      </c>
      <c r="Z469"/>
    </row>
    <row r="470" spans="1:26" ht="27" customHeight="1">
      <c r="A470" s="143"/>
      <c r="B470" s="143" t="s">
        <v>4579</v>
      </c>
      <c r="C470" s="254"/>
      <c r="D470" s="37" t="s">
        <v>4578</v>
      </c>
      <c r="E470" s="254"/>
      <c r="F470" s="346">
        <v>41275</v>
      </c>
      <c r="G470" s="241"/>
      <c r="H470" s="241"/>
      <c r="I470" s="241"/>
      <c r="J470" s="134"/>
      <c r="K470" s="27" t="s">
        <v>1089</v>
      </c>
      <c r="L470" s="58">
        <v>2</v>
      </c>
      <c r="M470" s="58">
        <v>2.3940000000000001</v>
      </c>
      <c r="N470" s="215">
        <v>2.6459999999999999</v>
      </c>
      <c r="O470" s="260">
        <v>3.0779999999999998</v>
      </c>
      <c r="P470" s="347">
        <v>2.3570000000000002</v>
      </c>
      <c r="Q470" s="347">
        <v>2.6360000000000001</v>
      </c>
      <c r="R470" s="252">
        <v>2.669</v>
      </c>
      <c r="S470" s="28">
        <f t="shared" si="14"/>
        <v>2.6300000000000003</v>
      </c>
      <c r="T470" s="28">
        <f t="shared" si="15"/>
        <v>2.6300000000000003</v>
      </c>
      <c r="U470" s="266" t="b">
        <v>1</v>
      </c>
      <c r="V470" s="266" t="b">
        <v>0</v>
      </c>
      <c r="Z470"/>
    </row>
    <row r="471" spans="1:26" ht="27" customHeight="1">
      <c r="A471" s="143" t="s">
        <v>3243</v>
      </c>
      <c r="B471" s="143" t="s">
        <v>3930</v>
      </c>
      <c r="C471" s="254"/>
      <c r="D471" s="37" t="s">
        <v>3810</v>
      </c>
      <c r="E471" s="254"/>
      <c r="F471" s="346">
        <v>42277</v>
      </c>
      <c r="G471" s="241" t="s">
        <v>3589</v>
      </c>
      <c r="H471" s="241"/>
      <c r="I471" s="241"/>
      <c r="J471" s="134"/>
      <c r="K471" s="27" t="s">
        <v>1089</v>
      </c>
      <c r="L471" s="58">
        <v>20</v>
      </c>
      <c r="M471" s="58">
        <v>4.6291000000000002</v>
      </c>
      <c r="N471" s="215" t="s">
        <v>115</v>
      </c>
      <c r="O471" s="260" t="s">
        <v>115</v>
      </c>
      <c r="P471" s="347" t="s">
        <v>115</v>
      </c>
      <c r="Q471" s="347" t="s">
        <v>115</v>
      </c>
      <c r="R471" s="252" t="s">
        <v>115</v>
      </c>
      <c r="S471" s="28">
        <f t="shared" si="14"/>
        <v>4.6291000000000002</v>
      </c>
      <c r="T471" s="28">
        <f t="shared" si="15"/>
        <v>46.428000000000004</v>
      </c>
      <c r="U471" s="266" t="b">
        <v>1</v>
      </c>
      <c r="V471" s="266" t="b">
        <v>0</v>
      </c>
      <c r="Z471"/>
    </row>
    <row r="472" spans="1:26" ht="27" customHeight="1">
      <c r="A472" s="143" t="s">
        <v>529</v>
      </c>
      <c r="B472" s="143" t="s">
        <v>530</v>
      </c>
      <c r="C472" s="254" t="s">
        <v>3319</v>
      </c>
      <c r="D472" s="37" t="s">
        <v>639</v>
      </c>
      <c r="E472" s="254"/>
      <c r="F472" s="346">
        <v>40016</v>
      </c>
      <c r="G472" s="241"/>
      <c r="H472" s="241"/>
      <c r="I472" s="241"/>
      <c r="J472" s="134" t="s">
        <v>5020</v>
      </c>
      <c r="K472" s="27" t="s">
        <v>1079</v>
      </c>
      <c r="L472" s="58">
        <v>7.5</v>
      </c>
      <c r="M472" s="58"/>
      <c r="N472" s="215"/>
      <c r="O472" s="260"/>
      <c r="P472" s="347"/>
      <c r="Q472" s="347"/>
      <c r="R472" s="252"/>
      <c r="S472" s="28">
        <f t="shared" si="14"/>
        <v>0</v>
      </c>
      <c r="T472" s="28">
        <f t="shared" si="15"/>
        <v>0</v>
      </c>
      <c r="U472" s="266" t="b">
        <v>0</v>
      </c>
      <c r="V472" s="266" t="b">
        <v>0</v>
      </c>
      <c r="Z472"/>
    </row>
    <row r="473" spans="1:26" ht="27" customHeight="1">
      <c r="A473" s="143" t="s">
        <v>45</v>
      </c>
      <c r="B473" s="143" t="s">
        <v>955</v>
      </c>
      <c r="C473" s="254" t="s">
        <v>3425</v>
      </c>
      <c r="D473" s="37" t="s">
        <v>640</v>
      </c>
      <c r="E473" s="254"/>
      <c r="F473" s="346">
        <v>38322</v>
      </c>
      <c r="G473" s="241" t="s">
        <v>2571</v>
      </c>
      <c r="H473" s="241"/>
      <c r="I473" s="241"/>
      <c r="J473" s="134"/>
      <c r="K473" s="27" t="s">
        <v>2894</v>
      </c>
      <c r="L473" s="58">
        <v>2.7</v>
      </c>
      <c r="M473" s="58">
        <v>16.224</v>
      </c>
      <c r="N473" s="215">
        <v>13.976000000000001</v>
      </c>
      <c r="O473" s="260">
        <v>14.769</v>
      </c>
      <c r="P473" s="347">
        <v>13.257999999999999</v>
      </c>
      <c r="Q473" s="347">
        <v>15.991</v>
      </c>
      <c r="R473" s="252">
        <v>13.297000000000001</v>
      </c>
      <c r="S473" s="28">
        <f t="shared" si="14"/>
        <v>14.585833333333333</v>
      </c>
      <c r="T473" s="28">
        <f t="shared" si="15"/>
        <v>14.585833333333333</v>
      </c>
      <c r="U473" s="266" t="b">
        <v>1</v>
      </c>
      <c r="V473" s="266" t="b">
        <v>0</v>
      </c>
      <c r="Z473"/>
    </row>
    <row r="474" spans="1:26" ht="27" customHeight="1">
      <c r="A474" s="143" t="s">
        <v>1701</v>
      </c>
      <c r="B474" s="143" t="s">
        <v>4919</v>
      </c>
      <c r="C474" s="254" t="s">
        <v>1703</v>
      </c>
      <c r="D474" s="37" t="s">
        <v>3916</v>
      </c>
      <c r="E474" s="254" t="s">
        <v>2874</v>
      </c>
      <c r="F474" s="346">
        <v>42139</v>
      </c>
      <c r="G474" s="241" t="s">
        <v>2604</v>
      </c>
      <c r="H474" s="241"/>
      <c r="I474" s="241"/>
      <c r="J474" s="134"/>
      <c r="K474" s="27" t="s">
        <v>1089</v>
      </c>
      <c r="L474" s="58">
        <v>20</v>
      </c>
      <c r="M474" s="58">
        <v>29.62604</v>
      </c>
      <c r="N474" s="215" t="s">
        <v>115</v>
      </c>
      <c r="O474" s="260" t="s">
        <v>115</v>
      </c>
      <c r="P474" s="347" t="s">
        <v>115</v>
      </c>
      <c r="Q474" s="347" t="s">
        <v>115</v>
      </c>
      <c r="R474" s="252" t="s">
        <v>115</v>
      </c>
      <c r="S474" s="28">
        <f t="shared" si="14"/>
        <v>29.62604</v>
      </c>
      <c r="T474" s="28">
        <f t="shared" si="15"/>
        <v>46.428000000000004</v>
      </c>
      <c r="U474" s="266" t="b">
        <v>1</v>
      </c>
      <c r="V474" s="266" t="b">
        <v>0</v>
      </c>
      <c r="Z474"/>
    </row>
    <row r="475" spans="1:26" ht="27" customHeight="1">
      <c r="A475" s="143"/>
      <c r="B475" s="143" t="s">
        <v>1881</v>
      </c>
      <c r="C475" s="254"/>
      <c r="D475" s="37" t="s">
        <v>1329</v>
      </c>
      <c r="E475" s="254" t="s">
        <v>2587</v>
      </c>
      <c r="F475" s="346"/>
      <c r="G475" s="241" t="s">
        <v>2588</v>
      </c>
      <c r="H475" s="241"/>
      <c r="I475" s="241"/>
      <c r="J475" s="134"/>
      <c r="K475" s="27" t="s">
        <v>9</v>
      </c>
      <c r="L475" s="58">
        <v>76.95</v>
      </c>
      <c r="M475" s="58">
        <v>130.59020000000001</v>
      </c>
      <c r="N475" s="215">
        <v>174.45699999999999</v>
      </c>
      <c r="O475" s="260" t="s">
        <v>115</v>
      </c>
      <c r="P475" s="347" t="s">
        <v>115</v>
      </c>
      <c r="Q475" s="347" t="s">
        <v>115</v>
      </c>
      <c r="R475" s="252" t="s">
        <v>115</v>
      </c>
      <c r="S475" s="28">
        <f t="shared" si="14"/>
        <v>152.52359999999999</v>
      </c>
      <c r="T475" s="28">
        <f t="shared" si="15"/>
        <v>152.52359999999999</v>
      </c>
      <c r="U475" s="266" t="b">
        <v>1</v>
      </c>
      <c r="V475" s="266" t="b">
        <v>0</v>
      </c>
      <c r="Z475"/>
    </row>
    <row r="476" spans="1:26" ht="27" customHeight="1">
      <c r="A476" s="143" t="s">
        <v>78</v>
      </c>
      <c r="B476" s="143" t="s">
        <v>92</v>
      </c>
      <c r="C476" s="254" t="s">
        <v>3344</v>
      </c>
      <c r="D476" s="37" t="s">
        <v>641</v>
      </c>
      <c r="E476" s="254"/>
      <c r="F476" s="346" t="s">
        <v>1148</v>
      </c>
      <c r="G476" s="241" t="s">
        <v>2202</v>
      </c>
      <c r="H476" s="241"/>
      <c r="I476" s="241"/>
      <c r="J476" s="134"/>
      <c r="K476" s="27" t="s">
        <v>7</v>
      </c>
      <c r="L476" s="58">
        <v>120</v>
      </c>
      <c r="M476" s="58">
        <v>283.43203000000005</v>
      </c>
      <c r="N476" s="215">
        <v>392.46499999999997</v>
      </c>
      <c r="O476" s="260">
        <v>374.88600000000002</v>
      </c>
      <c r="P476" s="347">
        <v>339.54809999999998</v>
      </c>
      <c r="Q476" s="347">
        <v>372.387</v>
      </c>
      <c r="R476" s="252">
        <v>381.77300000000002</v>
      </c>
      <c r="S476" s="28">
        <f t="shared" si="14"/>
        <v>357.41518833333333</v>
      </c>
      <c r="T476" s="28">
        <f t="shared" si="15"/>
        <v>357.41518833333333</v>
      </c>
      <c r="U476" s="266" t="b">
        <v>1</v>
      </c>
      <c r="V476" s="266" t="b">
        <v>0</v>
      </c>
      <c r="Z476"/>
    </row>
    <row r="477" spans="1:26" ht="27" customHeight="1">
      <c r="A477" s="143" t="s">
        <v>1978</v>
      </c>
      <c r="B477" s="143" t="s">
        <v>2993</v>
      </c>
      <c r="C477" s="254"/>
      <c r="D477" s="37" t="s">
        <v>4019</v>
      </c>
      <c r="E477" s="254" t="s">
        <v>1979</v>
      </c>
      <c r="F477" s="346">
        <v>41578</v>
      </c>
      <c r="G477" s="241" t="s">
        <v>1970</v>
      </c>
      <c r="H477" s="241">
        <v>58621</v>
      </c>
      <c r="I477" s="241"/>
      <c r="J477" s="134" t="s">
        <v>2946</v>
      </c>
      <c r="K477" s="27" t="s">
        <v>1089</v>
      </c>
      <c r="L477" s="58">
        <v>20</v>
      </c>
      <c r="M477" s="58">
        <v>51.79</v>
      </c>
      <c r="N477" s="215">
        <v>52.322000000000003</v>
      </c>
      <c r="O477" s="260">
        <v>3.927</v>
      </c>
      <c r="P477" s="347"/>
      <c r="Q477" s="347"/>
      <c r="R477" s="252"/>
      <c r="S477" s="28">
        <f t="shared" si="14"/>
        <v>36.012999999999998</v>
      </c>
      <c r="T477" s="28">
        <f t="shared" si="15"/>
        <v>36.012999999999998</v>
      </c>
      <c r="U477" s="266" t="b">
        <v>1</v>
      </c>
      <c r="V477" s="266" t="b">
        <v>0</v>
      </c>
      <c r="Z477"/>
    </row>
    <row r="478" spans="1:26" ht="27" customHeight="1">
      <c r="A478" s="143"/>
      <c r="B478" s="143" t="s">
        <v>1882</v>
      </c>
      <c r="C478" s="254"/>
      <c r="D478" s="37" t="s">
        <v>1350</v>
      </c>
      <c r="E478" s="254"/>
      <c r="F478" s="346"/>
      <c r="G478" s="241"/>
      <c r="H478" s="241"/>
      <c r="I478" s="241"/>
      <c r="J478" s="134"/>
      <c r="K478" s="27" t="s">
        <v>9</v>
      </c>
      <c r="L478" s="58">
        <v>102.18</v>
      </c>
      <c r="M478" s="58">
        <v>212.78131999999999</v>
      </c>
      <c r="N478" s="215">
        <v>211.35915</v>
      </c>
      <c r="O478" s="260" t="s">
        <v>115</v>
      </c>
      <c r="P478" s="347" t="s">
        <v>115</v>
      </c>
      <c r="Q478" s="347" t="s">
        <v>115</v>
      </c>
      <c r="R478" s="252" t="s">
        <v>115</v>
      </c>
      <c r="S478" s="28">
        <f t="shared" si="14"/>
        <v>212.070235</v>
      </c>
      <c r="T478" s="28">
        <f t="shared" si="15"/>
        <v>212.070235</v>
      </c>
      <c r="U478" s="266" t="b">
        <v>1</v>
      </c>
      <c r="V478" s="266" t="b">
        <v>0</v>
      </c>
      <c r="Z478"/>
    </row>
    <row r="479" spans="1:26" ht="27" customHeight="1">
      <c r="A479" s="143"/>
      <c r="B479" s="143" t="s">
        <v>1883</v>
      </c>
      <c r="C479" s="254"/>
      <c r="D479" s="37" t="s">
        <v>1349</v>
      </c>
      <c r="E479" s="254"/>
      <c r="F479" s="346"/>
      <c r="G479" s="241"/>
      <c r="H479" s="241"/>
      <c r="I479" s="241"/>
      <c r="J479" s="134"/>
      <c r="K479" s="27" t="s">
        <v>9</v>
      </c>
      <c r="L479" s="58">
        <v>128</v>
      </c>
      <c r="M479" s="58">
        <v>357.54115999999999</v>
      </c>
      <c r="N479" s="215">
        <v>350.99221</v>
      </c>
      <c r="O479" s="260" t="s">
        <v>115</v>
      </c>
      <c r="P479" s="347" t="s">
        <v>115</v>
      </c>
      <c r="Q479" s="347" t="s">
        <v>115</v>
      </c>
      <c r="R479" s="252" t="s">
        <v>115</v>
      </c>
      <c r="S479" s="28">
        <f t="shared" si="14"/>
        <v>354.266685</v>
      </c>
      <c r="T479" s="28">
        <f t="shared" si="15"/>
        <v>354.266685</v>
      </c>
      <c r="U479" s="266" t="b">
        <v>1</v>
      </c>
      <c r="V479" s="266" t="b">
        <v>0</v>
      </c>
      <c r="Z479"/>
    </row>
    <row r="480" spans="1:26" ht="27" customHeight="1">
      <c r="A480" s="143" t="s">
        <v>1014</v>
      </c>
      <c r="B480" s="143" t="s">
        <v>1559</v>
      </c>
      <c r="C480" s="254" t="s">
        <v>1628</v>
      </c>
      <c r="D480" s="37" t="s">
        <v>1015</v>
      </c>
      <c r="E480" s="254"/>
      <c r="F480" s="346">
        <v>41548</v>
      </c>
      <c r="G480" s="241" t="s">
        <v>3684</v>
      </c>
      <c r="H480" s="241"/>
      <c r="I480" s="241"/>
      <c r="J480" s="134"/>
      <c r="K480" s="27" t="s">
        <v>1089</v>
      </c>
      <c r="L480" s="58">
        <v>318</v>
      </c>
      <c r="M480" s="58">
        <v>865.18799999999999</v>
      </c>
      <c r="N480" s="215">
        <v>350.43400000000003</v>
      </c>
      <c r="O480" s="260"/>
      <c r="P480" s="347" t="s">
        <v>115</v>
      </c>
      <c r="Q480" s="347" t="s">
        <v>115</v>
      </c>
      <c r="R480" s="252" t="s">
        <v>115</v>
      </c>
      <c r="S480" s="28">
        <f t="shared" si="14"/>
        <v>607.81100000000004</v>
      </c>
      <c r="T480" s="28">
        <f t="shared" si="15"/>
        <v>607.81100000000004</v>
      </c>
      <c r="U480" s="266" t="b">
        <v>1</v>
      </c>
      <c r="V480" s="266" t="b">
        <v>0</v>
      </c>
      <c r="Z480"/>
    </row>
    <row r="481" spans="1:26" ht="27" customHeight="1">
      <c r="A481" s="143" t="s">
        <v>1014</v>
      </c>
      <c r="B481" s="143" t="s">
        <v>1560</v>
      </c>
      <c r="C481" s="254" t="s">
        <v>1629</v>
      </c>
      <c r="D481" s="37" t="s">
        <v>1016</v>
      </c>
      <c r="E481" s="254"/>
      <c r="F481" s="346">
        <v>41548</v>
      </c>
      <c r="G481" s="241" t="s">
        <v>3685</v>
      </c>
      <c r="H481" s="241"/>
      <c r="I481" s="241"/>
      <c r="J481" s="134"/>
      <c r="K481" s="27" t="s">
        <v>1089</v>
      </c>
      <c r="L481" s="58">
        <v>279</v>
      </c>
      <c r="M481" s="58">
        <v>798.40200000000004</v>
      </c>
      <c r="N481" s="215">
        <v>392.88600000000002</v>
      </c>
      <c r="O481" s="260"/>
      <c r="P481" s="347" t="s">
        <v>115</v>
      </c>
      <c r="Q481" s="347" t="s">
        <v>115</v>
      </c>
      <c r="R481" s="252" t="s">
        <v>115</v>
      </c>
      <c r="S481" s="28">
        <f t="shared" si="14"/>
        <v>595.64400000000001</v>
      </c>
      <c r="T481" s="28">
        <f t="shared" si="15"/>
        <v>595.64400000000001</v>
      </c>
      <c r="U481" s="266" t="b">
        <v>1</v>
      </c>
      <c r="V481" s="266" t="b">
        <v>0</v>
      </c>
      <c r="Z481"/>
    </row>
    <row r="482" spans="1:26" ht="27" customHeight="1">
      <c r="A482" s="143"/>
      <c r="B482" s="143" t="s">
        <v>4584</v>
      </c>
      <c r="C482" s="254"/>
      <c r="D482" s="37" t="s">
        <v>4583</v>
      </c>
      <c r="E482" s="254"/>
      <c r="F482" s="346">
        <v>41638</v>
      </c>
      <c r="G482" s="241"/>
      <c r="H482" s="241"/>
      <c r="I482" s="241"/>
      <c r="J482" s="134"/>
      <c r="K482" s="27" t="s">
        <v>1089</v>
      </c>
      <c r="L482" s="58">
        <v>1</v>
      </c>
      <c r="M482" s="58">
        <v>2.6379999999999999</v>
      </c>
      <c r="N482" s="215" t="s">
        <v>115</v>
      </c>
      <c r="O482" s="260" t="s">
        <v>115</v>
      </c>
      <c r="P482" s="347" t="s">
        <v>115</v>
      </c>
      <c r="Q482" s="347" t="s">
        <v>115</v>
      </c>
      <c r="R482" s="252" t="s">
        <v>115</v>
      </c>
      <c r="S482" s="28">
        <f t="shared" si="14"/>
        <v>2.6379999999999999</v>
      </c>
      <c r="T482" s="28">
        <f t="shared" si="15"/>
        <v>2.6379999999999999</v>
      </c>
      <c r="U482" s="266" t="b">
        <v>1</v>
      </c>
      <c r="V482" s="266" t="b">
        <v>0</v>
      </c>
      <c r="Z482"/>
    </row>
    <row r="483" spans="1:26" ht="27" customHeight="1">
      <c r="A483" s="143" t="s">
        <v>78</v>
      </c>
      <c r="B483" s="143" t="s">
        <v>100</v>
      </c>
      <c r="C483" s="254" t="s">
        <v>3345</v>
      </c>
      <c r="D483" s="37" t="s">
        <v>642</v>
      </c>
      <c r="E483" s="254"/>
      <c r="F483" s="346" t="s">
        <v>1154</v>
      </c>
      <c r="G483" s="241" t="s">
        <v>2202</v>
      </c>
      <c r="H483" s="241"/>
      <c r="I483" s="241"/>
      <c r="J483" s="134"/>
      <c r="K483" s="27" t="s">
        <v>7</v>
      </c>
      <c r="L483" s="58">
        <v>78</v>
      </c>
      <c r="M483" s="58">
        <v>270.29000000000002</v>
      </c>
      <c r="N483" s="215">
        <v>318.27199999999999</v>
      </c>
      <c r="O483" s="260">
        <v>332.40800000000002</v>
      </c>
      <c r="P483" s="347">
        <v>324.75900000000001</v>
      </c>
      <c r="Q483" s="347">
        <v>304.221</v>
      </c>
      <c r="R483" s="252">
        <v>309.05099999999999</v>
      </c>
      <c r="S483" s="28">
        <f t="shared" si="14"/>
        <v>309.83350000000002</v>
      </c>
      <c r="T483" s="28">
        <f t="shared" si="15"/>
        <v>309.83350000000002</v>
      </c>
      <c r="U483" s="266" t="b">
        <v>1</v>
      </c>
      <c r="V483" s="266" t="b">
        <v>0</v>
      </c>
      <c r="Z483"/>
    </row>
    <row r="484" spans="1:26" ht="27" customHeight="1">
      <c r="A484" s="143" t="s">
        <v>2994</v>
      </c>
      <c r="B484" s="143" t="s">
        <v>1055</v>
      </c>
      <c r="C484" s="254" t="s">
        <v>3428</v>
      </c>
      <c r="D484" s="37" t="s">
        <v>1054</v>
      </c>
      <c r="E484" s="254" t="s">
        <v>2197</v>
      </c>
      <c r="F484" s="346" t="s">
        <v>1123</v>
      </c>
      <c r="G484" s="241" t="s">
        <v>2196</v>
      </c>
      <c r="H484" s="241"/>
      <c r="I484" s="241"/>
      <c r="J484" s="134"/>
      <c r="K484" s="27" t="s">
        <v>1089</v>
      </c>
      <c r="L484" s="58">
        <v>1.5</v>
      </c>
      <c r="M484" s="58">
        <v>3.7839999999999998</v>
      </c>
      <c r="N484" s="215">
        <v>3.7509999999999999</v>
      </c>
      <c r="O484" s="260"/>
      <c r="P484" s="347" t="s">
        <v>115</v>
      </c>
      <c r="Q484" s="347" t="s">
        <v>115</v>
      </c>
      <c r="R484" s="252" t="s">
        <v>115</v>
      </c>
      <c r="S484" s="28">
        <f t="shared" si="14"/>
        <v>3.7675000000000001</v>
      </c>
      <c r="T484" s="28">
        <f t="shared" si="15"/>
        <v>3.7675000000000001</v>
      </c>
      <c r="U484" s="266" t="b">
        <v>1</v>
      </c>
      <c r="V484" s="266" t="b">
        <v>0</v>
      </c>
      <c r="Z484"/>
    </row>
    <row r="485" spans="1:26" ht="27" customHeight="1">
      <c r="A485" s="143" t="s">
        <v>1535</v>
      </c>
      <c r="B485" s="143" t="s">
        <v>1537</v>
      </c>
      <c r="C485" s="254"/>
      <c r="D485" s="37" t="s">
        <v>1396</v>
      </c>
      <c r="E485" s="254" t="s">
        <v>2822</v>
      </c>
      <c r="F485" s="346">
        <v>41969</v>
      </c>
      <c r="G485" s="241" t="s">
        <v>3736</v>
      </c>
      <c r="H485" s="241"/>
      <c r="I485" s="241"/>
      <c r="J485" s="134"/>
      <c r="K485" s="27" t="s">
        <v>1089</v>
      </c>
      <c r="L485" s="58">
        <v>50</v>
      </c>
      <c r="M485" s="58">
        <v>140.84399999999999</v>
      </c>
      <c r="N485" s="215"/>
      <c r="O485" s="260" t="s">
        <v>115</v>
      </c>
      <c r="P485" s="347" t="s">
        <v>115</v>
      </c>
      <c r="Q485" s="347" t="s">
        <v>115</v>
      </c>
      <c r="R485" s="252" t="s">
        <v>115</v>
      </c>
      <c r="S485" s="28">
        <f t="shared" si="14"/>
        <v>140.84399999999999</v>
      </c>
      <c r="T485" s="28">
        <f t="shared" si="15"/>
        <v>140.84399999999999</v>
      </c>
      <c r="U485" s="266" t="b">
        <v>1</v>
      </c>
      <c r="V485" s="266" t="b">
        <v>0</v>
      </c>
      <c r="Z485"/>
    </row>
    <row r="486" spans="1:26" ht="27" customHeight="1">
      <c r="A486" s="143" t="s">
        <v>516</v>
      </c>
      <c r="B486" s="143" t="s">
        <v>517</v>
      </c>
      <c r="C486" s="254"/>
      <c r="D486" s="37" t="s">
        <v>643</v>
      </c>
      <c r="E486" s="254" t="s">
        <v>1963</v>
      </c>
      <c r="F486" s="346">
        <v>37438</v>
      </c>
      <c r="G486" s="241"/>
      <c r="H486" s="241"/>
      <c r="I486" s="241"/>
      <c r="J486" s="134"/>
      <c r="K486" s="27" t="s">
        <v>1177</v>
      </c>
      <c r="L486" s="58">
        <v>2.1</v>
      </c>
      <c r="M486" s="58">
        <v>7.976</v>
      </c>
      <c r="N486" s="215">
        <v>11.115</v>
      </c>
      <c r="O486" s="260">
        <v>8.6210000000000004</v>
      </c>
      <c r="P486" s="347">
        <v>7.2649999999999997</v>
      </c>
      <c r="Q486" s="347">
        <v>3.4369999999999998</v>
      </c>
      <c r="R486" s="252">
        <v>1E-4</v>
      </c>
      <c r="S486" s="28">
        <f t="shared" si="14"/>
        <v>6.4023500000000011</v>
      </c>
      <c r="T486" s="28">
        <f t="shared" si="15"/>
        <v>6.4023500000000011</v>
      </c>
      <c r="U486" s="266" t="b">
        <v>1</v>
      </c>
      <c r="V486" s="266" t="b">
        <v>0</v>
      </c>
      <c r="Z486"/>
    </row>
    <row r="487" spans="1:26" ht="27" customHeight="1">
      <c r="A487" s="143" t="s">
        <v>516</v>
      </c>
      <c r="B487" s="143" t="s">
        <v>1135</v>
      </c>
      <c r="C487" s="254"/>
      <c r="D487" s="37" t="s">
        <v>1134</v>
      </c>
      <c r="E487" s="254" t="s">
        <v>1964</v>
      </c>
      <c r="F487" s="346" t="s">
        <v>1121</v>
      </c>
      <c r="G487" s="241"/>
      <c r="H487" s="241"/>
      <c r="I487" s="241"/>
      <c r="J487" s="134" t="s">
        <v>2946</v>
      </c>
      <c r="K487" s="27" t="s">
        <v>1089</v>
      </c>
      <c r="L487" s="58">
        <v>2</v>
      </c>
      <c r="M487" s="58">
        <v>3.2429999999999999</v>
      </c>
      <c r="N487" s="215">
        <v>3.2429999999999999</v>
      </c>
      <c r="O487" s="260">
        <v>3.2429999999999999</v>
      </c>
      <c r="P487" s="347">
        <v>3.2429999999999999</v>
      </c>
      <c r="Q487" s="347" t="s">
        <v>115</v>
      </c>
      <c r="R487" s="252" t="s">
        <v>115</v>
      </c>
      <c r="S487" s="28">
        <f t="shared" si="14"/>
        <v>3.2429999999999999</v>
      </c>
      <c r="T487" s="28">
        <f t="shared" si="15"/>
        <v>3.2429999999999999</v>
      </c>
      <c r="U487" s="266" t="b">
        <v>1</v>
      </c>
      <c r="V487" s="266" t="b">
        <v>0</v>
      </c>
      <c r="Z487"/>
    </row>
    <row r="488" spans="1:26" ht="27" customHeight="1">
      <c r="A488" s="143" t="s">
        <v>48</v>
      </c>
      <c r="B488" s="143" t="s">
        <v>49</v>
      </c>
      <c r="C488" s="254" t="s">
        <v>3309</v>
      </c>
      <c r="D488" s="37" t="s">
        <v>644</v>
      </c>
      <c r="E488" s="254">
        <v>60288</v>
      </c>
      <c r="F488" s="346">
        <v>33332</v>
      </c>
      <c r="G488" s="241" t="s">
        <v>2479</v>
      </c>
      <c r="H488" s="241"/>
      <c r="I488" s="241"/>
      <c r="J488" s="134"/>
      <c r="K488" s="27" t="s">
        <v>2894</v>
      </c>
      <c r="L488" s="58">
        <v>10.6</v>
      </c>
      <c r="M488" s="58">
        <v>21.923029999999997</v>
      </c>
      <c r="N488" s="215">
        <v>31.132000000000001</v>
      </c>
      <c r="O488" s="260">
        <v>34.548000000000002</v>
      </c>
      <c r="P488" s="347">
        <v>35.962000000000003</v>
      </c>
      <c r="Q488" s="347">
        <v>40.716000000000001</v>
      </c>
      <c r="R488" s="252">
        <v>41.057000000000002</v>
      </c>
      <c r="S488" s="28">
        <f t="shared" si="14"/>
        <v>34.223005000000001</v>
      </c>
      <c r="T488" s="28">
        <f t="shared" si="15"/>
        <v>34.223005000000001</v>
      </c>
      <c r="U488" s="266" t="b">
        <v>1</v>
      </c>
      <c r="V488" s="266" t="b">
        <v>0</v>
      </c>
      <c r="Z488"/>
    </row>
    <row r="489" spans="1:26" ht="27" customHeight="1">
      <c r="A489" s="143" t="s">
        <v>17</v>
      </c>
      <c r="B489" s="143" t="s">
        <v>2109</v>
      </c>
      <c r="C489" s="254" t="s">
        <v>3384</v>
      </c>
      <c r="D489" s="37" t="s">
        <v>638</v>
      </c>
      <c r="E489" s="254"/>
      <c r="F489" s="346" t="s">
        <v>2110</v>
      </c>
      <c r="G489" s="241"/>
      <c r="H489" s="241"/>
      <c r="I489" s="241"/>
      <c r="J489" s="134"/>
      <c r="K489" s="27" t="s">
        <v>3</v>
      </c>
      <c r="L489" s="58">
        <v>4</v>
      </c>
      <c r="M489" s="58">
        <v>12.973000000000001</v>
      </c>
      <c r="N489" s="215">
        <v>25.532</v>
      </c>
      <c r="O489" s="260">
        <v>26.5</v>
      </c>
      <c r="P489" s="347">
        <v>31.931000000000001</v>
      </c>
      <c r="Q489" s="347">
        <v>26.600999999999999</v>
      </c>
      <c r="R489" s="252">
        <v>28.661000000000001</v>
      </c>
      <c r="S489" s="28">
        <f t="shared" si="14"/>
        <v>25.36633333333333</v>
      </c>
      <c r="T489" s="28">
        <f t="shared" si="15"/>
        <v>0</v>
      </c>
      <c r="U489" s="266" t="b">
        <v>1</v>
      </c>
      <c r="V489" s="266" t="b">
        <v>0</v>
      </c>
      <c r="Z489"/>
    </row>
    <row r="490" spans="1:26" ht="27" customHeight="1">
      <c r="A490" s="143" t="s">
        <v>17</v>
      </c>
      <c r="B490" s="143" t="s">
        <v>34</v>
      </c>
      <c r="C490" s="254" t="s">
        <v>3385</v>
      </c>
      <c r="D490" s="37" t="s">
        <v>645</v>
      </c>
      <c r="E490" s="254" t="s">
        <v>2291</v>
      </c>
      <c r="F490" s="346">
        <v>31686</v>
      </c>
      <c r="G490" s="241" t="s">
        <v>3689</v>
      </c>
      <c r="H490" s="241"/>
      <c r="I490" s="241"/>
      <c r="J490" s="134"/>
      <c r="K490" s="27" t="s">
        <v>3</v>
      </c>
      <c r="L490" s="58">
        <v>20</v>
      </c>
      <c r="M490" s="58">
        <v>102.282</v>
      </c>
      <c r="N490" s="215">
        <v>112.714</v>
      </c>
      <c r="O490" s="260">
        <v>111</v>
      </c>
      <c r="P490" s="347">
        <v>115.474</v>
      </c>
      <c r="Q490" s="347">
        <v>107.503</v>
      </c>
      <c r="R490" s="252">
        <v>112.249</v>
      </c>
      <c r="S490" s="28">
        <f t="shared" si="14"/>
        <v>110.20366666666666</v>
      </c>
      <c r="T490" s="28">
        <f t="shared" si="15"/>
        <v>110.20366666666666</v>
      </c>
      <c r="U490" s="266" t="b">
        <v>1</v>
      </c>
      <c r="V490" s="266" t="b">
        <v>0</v>
      </c>
      <c r="Z490"/>
    </row>
    <row r="491" spans="1:26" ht="27" customHeight="1">
      <c r="A491" s="143" t="s">
        <v>17</v>
      </c>
      <c r="B491" s="143" t="s">
        <v>18</v>
      </c>
      <c r="C491" s="254" t="s">
        <v>3386</v>
      </c>
      <c r="D491" s="37" t="s">
        <v>646</v>
      </c>
      <c r="E491" s="254" t="s">
        <v>2292</v>
      </c>
      <c r="F491" s="346">
        <v>31686</v>
      </c>
      <c r="G491" s="241" t="s">
        <v>3689</v>
      </c>
      <c r="H491" s="241"/>
      <c r="I491" s="241"/>
      <c r="J491" s="134"/>
      <c r="K491" s="27" t="s">
        <v>3</v>
      </c>
      <c r="L491" s="58">
        <v>19.2</v>
      </c>
      <c r="M491" s="58">
        <v>96.305000000000007</v>
      </c>
      <c r="N491" s="215">
        <v>112.94</v>
      </c>
      <c r="O491" s="260">
        <v>104.548</v>
      </c>
      <c r="P491" s="347">
        <v>107.706</v>
      </c>
      <c r="Q491" s="347">
        <v>88.863</v>
      </c>
      <c r="R491" s="252">
        <v>116.46899999999999</v>
      </c>
      <c r="S491" s="28">
        <f t="shared" si="14"/>
        <v>104.47183333333334</v>
      </c>
      <c r="T491" s="28">
        <f t="shared" si="15"/>
        <v>104.47183333333334</v>
      </c>
      <c r="U491" s="266" t="b">
        <v>1</v>
      </c>
      <c r="V491" s="266" t="b">
        <v>0</v>
      </c>
      <c r="Z491"/>
    </row>
    <row r="492" spans="1:26" ht="27" customHeight="1">
      <c r="A492" s="143" t="s">
        <v>17</v>
      </c>
      <c r="B492" s="143" t="s">
        <v>1479</v>
      </c>
      <c r="C492" s="254" t="s">
        <v>3387</v>
      </c>
      <c r="D492" s="37" t="s">
        <v>647</v>
      </c>
      <c r="E492" s="254" t="s">
        <v>2293</v>
      </c>
      <c r="F492" s="346">
        <v>31747</v>
      </c>
      <c r="G492" s="241" t="s">
        <v>3689</v>
      </c>
      <c r="H492" s="241"/>
      <c r="I492" s="241"/>
      <c r="J492" s="134"/>
      <c r="K492" s="27" t="s">
        <v>3</v>
      </c>
      <c r="L492" s="58">
        <v>20</v>
      </c>
      <c r="M492" s="58">
        <v>139.589</v>
      </c>
      <c r="N492" s="215">
        <v>154.917</v>
      </c>
      <c r="O492" s="260">
        <v>157.19800000000001</v>
      </c>
      <c r="P492" s="347">
        <v>190.459</v>
      </c>
      <c r="Q492" s="347">
        <v>178.809</v>
      </c>
      <c r="R492" s="252">
        <v>135.523</v>
      </c>
      <c r="S492" s="28">
        <f t="shared" si="14"/>
        <v>159.41583333333332</v>
      </c>
      <c r="T492" s="28">
        <f t="shared" si="15"/>
        <v>159.41583333333332</v>
      </c>
      <c r="U492" s="266" t="b">
        <v>1</v>
      </c>
      <c r="V492" s="266" t="b">
        <v>0</v>
      </c>
      <c r="Z492"/>
    </row>
    <row r="493" spans="1:26" ht="27" customHeight="1">
      <c r="A493" s="143" t="s">
        <v>17</v>
      </c>
      <c r="B493" s="143" t="s">
        <v>920</v>
      </c>
      <c r="C493" s="254" t="s">
        <v>3388</v>
      </c>
      <c r="D493" s="37" t="s">
        <v>921</v>
      </c>
      <c r="E493" s="254" t="s">
        <v>2294</v>
      </c>
      <c r="F493" s="346">
        <v>40909</v>
      </c>
      <c r="G493" s="241" t="s">
        <v>3689</v>
      </c>
      <c r="H493" s="241"/>
      <c r="I493" s="241"/>
      <c r="J493" s="134"/>
      <c r="K493" s="27" t="s">
        <v>3</v>
      </c>
      <c r="L493" s="58">
        <v>7.5</v>
      </c>
      <c r="M493" s="58">
        <v>31.574000000000002</v>
      </c>
      <c r="N493" s="215">
        <v>31.501000000000001</v>
      </c>
      <c r="O493" s="260">
        <v>26.33</v>
      </c>
      <c r="P493" s="347">
        <v>28.542999999999999</v>
      </c>
      <c r="Q493" s="347" t="s">
        <v>115</v>
      </c>
      <c r="R493" s="252" t="s">
        <v>115</v>
      </c>
      <c r="S493" s="28">
        <f t="shared" si="14"/>
        <v>29.487000000000002</v>
      </c>
      <c r="T493" s="28">
        <f t="shared" si="15"/>
        <v>29.487000000000002</v>
      </c>
      <c r="U493" s="266" t="b">
        <v>1</v>
      </c>
      <c r="V493" s="266" t="b">
        <v>0</v>
      </c>
      <c r="Z493"/>
    </row>
    <row r="494" spans="1:26" ht="27" customHeight="1">
      <c r="A494" s="143" t="s">
        <v>17</v>
      </c>
      <c r="B494" s="143" t="s">
        <v>2834</v>
      </c>
      <c r="C494" s="254" t="s">
        <v>1749</v>
      </c>
      <c r="D494" s="37" t="s">
        <v>3824</v>
      </c>
      <c r="E494" s="254" t="s">
        <v>2835</v>
      </c>
      <c r="F494" s="346">
        <v>42202</v>
      </c>
      <c r="G494" s="241" t="s">
        <v>3689</v>
      </c>
      <c r="H494" s="241">
        <v>59658</v>
      </c>
      <c r="I494" s="241"/>
      <c r="J494" s="134"/>
      <c r="K494" s="27" t="s">
        <v>3</v>
      </c>
      <c r="L494" s="58">
        <v>30.15</v>
      </c>
      <c r="M494" s="58">
        <v>36.715060000000001</v>
      </c>
      <c r="N494" s="215" t="s">
        <v>115</v>
      </c>
      <c r="O494" s="260" t="s">
        <v>115</v>
      </c>
      <c r="P494" s="347" t="s">
        <v>115</v>
      </c>
      <c r="Q494" s="347" t="s">
        <v>115</v>
      </c>
      <c r="R494" s="252" t="s">
        <v>115</v>
      </c>
      <c r="S494" s="28">
        <f t="shared" si="14"/>
        <v>36.715060000000001</v>
      </c>
      <c r="T494" s="28">
        <f t="shared" si="15"/>
        <v>171.67410000000001</v>
      </c>
      <c r="U494" s="266" t="b">
        <v>1</v>
      </c>
      <c r="V494" s="266" t="b">
        <v>0</v>
      </c>
      <c r="Z494"/>
    </row>
    <row r="495" spans="1:26" ht="27" customHeight="1">
      <c r="A495" s="143" t="s">
        <v>1098</v>
      </c>
      <c r="B495" s="143" t="s">
        <v>876</v>
      </c>
      <c r="C495" s="254" t="s">
        <v>3295</v>
      </c>
      <c r="D495" s="37" t="s">
        <v>885</v>
      </c>
      <c r="E495" s="254" t="s">
        <v>4902</v>
      </c>
      <c r="F495" s="346">
        <v>41334</v>
      </c>
      <c r="G495" s="241" t="s">
        <v>2105</v>
      </c>
      <c r="H495" s="241"/>
      <c r="I495" s="241"/>
      <c r="J495" s="134"/>
      <c r="K495" s="27" t="s">
        <v>1089</v>
      </c>
      <c r="L495" s="58">
        <v>52.72</v>
      </c>
      <c r="M495" s="58">
        <v>132.685</v>
      </c>
      <c r="N495" s="215">
        <v>134.446</v>
      </c>
      <c r="O495" s="260">
        <v>127.82299999999999</v>
      </c>
      <c r="P495" s="347" t="s">
        <v>115</v>
      </c>
      <c r="Q495" s="347" t="s">
        <v>115</v>
      </c>
      <c r="R495" s="252" t="s">
        <v>115</v>
      </c>
      <c r="S495" s="28">
        <f t="shared" si="14"/>
        <v>131.65133333333333</v>
      </c>
      <c r="T495" s="28">
        <f t="shared" si="15"/>
        <v>131.65133333333333</v>
      </c>
      <c r="U495" s="266" t="b">
        <v>1</v>
      </c>
      <c r="V495" s="266" t="b">
        <v>0</v>
      </c>
      <c r="Z495"/>
    </row>
    <row r="496" spans="1:26" ht="27" customHeight="1">
      <c r="A496" s="143" t="s">
        <v>1098</v>
      </c>
      <c r="B496" s="143" t="s">
        <v>875</v>
      </c>
      <c r="C496" s="254" t="s">
        <v>3296</v>
      </c>
      <c r="D496" s="37" t="s">
        <v>886</v>
      </c>
      <c r="E496" s="254" t="s">
        <v>4901</v>
      </c>
      <c r="F496" s="346">
        <v>41325</v>
      </c>
      <c r="G496" s="241" t="s">
        <v>2106</v>
      </c>
      <c r="H496" s="241"/>
      <c r="I496" s="241"/>
      <c r="J496" s="134"/>
      <c r="K496" s="27" t="s">
        <v>1089</v>
      </c>
      <c r="L496" s="58">
        <v>20</v>
      </c>
      <c r="M496" s="58">
        <v>50.567999999999998</v>
      </c>
      <c r="N496" s="215">
        <v>53.53</v>
      </c>
      <c r="O496" s="260">
        <v>51.667000000000002</v>
      </c>
      <c r="P496" s="347" t="s">
        <v>115</v>
      </c>
      <c r="Q496" s="347" t="s">
        <v>115</v>
      </c>
      <c r="R496" s="252" t="s">
        <v>115</v>
      </c>
      <c r="S496" s="28">
        <f t="shared" si="14"/>
        <v>51.92166666666666</v>
      </c>
      <c r="T496" s="28">
        <f t="shared" si="15"/>
        <v>51.92166666666666</v>
      </c>
      <c r="U496" s="266" t="b">
        <v>1</v>
      </c>
      <c r="V496" s="266" t="b">
        <v>0</v>
      </c>
      <c r="Z496"/>
    </row>
    <row r="497" spans="1:26" ht="27" customHeight="1">
      <c r="A497" s="143" t="s">
        <v>663</v>
      </c>
      <c r="B497" s="143" t="s">
        <v>814</v>
      </c>
      <c r="C497" s="254" t="s">
        <v>3394</v>
      </c>
      <c r="D497" s="37" t="s">
        <v>763</v>
      </c>
      <c r="E497" s="254"/>
      <c r="F497" s="346" t="s">
        <v>851</v>
      </c>
      <c r="G497" s="241" t="s">
        <v>2421</v>
      </c>
      <c r="H497" s="241"/>
      <c r="I497" s="241"/>
      <c r="J497" s="134"/>
      <c r="K497" s="27" t="s">
        <v>1089</v>
      </c>
      <c r="L497" s="58">
        <v>1.22</v>
      </c>
      <c r="M497" s="58">
        <v>0.70299999999999996</v>
      </c>
      <c r="N497" s="215">
        <v>0.79100000000000004</v>
      </c>
      <c r="O497" s="260">
        <v>0.95099999999999996</v>
      </c>
      <c r="P497" s="347">
        <v>0.91900000000000004</v>
      </c>
      <c r="Q497" s="347">
        <v>1.3109999999999999</v>
      </c>
      <c r="R497" s="252">
        <v>1.4910000000000001</v>
      </c>
      <c r="S497" s="28">
        <f t="shared" si="14"/>
        <v>1.0276666666666667</v>
      </c>
      <c r="T497" s="28">
        <f t="shared" si="15"/>
        <v>1.0276666666666667</v>
      </c>
      <c r="U497" s="266" t="b">
        <v>1</v>
      </c>
      <c r="V497" s="266" t="b">
        <v>0</v>
      </c>
      <c r="Z497"/>
    </row>
    <row r="498" spans="1:26" ht="27" customHeight="1">
      <c r="A498" s="143" t="s">
        <v>663</v>
      </c>
      <c r="B498" s="143" t="s">
        <v>815</v>
      </c>
      <c r="C498" s="254" t="s">
        <v>3395</v>
      </c>
      <c r="D498" s="37" t="s">
        <v>836</v>
      </c>
      <c r="E498" s="254"/>
      <c r="F498" s="346" t="s">
        <v>852</v>
      </c>
      <c r="G498" s="241" t="s">
        <v>2542</v>
      </c>
      <c r="H498" s="241"/>
      <c r="I498" s="241"/>
      <c r="J498" s="134"/>
      <c r="K498" s="27" t="s">
        <v>1089</v>
      </c>
      <c r="L498" s="58">
        <v>1.22</v>
      </c>
      <c r="M498" s="58">
        <v>1.2549999999999999</v>
      </c>
      <c r="N498" s="215">
        <v>0.308</v>
      </c>
      <c r="O498" s="260"/>
      <c r="P498" s="347">
        <v>1.155</v>
      </c>
      <c r="Q498" s="347">
        <v>1.294</v>
      </c>
      <c r="R498" s="252" t="s">
        <v>115</v>
      </c>
      <c r="S498" s="28">
        <f t="shared" si="14"/>
        <v>1.0030000000000001</v>
      </c>
      <c r="T498" s="28">
        <f t="shared" si="15"/>
        <v>1.0030000000000001</v>
      </c>
      <c r="U498" s="266" t="b">
        <v>1</v>
      </c>
      <c r="V498" s="266" t="b">
        <v>0</v>
      </c>
      <c r="Z498"/>
    </row>
    <row r="499" spans="1:26" ht="27" customHeight="1">
      <c r="A499" s="143" t="s">
        <v>663</v>
      </c>
      <c r="B499" s="143" t="s">
        <v>816</v>
      </c>
      <c r="C499" s="254" t="s">
        <v>3396</v>
      </c>
      <c r="D499" s="37" t="s">
        <v>623</v>
      </c>
      <c r="E499" s="254"/>
      <c r="F499" s="346" t="s">
        <v>853</v>
      </c>
      <c r="G499" s="241" t="s">
        <v>2537</v>
      </c>
      <c r="H499" s="241"/>
      <c r="I499" s="241"/>
      <c r="J499" s="134"/>
      <c r="K499" s="27" t="s">
        <v>1089</v>
      </c>
      <c r="L499" s="58">
        <v>3.4</v>
      </c>
      <c r="M499" s="58">
        <v>4.3710000000000004</v>
      </c>
      <c r="N499" s="215">
        <v>3.99</v>
      </c>
      <c r="O499" s="260">
        <v>3.57</v>
      </c>
      <c r="P499" s="347">
        <v>4.6630000000000003</v>
      </c>
      <c r="Q499" s="347">
        <v>1.121</v>
      </c>
      <c r="R499" s="252" t="s">
        <v>115</v>
      </c>
      <c r="S499" s="28">
        <f t="shared" si="14"/>
        <v>3.5430000000000001</v>
      </c>
      <c r="T499" s="28">
        <f t="shared" si="15"/>
        <v>3.5430000000000001</v>
      </c>
      <c r="U499" s="266" t="b">
        <v>1</v>
      </c>
      <c r="V499" s="266" t="b">
        <v>0</v>
      </c>
      <c r="Z499"/>
    </row>
    <row r="500" spans="1:26" ht="27" customHeight="1">
      <c r="A500" s="143" t="s">
        <v>663</v>
      </c>
      <c r="B500" s="143" t="s">
        <v>817</v>
      </c>
      <c r="C500" s="254" t="s">
        <v>1623</v>
      </c>
      <c r="D500" s="37" t="s">
        <v>624</v>
      </c>
      <c r="E500" s="254"/>
      <c r="F500" s="346" t="s">
        <v>853</v>
      </c>
      <c r="G500" s="241" t="s">
        <v>2520</v>
      </c>
      <c r="H500" s="241"/>
      <c r="I500" s="241"/>
      <c r="J500" s="134"/>
      <c r="K500" s="27" t="s">
        <v>1089</v>
      </c>
      <c r="L500" s="58">
        <v>2.5499999999999998</v>
      </c>
      <c r="M500" s="58">
        <v>4.077</v>
      </c>
      <c r="N500" s="215">
        <v>3.7120000000000002</v>
      </c>
      <c r="O500" s="260">
        <v>3.4780000000000002</v>
      </c>
      <c r="P500" s="347">
        <v>4.0339999999999998</v>
      </c>
      <c r="Q500" s="347">
        <v>0.52100000000000002</v>
      </c>
      <c r="R500" s="252" t="s">
        <v>115</v>
      </c>
      <c r="S500" s="28">
        <f t="shared" si="14"/>
        <v>3.1643999999999997</v>
      </c>
      <c r="T500" s="28">
        <f t="shared" si="15"/>
        <v>3.1643999999999997</v>
      </c>
      <c r="U500" s="266" t="b">
        <v>1</v>
      </c>
      <c r="V500" s="266" t="b">
        <v>0</v>
      </c>
      <c r="Z500"/>
    </row>
    <row r="501" spans="1:26" ht="27" customHeight="1">
      <c r="A501" s="143" t="s">
        <v>663</v>
      </c>
      <c r="B501" s="143" t="s">
        <v>818</v>
      </c>
      <c r="C501" s="254" t="s">
        <v>3397</v>
      </c>
      <c r="D501" s="37" t="s">
        <v>837</v>
      </c>
      <c r="E501" s="254"/>
      <c r="F501" s="346" t="s">
        <v>854</v>
      </c>
      <c r="G501" s="241" t="s">
        <v>2538</v>
      </c>
      <c r="H501" s="241"/>
      <c r="I501" s="241"/>
      <c r="J501" s="134"/>
      <c r="K501" s="27" t="s">
        <v>1089</v>
      </c>
      <c r="L501" s="58">
        <v>3.2</v>
      </c>
      <c r="M501" s="58">
        <v>4.4710000000000001</v>
      </c>
      <c r="N501" s="215">
        <v>4.5659999999999998</v>
      </c>
      <c r="O501" s="260">
        <v>3.6360000000000001</v>
      </c>
      <c r="P501" s="347">
        <v>4.3630000000000004</v>
      </c>
      <c r="Q501" s="347">
        <v>3.2789999999999999</v>
      </c>
      <c r="R501" s="252">
        <v>6.0000000000000001E-3</v>
      </c>
      <c r="S501" s="28">
        <f t="shared" si="14"/>
        <v>3.3868333333333331</v>
      </c>
      <c r="T501" s="28">
        <f t="shared" si="15"/>
        <v>3.3868333333333331</v>
      </c>
      <c r="U501" s="266" t="b">
        <v>1</v>
      </c>
      <c r="V501" s="266" t="b">
        <v>0</v>
      </c>
      <c r="Z501"/>
    </row>
    <row r="502" spans="1:26" ht="27" customHeight="1">
      <c r="A502" s="143" t="s">
        <v>663</v>
      </c>
      <c r="B502" s="143" t="s">
        <v>819</v>
      </c>
      <c r="C502" s="254" t="s">
        <v>3398</v>
      </c>
      <c r="D502" s="37" t="s">
        <v>682</v>
      </c>
      <c r="E502" s="254"/>
      <c r="F502" s="346" t="s">
        <v>855</v>
      </c>
      <c r="G502" s="241" t="s">
        <v>2521</v>
      </c>
      <c r="H502" s="241"/>
      <c r="I502" s="241"/>
      <c r="J502" s="134"/>
      <c r="K502" s="27" t="s">
        <v>1089</v>
      </c>
      <c r="L502" s="58">
        <v>2.85</v>
      </c>
      <c r="M502" s="58">
        <v>3.964</v>
      </c>
      <c r="N502" s="215">
        <v>3.996</v>
      </c>
      <c r="O502" s="260">
        <v>3.4940000000000002</v>
      </c>
      <c r="P502" s="347">
        <v>4.5190000000000001</v>
      </c>
      <c r="Q502" s="347">
        <v>4.4619999999999997</v>
      </c>
      <c r="R502" s="252">
        <v>8.9999999999999993E-3</v>
      </c>
      <c r="S502" s="28">
        <f t="shared" si="14"/>
        <v>3.4073333333333338</v>
      </c>
      <c r="T502" s="28">
        <f t="shared" si="15"/>
        <v>3.4073333333333338</v>
      </c>
      <c r="U502" s="266" t="b">
        <v>1</v>
      </c>
      <c r="V502" s="266" t="b">
        <v>0</v>
      </c>
      <c r="Z502"/>
    </row>
    <row r="503" spans="1:26" ht="27" customHeight="1">
      <c r="A503" s="143" t="s">
        <v>663</v>
      </c>
      <c r="B503" s="143" t="s">
        <v>820</v>
      </c>
      <c r="C503" s="254" t="s">
        <v>3399</v>
      </c>
      <c r="D503" s="37" t="s">
        <v>681</v>
      </c>
      <c r="E503" s="254"/>
      <c r="F503" s="346" t="s">
        <v>856</v>
      </c>
      <c r="G503" s="241" t="s">
        <v>2518</v>
      </c>
      <c r="H503" s="241"/>
      <c r="I503" s="241"/>
      <c r="J503" s="134"/>
      <c r="K503" s="27" t="s">
        <v>1089</v>
      </c>
      <c r="L503" s="58">
        <v>1.41</v>
      </c>
      <c r="M503" s="58">
        <v>1.76</v>
      </c>
      <c r="N503" s="215">
        <v>1.3959999999999999</v>
      </c>
      <c r="O503" s="260">
        <v>1.837</v>
      </c>
      <c r="P503" s="347">
        <v>2.2290000000000001</v>
      </c>
      <c r="Q503" s="347">
        <v>2.2370000000000001</v>
      </c>
      <c r="R503" s="252" t="s">
        <v>115</v>
      </c>
      <c r="S503" s="28">
        <f t="shared" si="14"/>
        <v>1.8917999999999999</v>
      </c>
      <c r="T503" s="28">
        <f t="shared" si="15"/>
        <v>1.8917999999999999</v>
      </c>
      <c r="U503" s="266" t="b">
        <v>1</v>
      </c>
      <c r="V503" s="266" t="b">
        <v>0</v>
      </c>
      <c r="Z503"/>
    </row>
    <row r="504" spans="1:26" ht="27" customHeight="1">
      <c r="A504" s="143" t="s">
        <v>663</v>
      </c>
      <c r="B504" s="143" t="s">
        <v>821</v>
      </c>
      <c r="C504" s="254" t="s">
        <v>3400</v>
      </c>
      <c r="D504" s="37" t="s">
        <v>680</v>
      </c>
      <c r="E504" s="254">
        <v>61741</v>
      </c>
      <c r="F504" s="346" t="s">
        <v>857</v>
      </c>
      <c r="G504" s="241" t="s">
        <v>2465</v>
      </c>
      <c r="H504" s="241"/>
      <c r="I504" s="241"/>
      <c r="J504" s="134"/>
      <c r="K504" s="27" t="s">
        <v>1089</v>
      </c>
      <c r="L504" s="58">
        <v>2.25</v>
      </c>
      <c r="M504" s="58">
        <v>2.6989999999999998</v>
      </c>
      <c r="N504" s="215">
        <v>2.7610000000000001</v>
      </c>
      <c r="O504" s="260">
        <v>3.02</v>
      </c>
      <c r="P504" s="347">
        <v>3.3570000000000002</v>
      </c>
      <c r="Q504" s="347">
        <v>1.9750000000000001</v>
      </c>
      <c r="R504" s="252" t="s">
        <v>115</v>
      </c>
      <c r="S504" s="28">
        <f t="shared" si="14"/>
        <v>2.7624</v>
      </c>
      <c r="T504" s="28">
        <f t="shared" si="15"/>
        <v>2.7624</v>
      </c>
      <c r="U504" s="266" t="b">
        <v>1</v>
      </c>
      <c r="V504" s="266" t="b">
        <v>0</v>
      </c>
      <c r="Z504"/>
    </row>
    <row r="505" spans="1:26" ht="27" customHeight="1">
      <c r="A505" s="143" t="s">
        <v>663</v>
      </c>
      <c r="B505" s="143" t="s">
        <v>822</v>
      </c>
      <c r="C505" s="254" t="s">
        <v>3401</v>
      </c>
      <c r="D505" s="37" t="s">
        <v>838</v>
      </c>
      <c r="E505" s="254" t="s">
        <v>3220</v>
      </c>
      <c r="F505" s="346" t="s">
        <v>858</v>
      </c>
      <c r="G505" s="241" t="s">
        <v>2540</v>
      </c>
      <c r="H505" s="241"/>
      <c r="I505" s="241"/>
      <c r="J505" s="134"/>
      <c r="K505" s="27" t="s">
        <v>1089</v>
      </c>
      <c r="L505" s="58">
        <v>5.0199999999999996</v>
      </c>
      <c r="M505" s="58">
        <v>6.4610000000000003</v>
      </c>
      <c r="N505" s="215">
        <v>3.1659999999999999</v>
      </c>
      <c r="O505" s="260">
        <v>1.3440000000000001</v>
      </c>
      <c r="P505" s="347">
        <v>7.1059999999999999</v>
      </c>
      <c r="Q505" s="347">
        <v>0.63800000000000001</v>
      </c>
      <c r="R505" s="252" t="s">
        <v>115</v>
      </c>
      <c r="S505" s="28">
        <f t="shared" si="14"/>
        <v>3.7429999999999999</v>
      </c>
      <c r="T505" s="28">
        <f t="shared" si="15"/>
        <v>3.7429999999999999</v>
      </c>
      <c r="U505" s="266" t="b">
        <v>1</v>
      </c>
      <c r="V505" s="266" t="b">
        <v>0</v>
      </c>
      <c r="Z505"/>
    </row>
    <row r="506" spans="1:26" ht="27" customHeight="1">
      <c r="A506" s="143" t="s">
        <v>834</v>
      </c>
      <c r="B506" s="143" t="s">
        <v>823</v>
      </c>
      <c r="C506" s="254" t="s">
        <v>3402</v>
      </c>
      <c r="D506" s="37" t="s">
        <v>839</v>
      </c>
      <c r="E506" s="254" t="s">
        <v>3221</v>
      </c>
      <c r="F506" s="346" t="s">
        <v>859</v>
      </c>
      <c r="G506" s="241" t="s">
        <v>2541</v>
      </c>
      <c r="H506" s="241"/>
      <c r="I506" s="241"/>
      <c r="J506" s="134"/>
      <c r="K506" s="27" t="s">
        <v>1089</v>
      </c>
      <c r="L506" s="58">
        <v>4.93</v>
      </c>
      <c r="M506" s="58">
        <v>6.6509999999999998</v>
      </c>
      <c r="N506" s="215">
        <v>6.2080000000000002</v>
      </c>
      <c r="O506" s="260">
        <v>2.1389999999999998</v>
      </c>
      <c r="P506" s="347">
        <v>5.8259999999999996</v>
      </c>
      <c r="Q506" s="347">
        <v>1.2310000000000001</v>
      </c>
      <c r="R506" s="252" t="s">
        <v>115</v>
      </c>
      <c r="S506" s="28">
        <f t="shared" si="14"/>
        <v>4.4109999999999996</v>
      </c>
      <c r="T506" s="28">
        <f t="shared" si="15"/>
        <v>4.4109999999999996</v>
      </c>
      <c r="U506" s="266" t="b">
        <v>1</v>
      </c>
      <c r="V506" s="266" t="b">
        <v>0</v>
      </c>
      <c r="Z506"/>
    </row>
    <row r="507" spans="1:26" ht="27" customHeight="1">
      <c r="A507" s="143" t="s">
        <v>663</v>
      </c>
      <c r="B507" s="143" t="s">
        <v>2464</v>
      </c>
      <c r="C507" s="254" t="s">
        <v>3403</v>
      </c>
      <c r="D507" s="37" t="s">
        <v>840</v>
      </c>
      <c r="E507" s="254" t="s">
        <v>2468</v>
      </c>
      <c r="F507" s="346" t="s">
        <v>854</v>
      </c>
      <c r="G507" s="241" t="s">
        <v>2469</v>
      </c>
      <c r="H507" s="241"/>
      <c r="I507" s="241"/>
      <c r="J507" s="134"/>
      <c r="K507" s="27" t="s">
        <v>1089</v>
      </c>
      <c r="L507" s="58">
        <v>4.6900000000000004</v>
      </c>
      <c r="M507" s="58">
        <v>5.03</v>
      </c>
      <c r="N507" s="215">
        <v>4.5739999999999998</v>
      </c>
      <c r="O507" s="260">
        <v>1.6970000000000001</v>
      </c>
      <c r="P507" s="347">
        <v>4.3949999999999996</v>
      </c>
      <c r="Q507" s="347">
        <v>7.5999999999999998E-2</v>
      </c>
      <c r="R507" s="252" t="s">
        <v>115</v>
      </c>
      <c r="S507" s="28">
        <f t="shared" si="14"/>
        <v>3.1543999999999999</v>
      </c>
      <c r="T507" s="28">
        <f t="shared" si="15"/>
        <v>3.1543999999999999</v>
      </c>
      <c r="U507" s="266" t="b">
        <v>1</v>
      </c>
      <c r="V507" s="266" t="b">
        <v>0</v>
      </c>
      <c r="Z507"/>
    </row>
    <row r="508" spans="1:26" ht="27" customHeight="1">
      <c r="A508" s="143" t="s">
        <v>663</v>
      </c>
      <c r="B508" s="143" t="s">
        <v>824</v>
      </c>
      <c r="C508" s="254" t="s">
        <v>3404</v>
      </c>
      <c r="D508" s="37" t="s">
        <v>841</v>
      </c>
      <c r="E508" s="254" t="s">
        <v>3222</v>
      </c>
      <c r="F508" s="346" t="s">
        <v>857</v>
      </c>
      <c r="G508" s="241" t="s">
        <v>2539</v>
      </c>
      <c r="H508" s="241"/>
      <c r="I508" s="241"/>
      <c r="J508" s="134"/>
      <c r="K508" s="27" t="s">
        <v>1089</v>
      </c>
      <c r="L508" s="58">
        <v>1.75</v>
      </c>
      <c r="M508" s="58">
        <v>2.528</v>
      </c>
      <c r="N508" s="215">
        <v>2.1869999999999998</v>
      </c>
      <c r="O508" s="260">
        <v>2.3769999999999998</v>
      </c>
      <c r="P508" s="347">
        <v>2.1789999999999998</v>
      </c>
      <c r="Q508" s="347">
        <v>1.4590000000000001</v>
      </c>
      <c r="R508" s="252" t="s">
        <v>115</v>
      </c>
      <c r="S508" s="28">
        <f t="shared" si="14"/>
        <v>2.1459999999999999</v>
      </c>
      <c r="T508" s="28">
        <f t="shared" si="15"/>
        <v>2.1459999999999999</v>
      </c>
      <c r="U508" s="266" t="b">
        <v>1</v>
      </c>
      <c r="V508" s="266" t="b">
        <v>0</v>
      </c>
      <c r="Z508"/>
    </row>
    <row r="509" spans="1:26" ht="27" customHeight="1">
      <c r="A509" s="143" t="s">
        <v>663</v>
      </c>
      <c r="B509" s="143" t="s">
        <v>825</v>
      </c>
      <c r="C509" s="254" t="s">
        <v>3405</v>
      </c>
      <c r="D509" s="37" t="s">
        <v>842</v>
      </c>
      <c r="E509" s="254" t="s">
        <v>3223</v>
      </c>
      <c r="F509" s="346" t="s">
        <v>860</v>
      </c>
      <c r="G509" s="241" t="s">
        <v>2466</v>
      </c>
      <c r="H509" s="241"/>
      <c r="I509" s="241"/>
      <c r="J509" s="134"/>
      <c r="K509" s="27" t="s">
        <v>1089</v>
      </c>
      <c r="L509" s="58">
        <v>4.5</v>
      </c>
      <c r="M509" s="58">
        <v>5.9240000000000004</v>
      </c>
      <c r="N509" s="215">
        <v>5.4580000000000002</v>
      </c>
      <c r="O509" s="260">
        <v>2.2570000000000001</v>
      </c>
      <c r="P509" s="347">
        <v>5.7729999999999997</v>
      </c>
      <c r="Q509" s="347">
        <v>0.19800000000000001</v>
      </c>
      <c r="R509" s="252" t="s">
        <v>115</v>
      </c>
      <c r="S509" s="28">
        <f t="shared" si="14"/>
        <v>3.9219999999999997</v>
      </c>
      <c r="T509" s="28">
        <f t="shared" si="15"/>
        <v>3.9219999999999997</v>
      </c>
      <c r="U509" s="266" t="b">
        <v>1</v>
      </c>
      <c r="V509" s="266" t="b">
        <v>0</v>
      </c>
      <c r="Z509"/>
    </row>
    <row r="510" spans="1:26" ht="27" customHeight="1">
      <c r="A510" s="143" t="s">
        <v>663</v>
      </c>
      <c r="B510" s="143" t="s">
        <v>826</v>
      </c>
      <c r="C510" s="254" t="s">
        <v>3406</v>
      </c>
      <c r="D510" s="37" t="s">
        <v>843</v>
      </c>
      <c r="E510" s="254">
        <v>61746</v>
      </c>
      <c r="F510" s="346" t="s">
        <v>861</v>
      </c>
      <c r="G510" s="241" t="s">
        <v>2467</v>
      </c>
      <c r="H510" s="241"/>
      <c r="I510" s="241"/>
      <c r="J510" s="134"/>
      <c r="K510" s="27" t="s">
        <v>1089</v>
      </c>
      <c r="L510" s="58">
        <v>1.9</v>
      </c>
      <c r="M510" s="58">
        <v>2.3450000000000002</v>
      </c>
      <c r="N510" s="215">
        <v>2.2879999999999998</v>
      </c>
      <c r="O510" s="260">
        <v>2.839</v>
      </c>
      <c r="P510" s="347">
        <v>3.1440000000000001</v>
      </c>
      <c r="Q510" s="347" t="s">
        <v>115</v>
      </c>
      <c r="R510" s="252" t="s">
        <v>115</v>
      </c>
      <c r="S510" s="28">
        <f t="shared" si="14"/>
        <v>2.6539999999999999</v>
      </c>
      <c r="T510" s="28">
        <f t="shared" si="15"/>
        <v>2.6539999999999999</v>
      </c>
      <c r="U510" s="266" t="b">
        <v>1</v>
      </c>
      <c r="V510" s="266" t="b">
        <v>0</v>
      </c>
      <c r="Z510"/>
    </row>
    <row r="511" spans="1:26" ht="27" customHeight="1">
      <c r="A511" s="143" t="s">
        <v>663</v>
      </c>
      <c r="B511" s="143" t="s">
        <v>827</v>
      </c>
      <c r="C511" s="254" t="s">
        <v>3407</v>
      </c>
      <c r="D511" s="37" t="s">
        <v>802</v>
      </c>
      <c r="E511" s="254">
        <v>61039</v>
      </c>
      <c r="F511" s="346" t="s">
        <v>862</v>
      </c>
      <c r="G511" s="241" t="s">
        <v>2573</v>
      </c>
      <c r="H511" s="241"/>
      <c r="I511" s="241"/>
      <c r="J511" s="134"/>
      <c r="K511" s="27" t="s">
        <v>1089</v>
      </c>
      <c r="L511" s="58">
        <v>3.09</v>
      </c>
      <c r="M511" s="58">
        <v>3.4089999999999998</v>
      </c>
      <c r="N511" s="215">
        <v>3.0590000000000002</v>
      </c>
      <c r="O511" s="260">
        <v>3.62</v>
      </c>
      <c r="P511" s="347">
        <v>2.09</v>
      </c>
      <c r="Q511" s="347">
        <v>4.7480000000000002</v>
      </c>
      <c r="R511" s="252">
        <v>0.39</v>
      </c>
      <c r="S511" s="28">
        <f t="shared" si="14"/>
        <v>2.8860000000000006</v>
      </c>
      <c r="T511" s="28">
        <f t="shared" si="15"/>
        <v>2.8860000000000006</v>
      </c>
      <c r="U511" s="266" t="b">
        <v>1</v>
      </c>
      <c r="V511" s="266" t="b">
        <v>0</v>
      </c>
      <c r="Z511"/>
    </row>
    <row r="512" spans="1:26" ht="27" customHeight="1">
      <c r="A512" s="143" t="s">
        <v>663</v>
      </c>
      <c r="B512" s="143" t="s">
        <v>828</v>
      </c>
      <c r="C512" s="254" t="s">
        <v>3408</v>
      </c>
      <c r="D512" s="37" t="s">
        <v>844</v>
      </c>
      <c r="E512" s="254"/>
      <c r="F512" s="346" t="s">
        <v>863</v>
      </c>
      <c r="G512" s="241" t="s">
        <v>2578</v>
      </c>
      <c r="H512" s="241"/>
      <c r="I512" s="241"/>
      <c r="J512" s="134"/>
      <c r="K512" s="27" t="s">
        <v>1089</v>
      </c>
      <c r="L512" s="58">
        <v>3.86</v>
      </c>
      <c r="M512" s="58">
        <v>4.8460000000000001</v>
      </c>
      <c r="N512" s="215">
        <v>4.8490000000000002</v>
      </c>
      <c r="O512" s="260">
        <v>5.4269999999999996</v>
      </c>
      <c r="P512" s="347">
        <v>5.8079999999999998</v>
      </c>
      <c r="Q512" s="347">
        <v>3.7410000000000001</v>
      </c>
      <c r="R512" s="252" t="s">
        <v>115</v>
      </c>
      <c r="S512" s="28">
        <f t="shared" si="14"/>
        <v>4.9341999999999997</v>
      </c>
      <c r="T512" s="28">
        <f t="shared" si="15"/>
        <v>4.9341999999999997</v>
      </c>
      <c r="U512" s="266" t="b">
        <v>1</v>
      </c>
      <c r="V512" s="266" t="b">
        <v>0</v>
      </c>
      <c r="Z512"/>
    </row>
    <row r="513" spans="1:26" ht="27" customHeight="1">
      <c r="A513" s="143" t="s">
        <v>663</v>
      </c>
      <c r="B513" s="143" t="s">
        <v>829</v>
      </c>
      <c r="C513" s="254" t="s">
        <v>3409</v>
      </c>
      <c r="D513" s="37" t="s">
        <v>845</v>
      </c>
      <c r="E513" s="254" t="s">
        <v>3224</v>
      </c>
      <c r="F513" s="346" t="s">
        <v>864</v>
      </c>
      <c r="G513" s="241" t="s">
        <v>2543</v>
      </c>
      <c r="H513" s="241"/>
      <c r="I513" s="241"/>
      <c r="J513" s="134"/>
      <c r="K513" s="27" t="s">
        <v>1089</v>
      </c>
      <c r="L513" s="58">
        <v>8.6</v>
      </c>
      <c r="M513" s="58">
        <v>10.79</v>
      </c>
      <c r="N513" s="215">
        <v>9.6440000000000001</v>
      </c>
      <c r="O513" s="260">
        <v>3.8180000000000001</v>
      </c>
      <c r="P513" s="347">
        <v>10.856999999999999</v>
      </c>
      <c r="Q513" s="347">
        <v>3.403</v>
      </c>
      <c r="R513" s="252" t="s">
        <v>115</v>
      </c>
      <c r="S513" s="28">
        <f t="shared" si="14"/>
        <v>7.702399999999999</v>
      </c>
      <c r="T513" s="28">
        <f t="shared" si="15"/>
        <v>7.702399999999999</v>
      </c>
      <c r="U513" s="266" t="b">
        <v>1</v>
      </c>
      <c r="V513" s="266" t="b">
        <v>0</v>
      </c>
      <c r="Z513"/>
    </row>
    <row r="514" spans="1:26" ht="27" customHeight="1">
      <c r="A514" s="143" t="s">
        <v>663</v>
      </c>
      <c r="B514" s="143" t="s">
        <v>830</v>
      </c>
      <c r="C514" s="254" t="s">
        <v>3395</v>
      </c>
      <c r="D514" s="37" t="s">
        <v>846</v>
      </c>
      <c r="E514" s="254" t="s">
        <v>3225</v>
      </c>
      <c r="F514" s="346" t="s">
        <v>865</v>
      </c>
      <c r="G514" s="241" t="s">
        <v>3723</v>
      </c>
      <c r="H514" s="241"/>
      <c r="I514" s="241"/>
      <c r="J514" s="134"/>
      <c r="K514" s="27" t="s">
        <v>1089</v>
      </c>
      <c r="L514" s="58">
        <v>2.62</v>
      </c>
      <c r="M514" s="58">
        <v>3.2210000000000001</v>
      </c>
      <c r="N514" s="215">
        <v>2.7829999999999999</v>
      </c>
      <c r="O514" s="260">
        <v>1.294</v>
      </c>
      <c r="P514" s="347">
        <v>0.19</v>
      </c>
      <c r="Q514" s="347" t="s">
        <v>115</v>
      </c>
      <c r="R514" s="252" t="s">
        <v>115</v>
      </c>
      <c r="S514" s="28">
        <f t="shared" si="14"/>
        <v>1.8720000000000001</v>
      </c>
      <c r="T514" s="28">
        <f t="shared" si="15"/>
        <v>1.8720000000000001</v>
      </c>
      <c r="U514" s="266" t="b">
        <v>1</v>
      </c>
      <c r="V514" s="266" t="b">
        <v>0</v>
      </c>
      <c r="Z514"/>
    </row>
    <row r="515" spans="1:26" ht="27" customHeight="1">
      <c r="A515" s="143" t="s">
        <v>663</v>
      </c>
      <c r="B515" s="143" t="s">
        <v>831</v>
      </c>
      <c r="C515" s="254" t="s">
        <v>3410</v>
      </c>
      <c r="D515" s="37" t="s">
        <v>847</v>
      </c>
      <c r="E515" s="254" t="s">
        <v>3226</v>
      </c>
      <c r="F515" s="346" t="s">
        <v>866</v>
      </c>
      <c r="G515" s="241" t="s">
        <v>2551</v>
      </c>
      <c r="H515" s="241"/>
      <c r="I515" s="241"/>
      <c r="J515" s="134"/>
      <c r="K515" s="27" t="s">
        <v>1089</v>
      </c>
      <c r="L515" s="58">
        <v>4.8600000000000003</v>
      </c>
      <c r="M515" s="58">
        <v>6.4429999999999996</v>
      </c>
      <c r="N515" s="215">
        <v>5.532</v>
      </c>
      <c r="O515" s="260">
        <v>2.89</v>
      </c>
      <c r="P515" s="347">
        <v>6.73</v>
      </c>
      <c r="Q515" s="347">
        <v>0.15</v>
      </c>
      <c r="R515" s="252" t="s">
        <v>115</v>
      </c>
      <c r="S515" s="28">
        <f t="shared" ref="S515:S578" si="16">IF(AND(U515,NOT(V515)),IFERROR(AVERAGE(M515:R515),0),0)</f>
        <v>4.3489999999999993</v>
      </c>
      <c r="T515" s="28">
        <f t="shared" si="15"/>
        <v>4.3489999999999993</v>
      </c>
      <c r="U515" s="266" t="b">
        <v>1</v>
      </c>
      <c r="V515" s="266" t="b">
        <v>0</v>
      </c>
      <c r="Z515"/>
    </row>
    <row r="516" spans="1:26" ht="27" customHeight="1">
      <c r="A516" s="143" t="s">
        <v>663</v>
      </c>
      <c r="B516" s="143" t="s">
        <v>2474</v>
      </c>
      <c r="C516" s="254" t="s">
        <v>3411</v>
      </c>
      <c r="D516" s="37" t="s">
        <v>848</v>
      </c>
      <c r="E516" s="254" t="s">
        <v>3227</v>
      </c>
      <c r="F516" s="346" t="s">
        <v>867</v>
      </c>
      <c r="G516" s="241" t="s">
        <v>2476</v>
      </c>
      <c r="H516" s="241"/>
      <c r="I516" s="241"/>
      <c r="J516" s="134"/>
      <c r="K516" s="27" t="s">
        <v>1089</v>
      </c>
      <c r="L516" s="58">
        <v>1.74</v>
      </c>
      <c r="M516" s="58">
        <v>2.468</v>
      </c>
      <c r="N516" s="215">
        <v>2.258</v>
      </c>
      <c r="O516" s="260">
        <v>1.08</v>
      </c>
      <c r="P516" s="347">
        <v>2.323</v>
      </c>
      <c r="Q516" s="347">
        <v>2.8000000000000001E-2</v>
      </c>
      <c r="R516" s="252" t="s">
        <v>115</v>
      </c>
      <c r="S516" s="28">
        <f t="shared" si="16"/>
        <v>1.6314</v>
      </c>
      <c r="T516" s="28">
        <f t="shared" si="15"/>
        <v>1.6314</v>
      </c>
      <c r="U516" s="266" t="b">
        <v>1</v>
      </c>
      <c r="V516" s="266" t="b">
        <v>0</v>
      </c>
      <c r="Z516"/>
    </row>
    <row r="517" spans="1:26" ht="27" customHeight="1">
      <c r="A517" s="143" t="s">
        <v>663</v>
      </c>
      <c r="B517" s="143" t="s">
        <v>2475</v>
      </c>
      <c r="C517" s="254" t="s">
        <v>3412</v>
      </c>
      <c r="D517" s="37" t="s">
        <v>849</v>
      </c>
      <c r="E517" s="254" t="s">
        <v>3228</v>
      </c>
      <c r="F517" s="346" t="s">
        <v>782</v>
      </c>
      <c r="G517" s="241" t="s">
        <v>2477</v>
      </c>
      <c r="H517" s="241"/>
      <c r="I517" s="241"/>
      <c r="J517" s="134"/>
      <c r="K517" s="27" t="s">
        <v>1089</v>
      </c>
      <c r="L517" s="58">
        <v>1.27</v>
      </c>
      <c r="M517" s="58">
        <v>1.6990000000000001</v>
      </c>
      <c r="N517" s="215">
        <v>1.6120000000000001</v>
      </c>
      <c r="O517" s="260">
        <v>0.71499999999999997</v>
      </c>
      <c r="P517" s="347">
        <v>1.8819999999999999</v>
      </c>
      <c r="Q517" s="347"/>
      <c r="R517" s="252" t="s">
        <v>115</v>
      </c>
      <c r="S517" s="28">
        <f t="shared" si="16"/>
        <v>1.4769999999999999</v>
      </c>
      <c r="T517" s="28">
        <f t="shared" ref="T517:T580" si="17">IF(AND(U517,NOT(V517)),IFERROR(IF(YEAR(F517)=2015,AVERAGE(N517:R517,VLOOKUP(K517,$Z$3:$AA$10,2,FALSE)*L517*8.76),AVERAGE(M517:R517)),0),0)</f>
        <v>1.4769999999999999</v>
      </c>
      <c r="U517" s="266" t="b">
        <v>1</v>
      </c>
      <c r="V517" s="266" t="b">
        <v>0</v>
      </c>
      <c r="Z517"/>
    </row>
    <row r="518" spans="1:26" ht="27" customHeight="1">
      <c r="A518" s="143" t="s">
        <v>663</v>
      </c>
      <c r="B518" s="143" t="s">
        <v>832</v>
      </c>
      <c r="C518" s="254" t="s">
        <v>3413</v>
      </c>
      <c r="D518" s="37" t="s">
        <v>803</v>
      </c>
      <c r="E518" s="254" t="s">
        <v>5222</v>
      </c>
      <c r="F518" s="346" t="s">
        <v>868</v>
      </c>
      <c r="G518" s="241" t="s">
        <v>2530</v>
      </c>
      <c r="H518" s="241">
        <v>57441</v>
      </c>
      <c r="I518" s="241"/>
      <c r="J518" s="134"/>
      <c r="K518" s="27" t="s">
        <v>1089</v>
      </c>
      <c r="L518" s="58">
        <v>6.77</v>
      </c>
      <c r="M518" s="58">
        <v>9.2850000000000001</v>
      </c>
      <c r="N518" s="215">
        <v>8.8620000000000001</v>
      </c>
      <c r="O518" s="260">
        <v>9.3659999999999997</v>
      </c>
      <c r="P518" s="347">
        <v>10.962</v>
      </c>
      <c r="Q518" s="347">
        <v>10.593</v>
      </c>
      <c r="R518" s="252">
        <v>2.1000000000000001E-2</v>
      </c>
      <c r="S518" s="28">
        <f t="shared" si="16"/>
        <v>8.1814999999999998</v>
      </c>
      <c r="T518" s="28">
        <f t="shared" si="17"/>
        <v>8.1814999999999998</v>
      </c>
      <c r="U518" s="266" t="b">
        <v>1</v>
      </c>
      <c r="V518" s="266" t="b">
        <v>0</v>
      </c>
      <c r="Z518"/>
    </row>
    <row r="519" spans="1:26" ht="27" customHeight="1">
      <c r="A519" s="143" t="s">
        <v>663</v>
      </c>
      <c r="B519" s="143" t="s">
        <v>833</v>
      </c>
      <c r="C519" s="254" t="s">
        <v>3414</v>
      </c>
      <c r="D519" s="37" t="s">
        <v>850</v>
      </c>
      <c r="E519" s="254" t="s">
        <v>3229</v>
      </c>
      <c r="F519" s="346" t="s">
        <v>869</v>
      </c>
      <c r="G519" s="241" t="s">
        <v>3724</v>
      </c>
      <c r="H519" s="241"/>
      <c r="I519" s="241"/>
      <c r="J519" s="134"/>
      <c r="K519" s="27" t="s">
        <v>1089</v>
      </c>
      <c r="L519" s="58">
        <v>10.199999999999999</v>
      </c>
      <c r="M519" s="58">
        <v>13.8</v>
      </c>
      <c r="N519" s="215">
        <v>11.983000000000001</v>
      </c>
      <c r="O519" s="260">
        <v>6.4059999999999997</v>
      </c>
      <c r="P519" s="347">
        <v>3.0550000000000002</v>
      </c>
      <c r="Q519" s="347" t="s">
        <v>115</v>
      </c>
      <c r="R519" s="252" t="s">
        <v>115</v>
      </c>
      <c r="S519" s="28">
        <f t="shared" si="16"/>
        <v>8.8109999999999999</v>
      </c>
      <c r="T519" s="28">
        <f t="shared" si="17"/>
        <v>8.8109999999999999</v>
      </c>
      <c r="U519" s="266" t="b">
        <v>1</v>
      </c>
      <c r="V519" s="266" t="b">
        <v>0</v>
      </c>
      <c r="Z519"/>
    </row>
    <row r="520" spans="1:26" ht="27" customHeight="1">
      <c r="A520" s="143" t="s">
        <v>663</v>
      </c>
      <c r="B520" s="143" t="s">
        <v>1203</v>
      </c>
      <c r="C520" s="254"/>
      <c r="D520" s="37" t="s">
        <v>1292</v>
      </c>
      <c r="E520" s="254" t="s">
        <v>3230</v>
      </c>
      <c r="F520" s="346">
        <v>41863</v>
      </c>
      <c r="G520" s="241" t="s">
        <v>3725</v>
      </c>
      <c r="H520" s="241"/>
      <c r="I520" s="241"/>
      <c r="J520" s="134"/>
      <c r="K520" s="27" t="s">
        <v>1089</v>
      </c>
      <c r="L520" s="58">
        <v>5</v>
      </c>
      <c r="M520" s="58">
        <v>8.9920000000000009</v>
      </c>
      <c r="N520" s="215">
        <v>1.625</v>
      </c>
      <c r="O520" s="260" t="s">
        <v>115</v>
      </c>
      <c r="P520" s="347" t="s">
        <v>115</v>
      </c>
      <c r="Q520" s="347" t="s">
        <v>115</v>
      </c>
      <c r="R520" s="252" t="s">
        <v>115</v>
      </c>
      <c r="S520" s="28">
        <f t="shared" si="16"/>
        <v>5.3085000000000004</v>
      </c>
      <c r="T520" s="28">
        <f t="shared" si="17"/>
        <v>5.3085000000000004</v>
      </c>
      <c r="U520" s="266" t="b">
        <v>1</v>
      </c>
      <c r="V520" s="266" t="b">
        <v>0</v>
      </c>
      <c r="Z520"/>
    </row>
    <row r="521" spans="1:26" ht="27" customHeight="1">
      <c r="A521" s="143" t="s">
        <v>475</v>
      </c>
      <c r="B521" s="143" t="s">
        <v>617</v>
      </c>
      <c r="C521" s="254" t="s">
        <v>3415</v>
      </c>
      <c r="D521" s="37" t="s">
        <v>811</v>
      </c>
      <c r="E521" s="254"/>
      <c r="F521" s="346">
        <v>41106</v>
      </c>
      <c r="G521" s="241" t="s">
        <v>2422</v>
      </c>
      <c r="H521" s="241"/>
      <c r="I521" s="241"/>
      <c r="J521" s="134"/>
      <c r="K521" s="27" t="s">
        <v>1089</v>
      </c>
      <c r="L521" s="58">
        <v>1.5</v>
      </c>
      <c r="M521" s="58">
        <v>3.0750000000000002</v>
      </c>
      <c r="N521" s="215">
        <v>3.206</v>
      </c>
      <c r="O521" s="260">
        <v>3.206</v>
      </c>
      <c r="P521" s="347">
        <v>1.403</v>
      </c>
      <c r="Q521" s="347" t="s">
        <v>115</v>
      </c>
      <c r="R521" s="252" t="s">
        <v>115</v>
      </c>
      <c r="S521" s="28">
        <f t="shared" si="16"/>
        <v>2.7225000000000001</v>
      </c>
      <c r="T521" s="28">
        <f t="shared" si="17"/>
        <v>2.7225000000000001</v>
      </c>
      <c r="U521" s="266" t="b">
        <v>1</v>
      </c>
      <c r="V521" s="266" t="b">
        <v>0</v>
      </c>
      <c r="Z521"/>
    </row>
    <row r="522" spans="1:26" ht="27" customHeight="1">
      <c r="A522" s="143" t="s">
        <v>54</v>
      </c>
      <c r="B522" s="143" t="s">
        <v>55</v>
      </c>
      <c r="C522" s="254" t="s">
        <v>3311</v>
      </c>
      <c r="D522" s="37" t="s">
        <v>648</v>
      </c>
      <c r="E522" s="254" t="s">
        <v>5146</v>
      </c>
      <c r="F522" s="346">
        <v>32509</v>
      </c>
      <c r="G522" s="241"/>
      <c r="H522" s="241"/>
      <c r="I522" s="241"/>
      <c r="J522" s="134"/>
      <c r="K522" s="27" t="s">
        <v>3</v>
      </c>
      <c r="L522" s="58">
        <v>24</v>
      </c>
      <c r="M522" s="58">
        <v>151.767</v>
      </c>
      <c r="N522" s="215">
        <v>154.11199999999999</v>
      </c>
      <c r="O522" s="260">
        <v>147.82599999999999</v>
      </c>
      <c r="P522" s="347">
        <v>18.648900000000001</v>
      </c>
      <c r="Q522" s="347">
        <v>118.116</v>
      </c>
      <c r="R522" s="252">
        <v>122.589</v>
      </c>
      <c r="S522" s="28">
        <f t="shared" si="16"/>
        <v>118.84314999999999</v>
      </c>
      <c r="T522" s="28">
        <f t="shared" si="17"/>
        <v>118.84314999999999</v>
      </c>
      <c r="U522" s="266" t="b">
        <v>1</v>
      </c>
      <c r="V522" s="266" t="b">
        <v>0</v>
      </c>
      <c r="Z522"/>
    </row>
    <row r="523" spans="1:26" ht="27" customHeight="1">
      <c r="A523" s="143"/>
      <c r="B523" s="143" t="s">
        <v>4592</v>
      </c>
      <c r="C523" s="254"/>
      <c r="D523" s="37" t="s">
        <v>4591</v>
      </c>
      <c r="E523" s="254"/>
      <c r="F523" s="346">
        <v>40256</v>
      </c>
      <c r="G523" s="241"/>
      <c r="H523" s="241"/>
      <c r="I523" s="241"/>
      <c r="J523" s="134"/>
      <c r="K523" s="27" t="s">
        <v>1089</v>
      </c>
      <c r="L523" s="58">
        <v>1</v>
      </c>
      <c r="M523" s="58">
        <v>1.732</v>
      </c>
      <c r="N523" s="215" t="s">
        <v>115</v>
      </c>
      <c r="O523" s="260" t="s">
        <v>115</v>
      </c>
      <c r="P523" s="347" t="s">
        <v>115</v>
      </c>
      <c r="Q523" s="347" t="s">
        <v>115</v>
      </c>
      <c r="R523" s="252" t="s">
        <v>115</v>
      </c>
      <c r="S523" s="28">
        <f t="shared" si="16"/>
        <v>1.732</v>
      </c>
      <c r="T523" s="28">
        <f t="shared" si="17"/>
        <v>1.732</v>
      </c>
      <c r="U523" s="266" t="b">
        <v>1</v>
      </c>
      <c r="V523" s="266" t="b">
        <v>0</v>
      </c>
      <c r="Z523"/>
    </row>
    <row r="524" spans="1:26" ht="27" customHeight="1">
      <c r="A524" s="143"/>
      <c r="B524" s="143" t="s">
        <v>4596</v>
      </c>
      <c r="C524" s="254"/>
      <c r="D524" s="37" t="s">
        <v>4595</v>
      </c>
      <c r="E524" s="254"/>
      <c r="F524" s="346">
        <v>41409</v>
      </c>
      <c r="G524" s="241"/>
      <c r="H524" s="241"/>
      <c r="I524" s="241"/>
      <c r="J524" s="134"/>
      <c r="K524" s="27" t="s">
        <v>1089</v>
      </c>
      <c r="L524" s="58">
        <v>1</v>
      </c>
      <c r="M524" s="58">
        <v>1.7230000000000001</v>
      </c>
      <c r="N524" s="215" t="s">
        <v>115</v>
      </c>
      <c r="O524" s="260" t="s">
        <v>115</v>
      </c>
      <c r="P524" s="347" t="s">
        <v>115</v>
      </c>
      <c r="Q524" s="347" t="s">
        <v>115</v>
      </c>
      <c r="R524" s="252" t="s">
        <v>115</v>
      </c>
      <c r="S524" s="28">
        <f t="shared" si="16"/>
        <v>1.7230000000000001</v>
      </c>
      <c r="T524" s="28">
        <f t="shared" si="17"/>
        <v>1.7230000000000001</v>
      </c>
      <c r="U524" s="266" t="b">
        <v>1</v>
      </c>
      <c r="V524" s="266" t="b">
        <v>0</v>
      </c>
      <c r="Z524"/>
    </row>
    <row r="525" spans="1:26" ht="27" customHeight="1">
      <c r="A525" s="143" t="s">
        <v>615</v>
      </c>
      <c r="B525" s="143" t="s">
        <v>870</v>
      </c>
      <c r="C525" s="254" t="s">
        <v>3370</v>
      </c>
      <c r="D525" s="37" t="s">
        <v>625</v>
      </c>
      <c r="E525" s="254" t="s">
        <v>2823</v>
      </c>
      <c r="F525" s="346">
        <v>40814</v>
      </c>
      <c r="G525" s="241" t="s">
        <v>3711</v>
      </c>
      <c r="H525" s="241"/>
      <c r="I525" s="241"/>
      <c r="J525" s="134"/>
      <c r="K525" s="27" t="s">
        <v>1089</v>
      </c>
      <c r="L525" s="58">
        <v>20</v>
      </c>
      <c r="M525" s="58">
        <v>40.969000000000001</v>
      </c>
      <c r="N525" s="215">
        <v>42.715000000000003</v>
      </c>
      <c r="O525" s="260">
        <v>44.933</v>
      </c>
      <c r="P525" s="347">
        <v>43.066000000000003</v>
      </c>
      <c r="Q525" s="347">
        <v>7.5548900000000003</v>
      </c>
      <c r="R525" s="252" t="s">
        <v>115</v>
      </c>
      <c r="S525" s="28">
        <f t="shared" si="16"/>
        <v>35.847577999999999</v>
      </c>
      <c r="T525" s="28">
        <f t="shared" si="17"/>
        <v>35.847577999999999</v>
      </c>
      <c r="U525" s="266" t="b">
        <v>1</v>
      </c>
      <c r="V525" s="266" t="b">
        <v>0</v>
      </c>
      <c r="Z525"/>
    </row>
    <row r="526" spans="1:26" ht="27" customHeight="1">
      <c r="A526" s="143" t="s">
        <v>78</v>
      </c>
      <c r="B526" s="143" t="s">
        <v>107</v>
      </c>
      <c r="C526" s="254" t="s">
        <v>3346</v>
      </c>
      <c r="D526" s="37" t="s">
        <v>649</v>
      </c>
      <c r="E526" s="254"/>
      <c r="F526" s="346" t="s">
        <v>1165</v>
      </c>
      <c r="G526" s="241" t="s">
        <v>2202</v>
      </c>
      <c r="H526" s="241"/>
      <c r="I526" s="241"/>
      <c r="J526" s="134"/>
      <c r="K526" s="27" t="s">
        <v>7</v>
      </c>
      <c r="L526" s="58">
        <v>117.5</v>
      </c>
      <c r="M526" s="58">
        <v>450.791</v>
      </c>
      <c r="N526" s="215">
        <v>451.16</v>
      </c>
      <c r="O526" s="260">
        <v>448.87799999999999</v>
      </c>
      <c r="P526" s="347">
        <v>388.90109999999999</v>
      </c>
      <c r="Q526" s="347">
        <v>422.58600000000001</v>
      </c>
      <c r="R526" s="252">
        <v>419.517</v>
      </c>
      <c r="S526" s="28">
        <f t="shared" si="16"/>
        <v>430.30551666666662</v>
      </c>
      <c r="T526" s="28">
        <f t="shared" si="17"/>
        <v>430.30551666666662</v>
      </c>
      <c r="U526" s="266" t="b">
        <v>1</v>
      </c>
      <c r="V526" s="266" t="b">
        <v>0</v>
      </c>
      <c r="Z526"/>
    </row>
    <row r="527" spans="1:26" ht="27" customHeight="1">
      <c r="A527" s="143" t="s">
        <v>1213</v>
      </c>
      <c r="B527" s="143" t="s">
        <v>1195</v>
      </c>
      <c r="C527" s="254"/>
      <c r="D527" s="37" t="s">
        <v>4597</v>
      </c>
      <c r="E527" s="254" t="s">
        <v>1758</v>
      </c>
      <c r="F527" s="346">
        <v>41814</v>
      </c>
      <c r="G527" s="241" t="s">
        <v>3613</v>
      </c>
      <c r="H527" s="241">
        <v>58753</v>
      </c>
      <c r="I527" s="241"/>
      <c r="J527" s="134" t="s">
        <v>3541</v>
      </c>
      <c r="K527" s="27" t="s">
        <v>1089</v>
      </c>
      <c r="L527" s="58">
        <v>1.5</v>
      </c>
      <c r="M527" s="58">
        <v>3.9089999999999998</v>
      </c>
      <c r="N527" s="215">
        <v>1.52</v>
      </c>
      <c r="O527" s="260" t="s">
        <v>115</v>
      </c>
      <c r="P527" s="347" t="s">
        <v>115</v>
      </c>
      <c r="Q527" s="347" t="s">
        <v>115</v>
      </c>
      <c r="R527" s="252" t="s">
        <v>115</v>
      </c>
      <c r="S527" s="28">
        <f t="shared" si="16"/>
        <v>2.7145000000000001</v>
      </c>
      <c r="T527" s="28">
        <f t="shared" si="17"/>
        <v>2.7145000000000001</v>
      </c>
      <c r="U527" s="266" t="b">
        <v>1</v>
      </c>
      <c r="V527" s="266" t="b">
        <v>0</v>
      </c>
      <c r="Z527"/>
    </row>
    <row r="528" spans="1:26" ht="27" customHeight="1">
      <c r="A528" s="143" t="s">
        <v>1213</v>
      </c>
      <c r="B528" s="143" t="s">
        <v>1196</v>
      </c>
      <c r="C528" s="254"/>
      <c r="D528" s="37" t="s">
        <v>4598</v>
      </c>
      <c r="E528" s="254" t="s">
        <v>1759</v>
      </c>
      <c r="F528" s="346">
        <v>41814</v>
      </c>
      <c r="G528" s="241" t="s">
        <v>3614</v>
      </c>
      <c r="H528" s="241">
        <v>58754</v>
      </c>
      <c r="I528" s="241"/>
      <c r="J528" s="134" t="s">
        <v>3541</v>
      </c>
      <c r="K528" s="27" t="s">
        <v>1089</v>
      </c>
      <c r="L528" s="58">
        <v>1.5</v>
      </c>
      <c r="M528" s="58">
        <v>3.927</v>
      </c>
      <c r="N528" s="215">
        <v>1.5169999999999999</v>
      </c>
      <c r="O528" s="260" t="s">
        <v>115</v>
      </c>
      <c r="P528" s="347" t="s">
        <v>115</v>
      </c>
      <c r="Q528" s="347" t="s">
        <v>115</v>
      </c>
      <c r="R528" s="252" t="s">
        <v>115</v>
      </c>
      <c r="S528" s="28">
        <f t="shared" si="16"/>
        <v>2.722</v>
      </c>
      <c r="T528" s="28">
        <f t="shared" si="17"/>
        <v>2.722</v>
      </c>
      <c r="U528" s="266" t="b">
        <v>1</v>
      </c>
      <c r="V528" s="266" t="b">
        <v>0</v>
      </c>
      <c r="Z528"/>
    </row>
    <row r="529" spans="1:26" ht="27" customHeight="1">
      <c r="A529" s="143" t="s">
        <v>1213</v>
      </c>
      <c r="B529" s="143" t="s">
        <v>1197</v>
      </c>
      <c r="C529" s="254"/>
      <c r="D529" s="37" t="s">
        <v>4599</v>
      </c>
      <c r="E529" s="254" t="s">
        <v>1760</v>
      </c>
      <c r="F529" s="346">
        <v>41814</v>
      </c>
      <c r="G529" s="241" t="s">
        <v>3611</v>
      </c>
      <c r="H529" s="241">
        <v>58755</v>
      </c>
      <c r="I529" s="241"/>
      <c r="J529" s="134" t="s">
        <v>3541</v>
      </c>
      <c r="K529" s="27" t="s">
        <v>1089</v>
      </c>
      <c r="L529" s="58">
        <v>1.5</v>
      </c>
      <c r="M529" s="58">
        <v>3.9409999999999998</v>
      </c>
      <c r="N529" s="215">
        <v>1.548</v>
      </c>
      <c r="O529" s="260" t="s">
        <v>115</v>
      </c>
      <c r="P529" s="347" t="s">
        <v>115</v>
      </c>
      <c r="Q529" s="347" t="s">
        <v>115</v>
      </c>
      <c r="R529" s="252" t="s">
        <v>115</v>
      </c>
      <c r="S529" s="28">
        <f t="shared" si="16"/>
        <v>2.7444999999999999</v>
      </c>
      <c r="T529" s="28">
        <f t="shared" si="17"/>
        <v>2.7444999999999999</v>
      </c>
      <c r="U529" s="266" t="b">
        <v>1</v>
      </c>
      <c r="V529" s="266" t="b">
        <v>0</v>
      </c>
      <c r="Z529"/>
    </row>
    <row r="530" spans="1:26" ht="27" customHeight="1">
      <c r="A530" s="143" t="s">
        <v>1213</v>
      </c>
      <c r="B530" s="143" t="s">
        <v>1198</v>
      </c>
      <c r="C530" s="254"/>
      <c r="D530" s="37" t="s">
        <v>4600</v>
      </c>
      <c r="E530" s="254" t="s">
        <v>1761</v>
      </c>
      <c r="F530" s="346">
        <v>41864</v>
      </c>
      <c r="G530" s="241" t="s">
        <v>3612</v>
      </c>
      <c r="H530" s="241">
        <v>58756</v>
      </c>
      <c r="I530" s="241"/>
      <c r="J530" s="134" t="s">
        <v>3541</v>
      </c>
      <c r="K530" s="27" t="s">
        <v>1089</v>
      </c>
      <c r="L530" s="58">
        <v>1</v>
      </c>
      <c r="M530" s="58">
        <v>2.3519999999999999</v>
      </c>
      <c r="N530" s="215">
        <v>0.505</v>
      </c>
      <c r="O530" s="260" t="s">
        <v>115</v>
      </c>
      <c r="P530" s="347" t="s">
        <v>115</v>
      </c>
      <c r="Q530" s="347" t="s">
        <v>115</v>
      </c>
      <c r="R530" s="252" t="s">
        <v>115</v>
      </c>
      <c r="S530" s="28">
        <f t="shared" si="16"/>
        <v>1.4284999999999999</v>
      </c>
      <c r="T530" s="28">
        <f t="shared" si="17"/>
        <v>1.4284999999999999</v>
      </c>
      <c r="U530" s="266" t="b">
        <v>1</v>
      </c>
      <c r="V530" s="266" t="b">
        <v>0</v>
      </c>
      <c r="Z530"/>
    </row>
    <row r="531" spans="1:26" ht="27" customHeight="1">
      <c r="A531" s="143" t="s">
        <v>1705</v>
      </c>
      <c r="B531" s="143" t="s">
        <v>1704</v>
      </c>
      <c r="C531" s="254" t="s">
        <v>1706</v>
      </c>
      <c r="D531" s="37" t="s">
        <v>3811</v>
      </c>
      <c r="E531" s="254" t="s">
        <v>2878</v>
      </c>
      <c r="F531" s="346">
        <v>42158</v>
      </c>
      <c r="G531" s="241"/>
      <c r="H531" s="241"/>
      <c r="I531" s="241"/>
      <c r="J531" s="134" t="s">
        <v>2689</v>
      </c>
      <c r="K531" s="27" t="s">
        <v>1089</v>
      </c>
      <c r="L531" s="58">
        <v>6.5</v>
      </c>
      <c r="M531" s="58">
        <v>14.35</v>
      </c>
      <c r="N531" s="215" t="s">
        <v>115</v>
      </c>
      <c r="O531" s="260" t="s">
        <v>115</v>
      </c>
      <c r="P531" s="347" t="s">
        <v>115</v>
      </c>
      <c r="Q531" s="347" t="s">
        <v>115</v>
      </c>
      <c r="R531" s="252" t="s">
        <v>115</v>
      </c>
      <c r="S531" s="28">
        <f t="shared" si="16"/>
        <v>14.35</v>
      </c>
      <c r="T531" s="28">
        <f t="shared" si="17"/>
        <v>15.0891</v>
      </c>
      <c r="U531" s="266" t="b">
        <v>1</v>
      </c>
      <c r="V531" s="266" t="b">
        <v>0</v>
      </c>
      <c r="Z531"/>
    </row>
    <row r="532" spans="1:26" ht="27" customHeight="1">
      <c r="A532" s="143" t="s">
        <v>872</v>
      </c>
      <c r="B532" s="143" t="s">
        <v>871</v>
      </c>
      <c r="C532" s="254" t="s">
        <v>3322</v>
      </c>
      <c r="D532" s="37" t="s">
        <v>626</v>
      </c>
      <c r="E532" s="254" t="s">
        <v>2307</v>
      </c>
      <c r="F532" s="346">
        <v>40762</v>
      </c>
      <c r="G532" s="241" t="s">
        <v>2306</v>
      </c>
      <c r="H532" s="241"/>
      <c r="I532" s="241"/>
      <c r="J532" s="134"/>
      <c r="K532" s="27" t="s">
        <v>1089</v>
      </c>
      <c r="L532" s="58">
        <v>20</v>
      </c>
      <c r="M532" s="58">
        <v>42.694000000000003</v>
      </c>
      <c r="N532" s="215">
        <v>42.896999999999998</v>
      </c>
      <c r="O532" s="260">
        <v>44.031999999999996</v>
      </c>
      <c r="P532" s="347">
        <v>43.003999999999998</v>
      </c>
      <c r="Q532" s="347">
        <v>19.667999999999999</v>
      </c>
      <c r="R532" s="252" t="s">
        <v>115</v>
      </c>
      <c r="S532" s="28">
        <f t="shared" si="16"/>
        <v>38.458999999999996</v>
      </c>
      <c r="T532" s="28">
        <f t="shared" si="17"/>
        <v>38.458999999999996</v>
      </c>
      <c r="U532" s="266" t="b">
        <v>1</v>
      </c>
      <c r="V532" s="266" t="b">
        <v>0</v>
      </c>
      <c r="Z532"/>
    </row>
    <row r="533" spans="1:26" ht="27" customHeight="1">
      <c r="A533" s="143" t="s">
        <v>2618</v>
      </c>
      <c r="B533" s="143" t="s">
        <v>4043</v>
      </c>
      <c r="C533" s="254" t="s">
        <v>1707</v>
      </c>
      <c r="D533" s="37" t="s">
        <v>4044</v>
      </c>
      <c r="E533" s="254" t="s">
        <v>2837</v>
      </c>
      <c r="F533" s="346">
        <v>42125</v>
      </c>
      <c r="G533" s="241" t="s">
        <v>2619</v>
      </c>
      <c r="H533" s="241"/>
      <c r="I533" s="241"/>
      <c r="J533" s="134" t="s">
        <v>2946</v>
      </c>
      <c r="K533" s="27" t="s">
        <v>1089</v>
      </c>
      <c r="L533" s="58">
        <v>1.5</v>
      </c>
      <c r="M533" s="58">
        <v>2.4542220000000001</v>
      </c>
      <c r="N533" s="215"/>
      <c r="O533" s="260"/>
      <c r="P533" s="347"/>
      <c r="Q533" s="347"/>
      <c r="R533" s="252"/>
      <c r="S533" s="28">
        <f t="shared" si="16"/>
        <v>2.4542220000000001</v>
      </c>
      <c r="T533" s="28">
        <f t="shared" si="17"/>
        <v>3.4821</v>
      </c>
      <c r="U533" s="266" t="b">
        <v>1</v>
      </c>
      <c r="V533" s="266" t="b">
        <v>0</v>
      </c>
      <c r="Z533"/>
    </row>
    <row r="534" spans="1:26" ht="27" customHeight="1">
      <c r="A534" s="143" t="s">
        <v>57</v>
      </c>
      <c r="B534" s="143" t="s">
        <v>58</v>
      </c>
      <c r="C534" s="254" t="s">
        <v>3301</v>
      </c>
      <c r="D534" s="37" t="s">
        <v>650</v>
      </c>
      <c r="E534" s="254" t="s">
        <v>2990</v>
      </c>
      <c r="F534" s="346">
        <v>35612</v>
      </c>
      <c r="G534" s="241"/>
      <c r="H534" s="241"/>
      <c r="I534" s="241"/>
      <c r="J534" s="134" t="s">
        <v>3284</v>
      </c>
      <c r="K534" s="27" t="s">
        <v>1176</v>
      </c>
      <c r="L534" s="58">
        <v>1.6</v>
      </c>
      <c r="M534" s="58">
        <v>9.6280000000000001</v>
      </c>
      <c r="N534" s="215">
        <v>8.516</v>
      </c>
      <c r="O534" s="260">
        <v>8.4049999999999994</v>
      </c>
      <c r="P534" s="347">
        <v>8.6120000000000001</v>
      </c>
      <c r="Q534" s="347">
        <v>9.0259999999999998</v>
      </c>
      <c r="R534" s="252">
        <v>10.583</v>
      </c>
      <c r="S534" s="28">
        <f t="shared" si="16"/>
        <v>9.1283333333333321</v>
      </c>
      <c r="T534" s="28">
        <f t="shared" si="17"/>
        <v>9.1283333333333321</v>
      </c>
      <c r="U534" s="266" t="b">
        <v>1</v>
      </c>
      <c r="V534" s="266" t="b">
        <v>0</v>
      </c>
      <c r="Z534"/>
    </row>
    <row r="535" spans="1:26" ht="27" customHeight="1">
      <c r="A535" s="143" t="s">
        <v>1965</v>
      </c>
      <c r="B535" s="143" t="s">
        <v>544</v>
      </c>
      <c r="C535" s="254" t="s">
        <v>3379</v>
      </c>
      <c r="D535" s="37" t="s">
        <v>804</v>
      </c>
      <c r="E535" s="254" t="s">
        <v>2824</v>
      </c>
      <c r="F535" s="346">
        <v>40519</v>
      </c>
      <c r="G535" s="241"/>
      <c r="H535" s="241"/>
      <c r="I535" s="241"/>
      <c r="J535" s="134"/>
      <c r="K535" s="27" t="s">
        <v>1089</v>
      </c>
      <c r="L535" s="58">
        <v>4.96</v>
      </c>
      <c r="M535" s="58">
        <v>6.7590000000000003</v>
      </c>
      <c r="N535" s="215">
        <v>6.6040000000000001</v>
      </c>
      <c r="O535" s="260">
        <v>7.1920000000000002</v>
      </c>
      <c r="P535" s="347">
        <v>6.827</v>
      </c>
      <c r="Q535" s="347">
        <v>6.7510000000000003</v>
      </c>
      <c r="R535" s="252">
        <v>1.2250000000000001</v>
      </c>
      <c r="S535" s="28">
        <f t="shared" si="16"/>
        <v>5.8929999999999998</v>
      </c>
      <c r="T535" s="28">
        <f t="shared" si="17"/>
        <v>5.8929999999999998</v>
      </c>
      <c r="U535" s="266" t="b">
        <v>1</v>
      </c>
      <c r="V535" s="266" t="b">
        <v>0</v>
      </c>
      <c r="Z535"/>
    </row>
    <row r="536" spans="1:26" ht="27" customHeight="1">
      <c r="A536" s="143" t="s">
        <v>1489</v>
      </c>
      <c r="B536" s="143" t="s">
        <v>1500</v>
      </c>
      <c r="C536" s="254" t="s">
        <v>1751</v>
      </c>
      <c r="D536" s="37" t="s">
        <v>1268</v>
      </c>
      <c r="E536" s="254" t="s">
        <v>2309</v>
      </c>
      <c r="F536" s="346">
        <v>41883</v>
      </c>
      <c r="G536" s="241" t="s">
        <v>2308</v>
      </c>
      <c r="H536" s="241"/>
      <c r="I536" s="241"/>
      <c r="J536" s="134"/>
      <c r="K536" s="27" t="s">
        <v>2894</v>
      </c>
      <c r="L536" s="58">
        <v>23</v>
      </c>
      <c r="M536" s="58">
        <v>141.655</v>
      </c>
      <c r="N536" s="215">
        <v>49.030999999999999</v>
      </c>
      <c r="O536" s="260" t="s">
        <v>115</v>
      </c>
      <c r="P536" s="347" t="s">
        <v>115</v>
      </c>
      <c r="Q536" s="347" t="s">
        <v>115</v>
      </c>
      <c r="R536" s="252" t="s">
        <v>115</v>
      </c>
      <c r="S536" s="28">
        <f t="shared" si="16"/>
        <v>95.343000000000004</v>
      </c>
      <c r="T536" s="28">
        <f t="shared" si="17"/>
        <v>95.343000000000004</v>
      </c>
      <c r="U536" s="266" t="b">
        <v>1</v>
      </c>
      <c r="V536" s="266" t="b">
        <v>0</v>
      </c>
      <c r="Z536"/>
    </row>
    <row r="537" spans="1:26" ht="27" customHeight="1">
      <c r="A537" s="143" t="s">
        <v>2088</v>
      </c>
      <c r="B537" s="143" t="s">
        <v>1884</v>
      </c>
      <c r="C537" s="254"/>
      <c r="D537" s="37" t="s">
        <v>1376</v>
      </c>
      <c r="E537" s="254" t="s">
        <v>2825</v>
      </c>
      <c r="F537" s="346"/>
      <c r="G537" s="241"/>
      <c r="H537" s="241"/>
      <c r="I537" s="241"/>
      <c r="J537" s="134" t="s">
        <v>3284</v>
      </c>
      <c r="K537" s="27" t="s">
        <v>9</v>
      </c>
      <c r="L537" s="58">
        <v>1</v>
      </c>
      <c r="M537" s="58">
        <v>1.5213099999999999</v>
      </c>
      <c r="N537" s="215">
        <v>1.6022700000000001</v>
      </c>
      <c r="O537" s="260" t="s">
        <v>115</v>
      </c>
      <c r="P537" s="347" t="s">
        <v>115</v>
      </c>
      <c r="Q537" s="347" t="s">
        <v>115</v>
      </c>
      <c r="R537" s="252" t="s">
        <v>115</v>
      </c>
      <c r="S537" s="28">
        <f t="shared" si="16"/>
        <v>1.56179</v>
      </c>
      <c r="T537" s="28">
        <f t="shared" si="17"/>
        <v>1.56179</v>
      </c>
      <c r="U537" s="266" t="b">
        <v>1</v>
      </c>
      <c r="V537" s="266" t="b">
        <v>0</v>
      </c>
      <c r="Z537"/>
    </row>
    <row r="538" spans="1:26" ht="27" customHeight="1">
      <c r="A538" s="143" t="s">
        <v>5168</v>
      </c>
      <c r="B538" s="143" t="s">
        <v>5169</v>
      </c>
      <c r="C538" s="254"/>
      <c r="D538" s="37"/>
      <c r="E538" s="254" t="s">
        <v>1786</v>
      </c>
      <c r="F538" s="346">
        <v>41866</v>
      </c>
      <c r="G538" s="241" t="s">
        <v>478</v>
      </c>
      <c r="H538" s="241">
        <v>59323</v>
      </c>
      <c r="I538" s="241"/>
      <c r="J538" s="134" t="s">
        <v>2946</v>
      </c>
      <c r="K538" s="27" t="s">
        <v>1089</v>
      </c>
      <c r="L538" s="58">
        <v>1.5</v>
      </c>
      <c r="M538" s="58">
        <v>2.3479100000000002</v>
      </c>
      <c r="N538" s="215">
        <v>0.85199999999999998</v>
      </c>
      <c r="O538" s="260"/>
      <c r="P538" s="347"/>
      <c r="Q538" s="347"/>
      <c r="R538" s="252"/>
      <c r="S538" s="28">
        <f t="shared" si="16"/>
        <v>1.599955</v>
      </c>
      <c r="T538" s="28">
        <f t="shared" si="17"/>
        <v>1.599955</v>
      </c>
      <c r="U538" s="266" t="b">
        <v>1</v>
      </c>
      <c r="V538" s="266" t="b">
        <v>0</v>
      </c>
      <c r="Z538"/>
    </row>
    <row r="539" spans="1:26" s="363" customFormat="1" ht="51">
      <c r="A539" s="27" t="s">
        <v>33</v>
      </c>
      <c r="B539" s="27" t="s">
        <v>956</v>
      </c>
      <c r="C539" s="252" t="s">
        <v>3429</v>
      </c>
      <c r="D539" s="250" t="s">
        <v>651</v>
      </c>
      <c r="E539" s="250"/>
      <c r="F539" s="251" t="s">
        <v>957</v>
      </c>
      <c r="G539" s="281" t="s">
        <v>5125</v>
      </c>
      <c r="H539" s="27"/>
      <c r="I539" s="27"/>
      <c r="J539" s="257" t="s">
        <v>1565</v>
      </c>
      <c r="K539" s="27" t="s">
        <v>2894</v>
      </c>
      <c r="L539" s="58">
        <v>5.4</v>
      </c>
      <c r="M539" s="58">
        <v>20.417000000000002</v>
      </c>
      <c r="N539" s="130">
        <v>19.407</v>
      </c>
      <c r="O539" s="28">
        <v>16.101900000000001</v>
      </c>
      <c r="P539" s="29">
        <v>14.499000000000001</v>
      </c>
      <c r="Q539" s="28">
        <v>14.971989999999998</v>
      </c>
      <c r="R539" s="28">
        <v>13.29199</v>
      </c>
      <c r="S539" s="28">
        <f t="shared" si="16"/>
        <v>16.448146666666663</v>
      </c>
      <c r="T539" s="28">
        <f t="shared" si="17"/>
        <v>0</v>
      </c>
      <c r="U539" s="266" t="b">
        <v>1</v>
      </c>
      <c r="V539" s="266" t="b">
        <v>0</v>
      </c>
      <c r="Z539"/>
    </row>
    <row r="540" spans="1:26" s="363" customFormat="1" ht="25.5">
      <c r="A540" s="252" t="s">
        <v>1099</v>
      </c>
      <c r="B540" s="257" t="s">
        <v>3787</v>
      </c>
      <c r="C540" s="252" t="s">
        <v>3418</v>
      </c>
      <c r="D540" s="48" t="s">
        <v>689</v>
      </c>
      <c r="E540" s="48" t="s">
        <v>3454</v>
      </c>
      <c r="F540" s="49">
        <v>41358</v>
      </c>
      <c r="G540" s="188" t="s">
        <v>2574</v>
      </c>
      <c r="H540" s="257"/>
      <c r="I540" s="257"/>
      <c r="J540" s="257"/>
      <c r="K540" s="257" t="s">
        <v>1089</v>
      </c>
      <c r="L540" s="266">
        <v>20</v>
      </c>
      <c r="M540" s="266">
        <v>57.210999999999999</v>
      </c>
      <c r="N540" s="130">
        <v>57.732999999999997</v>
      </c>
      <c r="O540" s="28">
        <v>45.413019999999996</v>
      </c>
      <c r="P540" s="29" t="s">
        <v>115</v>
      </c>
      <c r="Q540" s="31" t="s">
        <v>115</v>
      </c>
      <c r="R540" s="29" t="s">
        <v>115</v>
      </c>
      <c r="S540" s="28">
        <f t="shared" si="16"/>
        <v>53.452339999999992</v>
      </c>
      <c r="T540" s="28">
        <f t="shared" si="17"/>
        <v>53.452339999999992</v>
      </c>
      <c r="U540" s="266" t="b">
        <v>1</v>
      </c>
      <c r="V540" s="266" t="b">
        <v>0</v>
      </c>
      <c r="Z540"/>
    </row>
    <row r="541" spans="1:26" s="363" customFormat="1" ht="25.5">
      <c r="A541" s="261"/>
      <c r="B541" s="260" t="s">
        <v>4610</v>
      </c>
      <c r="C541" s="107"/>
      <c r="D541" s="260" t="s">
        <v>4609</v>
      </c>
      <c r="E541" s="107"/>
      <c r="F541" s="156">
        <v>41153</v>
      </c>
      <c r="G541" s="257"/>
      <c r="H541" s="107"/>
      <c r="I541" s="107"/>
      <c r="J541" s="107"/>
      <c r="K541" s="252" t="s">
        <v>1089</v>
      </c>
      <c r="L541" s="261">
        <v>1</v>
      </c>
      <c r="M541" s="107">
        <v>1.788</v>
      </c>
      <c r="N541" s="107">
        <v>1.8120000000000001</v>
      </c>
      <c r="O541" s="107" t="s">
        <v>115</v>
      </c>
      <c r="P541" s="107" t="s">
        <v>115</v>
      </c>
      <c r="Q541" s="107" t="s">
        <v>115</v>
      </c>
      <c r="R541" s="107" t="s">
        <v>115</v>
      </c>
      <c r="S541" s="28">
        <f t="shared" si="16"/>
        <v>1.8</v>
      </c>
      <c r="T541" s="28">
        <f t="shared" si="17"/>
        <v>1.8</v>
      </c>
      <c r="U541" s="107"/>
      <c r="V541" s="107"/>
      <c r="Z541"/>
    </row>
    <row r="542" spans="1:26" s="363" customFormat="1" ht="15">
      <c r="A542" s="252"/>
      <c r="B542" s="252" t="s">
        <v>1885</v>
      </c>
      <c r="C542" s="257"/>
      <c r="D542" s="48" t="s">
        <v>1451</v>
      </c>
      <c r="E542" s="48"/>
      <c r="F542" s="257"/>
      <c r="G542" s="252"/>
      <c r="H542" s="252"/>
      <c r="I542" s="252"/>
      <c r="J542" s="257" t="s">
        <v>3284</v>
      </c>
      <c r="K542" s="252" t="s">
        <v>9</v>
      </c>
      <c r="L542" s="268">
        <v>1</v>
      </c>
      <c r="M542" s="268">
        <v>2.4408699999999999</v>
      </c>
      <c r="N542" s="32">
        <v>0.21034</v>
      </c>
      <c r="O542" s="32" t="s">
        <v>115</v>
      </c>
      <c r="P542" s="32" t="s">
        <v>115</v>
      </c>
      <c r="Q542" s="253" t="s">
        <v>115</v>
      </c>
      <c r="R542" s="253" t="s">
        <v>115</v>
      </c>
      <c r="S542" s="28">
        <f t="shared" si="16"/>
        <v>1.3256049999999999</v>
      </c>
      <c r="T542" s="28">
        <f t="shared" si="17"/>
        <v>1.3256049999999999</v>
      </c>
      <c r="U542" s="266" t="b">
        <v>1</v>
      </c>
      <c r="V542" s="266" t="b">
        <v>0</v>
      </c>
      <c r="Z542"/>
    </row>
    <row r="543" spans="1:26" s="363" customFormat="1" ht="15">
      <c r="A543" s="252"/>
      <c r="B543" s="252" t="s">
        <v>1886</v>
      </c>
      <c r="C543" s="257"/>
      <c r="D543" s="48" t="s">
        <v>1369</v>
      </c>
      <c r="E543" s="48"/>
      <c r="F543" s="257"/>
      <c r="G543" s="252"/>
      <c r="H543" s="252"/>
      <c r="I543" s="252"/>
      <c r="J543" s="257" t="s">
        <v>3284</v>
      </c>
      <c r="K543" s="252" t="s">
        <v>9</v>
      </c>
      <c r="L543" s="268">
        <v>1.5</v>
      </c>
      <c r="M543" s="268">
        <v>1.59751</v>
      </c>
      <c r="N543" s="32">
        <v>1.8303</v>
      </c>
      <c r="O543" s="32" t="s">
        <v>115</v>
      </c>
      <c r="P543" s="32" t="s">
        <v>115</v>
      </c>
      <c r="Q543" s="253" t="s">
        <v>115</v>
      </c>
      <c r="R543" s="253" t="s">
        <v>115</v>
      </c>
      <c r="S543" s="28">
        <f t="shared" si="16"/>
        <v>1.713905</v>
      </c>
      <c r="T543" s="28">
        <f t="shared" si="17"/>
        <v>1.713905</v>
      </c>
      <c r="U543" s="266" t="b">
        <v>1</v>
      </c>
      <c r="V543" s="266" t="b">
        <v>0</v>
      </c>
      <c r="Z543"/>
    </row>
    <row r="544" spans="1:26" s="363" customFormat="1" ht="25.5">
      <c r="A544" s="252" t="s">
        <v>969</v>
      </c>
      <c r="B544" s="257" t="s">
        <v>1117</v>
      </c>
      <c r="C544" s="252" t="s">
        <v>3419</v>
      </c>
      <c r="D544" s="250" t="s">
        <v>970</v>
      </c>
      <c r="E544" s="250"/>
      <c r="F544" s="50">
        <v>40680</v>
      </c>
      <c r="G544" s="188" t="s">
        <v>2575</v>
      </c>
      <c r="H544" s="257"/>
      <c r="I544" s="257"/>
      <c r="J544" s="257"/>
      <c r="K544" s="27" t="s">
        <v>1089</v>
      </c>
      <c r="L544" s="58">
        <v>1.5</v>
      </c>
      <c r="M544" s="58">
        <v>2.4470000000000001</v>
      </c>
      <c r="N544" s="130">
        <v>2.6</v>
      </c>
      <c r="O544" s="28">
        <v>2.649</v>
      </c>
      <c r="P544" s="35">
        <v>2.609</v>
      </c>
      <c r="Q544" s="28" t="s">
        <v>115</v>
      </c>
      <c r="R544" s="28" t="s">
        <v>115</v>
      </c>
      <c r="S544" s="28">
        <f t="shared" si="16"/>
        <v>2.5762499999999999</v>
      </c>
      <c r="T544" s="28">
        <f t="shared" si="17"/>
        <v>2.5762499999999999</v>
      </c>
      <c r="U544" s="266" t="b">
        <v>1</v>
      </c>
      <c r="V544" s="266" t="b">
        <v>0</v>
      </c>
      <c r="Z544"/>
    </row>
    <row r="545" spans="1:26" s="363" customFormat="1" ht="25.5">
      <c r="A545" s="143" t="s">
        <v>1710</v>
      </c>
      <c r="B545" s="331" t="s">
        <v>1708</v>
      </c>
      <c r="C545" s="252" t="s">
        <v>1709</v>
      </c>
      <c r="D545" s="257" t="s">
        <v>4061</v>
      </c>
      <c r="E545" s="209" t="s">
        <v>2885</v>
      </c>
      <c r="F545" s="151">
        <v>42256</v>
      </c>
      <c r="G545" s="262" t="s">
        <v>2681</v>
      </c>
      <c r="H545" s="262"/>
      <c r="I545" s="262"/>
      <c r="J545" s="260"/>
      <c r="K545" s="257" t="s">
        <v>1089</v>
      </c>
      <c r="L545" s="261">
        <v>7.5</v>
      </c>
      <c r="M545" s="144">
        <v>5.3639999999999999</v>
      </c>
      <c r="N545" s="241"/>
      <c r="O545" s="134"/>
      <c r="P545" s="252"/>
      <c r="Q545" s="179"/>
      <c r="R545" s="252"/>
      <c r="S545" s="28">
        <f t="shared" si="16"/>
        <v>5.3639999999999999</v>
      </c>
      <c r="T545" s="28">
        <f t="shared" si="17"/>
        <v>17.410499999999999</v>
      </c>
      <c r="U545" s="252"/>
      <c r="V545" s="252"/>
      <c r="Z545"/>
    </row>
    <row r="546" spans="1:26" s="363" customFormat="1" ht="25.5">
      <c r="A546" s="143" t="s">
        <v>1591</v>
      </c>
      <c r="B546" s="143" t="s">
        <v>3931</v>
      </c>
      <c r="C546" s="252" t="s">
        <v>1711</v>
      </c>
      <c r="D546" s="257" t="s">
        <v>3786</v>
      </c>
      <c r="E546" s="209" t="s">
        <v>2886</v>
      </c>
      <c r="F546" s="151">
        <v>42064</v>
      </c>
      <c r="G546" s="262" t="s">
        <v>5049</v>
      </c>
      <c r="H546" s="262"/>
      <c r="I546" s="188"/>
      <c r="J546" s="262" t="s">
        <v>5050</v>
      </c>
      <c r="K546" s="257" t="s">
        <v>1089</v>
      </c>
      <c r="L546" s="261">
        <v>1.49</v>
      </c>
      <c r="M546" s="258">
        <v>2.556</v>
      </c>
      <c r="N546" s="258" t="s">
        <v>115</v>
      </c>
      <c r="O546" s="241" t="s">
        <v>115</v>
      </c>
      <c r="P546" s="134" t="s">
        <v>115</v>
      </c>
      <c r="Q546" s="254" t="s">
        <v>115</v>
      </c>
      <c r="R546" s="264" t="s">
        <v>115</v>
      </c>
      <c r="S546" s="28">
        <f t="shared" si="16"/>
        <v>2.556</v>
      </c>
      <c r="T546" s="28">
        <f t="shared" si="17"/>
        <v>3.4588860000000001</v>
      </c>
      <c r="U546" s="266" t="b">
        <v>1</v>
      </c>
      <c r="V546" s="266" t="b">
        <v>0</v>
      </c>
      <c r="Z546"/>
    </row>
    <row r="547" spans="1:26" s="363" customFormat="1" ht="51">
      <c r="A547" s="252"/>
      <c r="B547" s="252" t="s">
        <v>1887</v>
      </c>
      <c r="C547" s="257"/>
      <c r="D547" s="48" t="s">
        <v>1337</v>
      </c>
      <c r="E547" s="181" t="s">
        <v>2500</v>
      </c>
      <c r="F547" s="257"/>
      <c r="G547" s="252" t="s">
        <v>2501</v>
      </c>
      <c r="H547" s="252"/>
      <c r="I547" s="252"/>
      <c r="J547" s="257"/>
      <c r="K547" s="252" t="s">
        <v>9</v>
      </c>
      <c r="L547" s="268">
        <v>15.7</v>
      </c>
      <c r="M547" s="268">
        <v>21.614750000000001</v>
      </c>
      <c r="N547" s="32">
        <v>25.927430000000001</v>
      </c>
      <c r="O547" s="32" t="s">
        <v>115</v>
      </c>
      <c r="P547" s="32" t="s">
        <v>115</v>
      </c>
      <c r="Q547" s="253" t="s">
        <v>115</v>
      </c>
      <c r="R547" s="253" t="s">
        <v>115</v>
      </c>
      <c r="S547" s="28">
        <f t="shared" si="16"/>
        <v>23.771090000000001</v>
      </c>
      <c r="T547" s="28">
        <f t="shared" si="17"/>
        <v>23.771090000000001</v>
      </c>
      <c r="U547" s="266" t="b">
        <v>1</v>
      </c>
      <c r="V547" s="266" t="b">
        <v>0</v>
      </c>
      <c r="Z547"/>
    </row>
    <row r="548" spans="1:26" s="363" customFormat="1" ht="15">
      <c r="A548" s="252"/>
      <c r="B548" s="252" t="s">
        <v>1888</v>
      </c>
      <c r="C548" s="257"/>
      <c r="D548" s="48" t="s">
        <v>1315</v>
      </c>
      <c r="E548" s="48"/>
      <c r="F548" s="257"/>
      <c r="G548" s="252"/>
      <c r="H548" s="252"/>
      <c r="I548" s="252"/>
      <c r="J548" s="257"/>
      <c r="K548" s="252" t="s">
        <v>9</v>
      </c>
      <c r="L548" s="268">
        <v>29</v>
      </c>
      <c r="M548" s="268">
        <v>56.134120000000003</v>
      </c>
      <c r="N548" s="32">
        <v>72.601429999999993</v>
      </c>
      <c r="O548" s="32" t="s">
        <v>115</v>
      </c>
      <c r="P548" s="32" t="s">
        <v>115</v>
      </c>
      <c r="Q548" s="253" t="s">
        <v>115</v>
      </c>
      <c r="R548" s="253" t="s">
        <v>115</v>
      </c>
      <c r="S548" s="28">
        <f t="shared" si="16"/>
        <v>64.367774999999995</v>
      </c>
      <c r="T548" s="28">
        <f t="shared" si="17"/>
        <v>64.367774999999995</v>
      </c>
      <c r="U548" s="266" t="b">
        <v>1</v>
      </c>
      <c r="V548" s="266" t="b">
        <v>0</v>
      </c>
      <c r="Z548"/>
    </row>
    <row r="549" spans="1:26" s="363" customFormat="1" ht="15">
      <c r="A549" s="252"/>
      <c r="B549" s="252" t="s">
        <v>1889</v>
      </c>
      <c r="C549" s="257"/>
      <c r="D549" s="48" t="s">
        <v>1444</v>
      </c>
      <c r="E549" s="48"/>
      <c r="F549" s="257"/>
      <c r="G549" s="252"/>
      <c r="H549" s="252"/>
      <c r="I549" s="252"/>
      <c r="J549" s="257"/>
      <c r="K549" s="252" t="s">
        <v>9</v>
      </c>
      <c r="L549" s="268">
        <v>7.4</v>
      </c>
      <c r="M549" s="268">
        <v>12.68989</v>
      </c>
      <c r="N549" s="32">
        <v>14.099549999999999</v>
      </c>
      <c r="O549" s="32" t="s">
        <v>115</v>
      </c>
      <c r="P549" s="32" t="s">
        <v>115</v>
      </c>
      <c r="Q549" s="253" t="s">
        <v>115</v>
      </c>
      <c r="R549" s="253" t="s">
        <v>115</v>
      </c>
      <c r="S549" s="28">
        <f t="shared" si="16"/>
        <v>13.39472</v>
      </c>
      <c r="T549" s="28">
        <f t="shared" si="17"/>
        <v>13.39472</v>
      </c>
      <c r="U549" s="266" t="b">
        <v>1</v>
      </c>
      <c r="V549" s="266" t="b">
        <v>0</v>
      </c>
      <c r="Z549"/>
    </row>
    <row r="550" spans="1:26" s="363" customFormat="1" ht="25.5">
      <c r="A550" s="54" t="s">
        <v>1499</v>
      </c>
      <c r="B550" s="257" t="s">
        <v>1498</v>
      </c>
      <c r="C550" s="252"/>
      <c r="D550" s="250" t="s">
        <v>1267</v>
      </c>
      <c r="E550" s="250"/>
      <c r="F550" s="251"/>
      <c r="G550" s="200" t="s">
        <v>2577</v>
      </c>
      <c r="H550" s="252"/>
      <c r="I550" s="252"/>
      <c r="J550" s="257"/>
      <c r="K550" s="27" t="s">
        <v>2894</v>
      </c>
      <c r="L550" s="58">
        <v>2.8</v>
      </c>
      <c r="M550" s="58">
        <v>0.96199999999999997</v>
      </c>
      <c r="N550" s="130">
        <v>3.0249999999999999</v>
      </c>
      <c r="O550" s="28">
        <v>7.0570000000000004</v>
      </c>
      <c r="P550" s="32" t="s">
        <v>115</v>
      </c>
      <c r="Q550" s="32" t="s">
        <v>115</v>
      </c>
      <c r="R550" s="32" t="s">
        <v>115</v>
      </c>
      <c r="S550" s="28">
        <f t="shared" si="16"/>
        <v>3.6813333333333333</v>
      </c>
      <c r="T550" s="28">
        <f t="shared" si="17"/>
        <v>3.6813333333333333</v>
      </c>
      <c r="U550" s="266" t="b">
        <v>1</v>
      </c>
      <c r="V550" s="266" t="b">
        <v>0</v>
      </c>
      <c r="Z550"/>
    </row>
    <row r="551" spans="1:26" s="363" customFormat="1" ht="25.5">
      <c r="A551" s="252" t="s">
        <v>1097</v>
      </c>
      <c r="B551" s="257" t="s">
        <v>1008</v>
      </c>
      <c r="C551" s="252" t="s">
        <v>1712</v>
      </c>
      <c r="D551" s="250" t="s">
        <v>877</v>
      </c>
      <c r="E551" s="250"/>
      <c r="F551" s="251">
        <v>41518</v>
      </c>
      <c r="G551" s="188" t="s">
        <v>2314</v>
      </c>
      <c r="H551" s="257"/>
      <c r="I551" s="257"/>
      <c r="J551" s="257"/>
      <c r="K551" s="257" t="s">
        <v>1089</v>
      </c>
      <c r="L551" s="268">
        <v>550</v>
      </c>
      <c r="M551" s="268">
        <v>1301.337</v>
      </c>
      <c r="N551" s="130">
        <v>1105.857</v>
      </c>
      <c r="O551" s="28">
        <v>428.56101000000001</v>
      </c>
      <c r="P551" s="29" t="s">
        <v>115</v>
      </c>
      <c r="Q551" s="31" t="s">
        <v>115</v>
      </c>
      <c r="R551" s="29" t="s">
        <v>115</v>
      </c>
      <c r="S551" s="28">
        <f t="shared" si="16"/>
        <v>945.25166999999999</v>
      </c>
      <c r="T551" s="28">
        <f t="shared" si="17"/>
        <v>945.25166999999999</v>
      </c>
      <c r="U551" s="266" t="b">
        <v>1</v>
      </c>
      <c r="V551" s="266" t="b">
        <v>0</v>
      </c>
      <c r="Z551"/>
    </row>
    <row r="552" spans="1:26" s="363" customFormat="1" ht="25.5">
      <c r="A552" s="27" t="s">
        <v>48</v>
      </c>
      <c r="B552" s="27" t="s">
        <v>63</v>
      </c>
      <c r="C552" s="252" t="s">
        <v>3310</v>
      </c>
      <c r="D552" s="250" t="s">
        <v>652</v>
      </c>
      <c r="E552" s="250" t="s">
        <v>2826</v>
      </c>
      <c r="F552" s="251">
        <v>31413</v>
      </c>
      <c r="G552" s="281"/>
      <c r="H552" s="27"/>
      <c r="I552" s="27"/>
      <c r="J552" s="257" t="s">
        <v>1993</v>
      </c>
      <c r="K552" s="27" t="s">
        <v>1177</v>
      </c>
      <c r="L552" s="58">
        <f>9.9+9.9+9.9+8.7</f>
        <v>38.400000000000006</v>
      </c>
      <c r="M552" s="58">
        <v>154.06901000000002</v>
      </c>
      <c r="N552" s="130">
        <v>146.20901000000001</v>
      </c>
      <c r="O552" s="28">
        <v>134.00638000000001</v>
      </c>
      <c r="P552" s="29">
        <v>131.97622000000001</v>
      </c>
      <c r="Q552" s="28">
        <v>132.18412000000001</v>
      </c>
      <c r="R552" s="28">
        <v>134.66413</v>
      </c>
      <c r="S552" s="28">
        <f t="shared" si="16"/>
        <v>138.85147833333335</v>
      </c>
      <c r="T552" s="28">
        <f t="shared" si="17"/>
        <v>138.85147833333335</v>
      </c>
      <c r="U552" s="266" t="b">
        <v>1</v>
      </c>
      <c r="V552" s="266" t="b">
        <v>0</v>
      </c>
      <c r="Z552"/>
    </row>
    <row r="553" spans="1:26" s="363" customFormat="1" ht="25.5">
      <c r="A553" s="27" t="s">
        <v>52</v>
      </c>
      <c r="B553" s="27" t="s">
        <v>53</v>
      </c>
      <c r="C553" s="252"/>
      <c r="D553" s="250" t="s">
        <v>654</v>
      </c>
      <c r="E553" s="250" t="s">
        <v>2827</v>
      </c>
      <c r="F553" s="251">
        <v>31382</v>
      </c>
      <c r="G553" s="281"/>
      <c r="H553" s="27"/>
      <c r="I553" s="27"/>
      <c r="J553" s="257"/>
      <c r="K553" s="27" t="s">
        <v>2894</v>
      </c>
      <c r="L553" s="58">
        <v>1.88</v>
      </c>
      <c r="M553" s="58">
        <v>5.1600100000000007</v>
      </c>
      <c r="N553" s="130">
        <v>9.8659999999999997</v>
      </c>
      <c r="O553" s="28">
        <v>8.6700099999999996</v>
      </c>
      <c r="P553" s="29">
        <v>10.64</v>
      </c>
      <c r="Q553" s="28">
        <v>6.6239999999999997</v>
      </c>
      <c r="R553" s="28">
        <v>10.15</v>
      </c>
      <c r="S553" s="28">
        <f t="shared" si="16"/>
        <v>8.5183366666666664</v>
      </c>
      <c r="T553" s="28">
        <f t="shared" si="17"/>
        <v>8.5183366666666664</v>
      </c>
      <c r="U553" s="266" t="b">
        <v>1</v>
      </c>
      <c r="V553" s="266" t="b">
        <v>0</v>
      </c>
      <c r="Z553"/>
    </row>
    <row r="554" spans="1:26" s="363" customFormat="1" ht="25.5">
      <c r="A554" s="27" t="s">
        <v>38</v>
      </c>
      <c r="B554" s="27" t="s">
        <v>39</v>
      </c>
      <c r="C554" s="252" t="s">
        <v>3420</v>
      </c>
      <c r="D554" s="250" t="s">
        <v>655</v>
      </c>
      <c r="E554" s="250"/>
      <c r="F554" s="251">
        <v>32989</v>
      </c>
      <c r="G554" s="281" t="s">
        <v>2313</v>
      </c>
      <c r="H554" s="281"/>
      <c r="I554" s="27"/>
      <c r="J554" s="257"/>
      <c r="K554" s="252" t="s">
        <v>3</v>
      </c>
      <c r="L554" s="58">
        <v>23</v>
      </c>
      <c r="M554" s="58"/>
      <c r="N554" s="130">
        <v>114.74800999999999</v>
      </c>
      <c r="O554" s="28">
        <v>125.47799999999999</v>
      </c>
      <c r="P554" s="29">
        <v>126.87700000000001</v>
      </c>
      <c r="Q554" s="28">
        <v>148.49799999999999</v>
      </c>
      <c r="R554" s="28">
        <v>137.869</v>
      </c>
      <c r="S554" s="28">
        <f t="shared" si="16"/>
        <v>0</v>
      </c>
      <c r="T554" s="28">
        <f t="shared" si="17"/>
        <v>0</v>
      </c>
      <c r="U554" s="266" t="b">
        <v>0</v>
      </c>
      <c r="V554" s="266" t="b">
        <v>0</v>
      </c>
      <c r="Z554"/>
    </row>
    <row r="555" spans="1:26" s="363" customFormat="1" ht="25.5">
      <c r="A555" s="143" t="s">
        <v>1754</v>
      </c>
      <c r="B555" s="27" t="s">
        <v>3552</v>
      </c>
      <c r="C555" s="252"/>
      <c r="D555" s="250"/>
      <c r="E555" s="250" t="s">
        <v>3553</v>
      </c>
      <c r="F555" s="251">
        <v>41656</v>
      </c>
      <c r="G555" s="281" t="s">
        <v>3745</v>
      </c>
      <c r="H555" s="247">
        <v>58642</v>
      </c>
      <c r="I555" s="247"/>
      <c r="J555" s="257" t="s">
        <v>2946</v>
      </c>
      <c r="K555" s="257" t="s">
        <v>1089</v>
      </c>
      <c r="L555" s="58">
        <v>3</v>
      </c>
      <c r="M555" s="58">
        <v>5.94</v>
      </c>
      <c r="N555" s="130">
        <v>5.58</v>
      </c>
      <c r="O555" s="130"/>
      <c r="P555" s="130"/>
      <c r="Q555" s="130"/>
      <c r="R555" s="130"/>
      <c r="S555" s="28">
        <f t="shared" si="16"/>
        <v>5.76</v>
      </c>
      <c r="T555" s="28">
        <f t="shared" si="17"/>
        <v>5.76</v>
      </c>
      <c r="U555" s="266" t="b">
        <v>1</v>
      </c>
      <c r="V555" s="266" t="b">
        <v>0</v>
      </c>
      <c r="Z555"/>
    </row>
    <row r="556" spans="1:26" s="363" customFormat="1" ht="15">
      <c r="A556" s="252"/>
      <c r="B556" s="46" t="s">
        <v>1046</v>
      </c>
      <c r="C556" s="252"/>
      <c r="D556" s="250" t="s">
        <v>1045</v>
      </c>
      <c r="E556" s="250" t="s">
        <v>2828</v>
      </c>
      <c r="F556" s="43" t="s">
        <v>1121</v>
      </c>
      <c r="G556" s="243"/>
      <c r="H556" s="46"/>
      <c r="I556" s="46"/>
      <c r="J556" s="257"/>
      <c r="K556" s="257" t="s">
        <v>1089</v>
      </c>
      <c r="L556" s="258">
        <v>2.5</v>
      </c>
      <c r="M556" s="258">
        <v>4.0060000000000002</v>
      </c>
      <c r="N556" s="130">
        <v>4.0060000000000002</v>
      </c>
      <c r="O556" s="136">
        <v>4.0060000000000002</v>
      </c>
      <c r="P556" s="37">
        <v>4.0060000000000002</v>
      </c>
      <c r="Q556" s="37" t="s">
        <v>115</v>
      </c>
      <c r="R556" s="37" t="s">
        <v>115</v>
      </c>
      <c r="S556" s="28">
        <f t="shared" si="16"/>
        <v>4.0060000000000002</v>
      </c>
      <c r="T556" s="28">
        <f t="shared" si="17"/>
        <v>4.0060000000000002</v>
      </c>
      <c r="U556" s="266" t="b">
        <v>1</v>
      </c>
      <c r="V556" s="266" t="b">
        <v>0</v>
      </c>
      <c r="Z556"/>
    </row>
    <row r="557" spans="1:26" s="363" customFormat="1" ht="25.5">
      <c r="A557" s="261"/>
      <c r="B557" s="260" t="s">
        <v>4632</v>
      </c>
      <c r="C557" s="107"/>
      <c r="D557" s="260" t="s">
        <v>4631</v>
      </c>
      <c r="E557" s="107"/>
      <c r="F557" s="156">
        <v>39600</v>
      </c>
      <c r="G557" s="257"/>
      <c r="H557" s="107"/>
      <c r="I557" s="107"/>
      <c r="J557" s="107"/>
      <c r="K557" s="252" t="s">
        <v>1089</v>
      </c>
      <c r="L557" s="261">
        <v>1.2</v>
      </c>
      <c r="M557" s="107">
        <v>2.552</v>
      </c>
      <c r="N557" s="107">
        <v>2.552</v>
      </c>
      <c r="O557" s="107">
        <v>1.901</v>
      </c>
      <c r="P557" s="107">
        <v>1.897</v>
      </c>
      <c r="Q557" s="107">
        <v>1.782</v>
      </c>
      <c r="R557" s="107">
        <v>1.6855</v>
      </c>
      <c r="S557" s="28">
        <f t="shared" si="16"/>
        <v>2.0615833333333331</v>
      </c>
      <c r="T557" s="28">
        <f t="shared" si="17"/>
        <v>2.0615833333333331</v>
      </c>
      <c r="U557" s="107"/>
      <c r="V557" s="107"/>
      <c r="Z557"/>
    </row>
    <row r="558" spans="1:26" s="363" customFormat="1" ht="25.5">
      <c r="A558" s="27" t="s">
        <v>474</v>
      </c>
      <c r="B558" s="27" t="s">
        <v>523</v>
      </c>
      <c r="C558" s="252" t="s">
        <v>3371</v>
      </c>
      <c r="D558" s="29" t="s">
        <v>656</v>
      </c>
      <c r="E558" s="29" t="s">
        <v>2829</v>
      </c>
      <c r="F558" s="251">
        <v>40169</v>
      </c>
      <c r="G558" s="281" t="s">
        <v>3708</v>
      </c>
      <c r="H558" s="27"/>
      <c r="I558" s="27"/>
      <c r="J558" s="257"/>
      <c r="K558" s="27" t="s">
        <v>1089</v>
      </c>
      <c r="L558" s="58">
        <v>2</v>
      </c>
      <c r="M558" s="58">
        <v>4.4249999999999998</v>
      </c>
      <c r="N558" s="130">
        <v>4.056</v>
      </c>
      <c r="O558" s="28">
        <v>4.7069999999999999</v>
      </c>
      <c r="P558" s="29">
        <v>4.2110000000000003</v>
      </c>
      <c r="Q558" s="28">
        <v>4.2670000000000003</v>
      </c>
      <c r="R558" s="28">
        <v>4.1219999999999999</v>
      </c>
      <c r="S558" s="28">
        <f t="shared" si="16"/>
        <v>4.298</v>
      </c>
      <c r="T558" s="28">
        <f t="shared" si="17"/>
        <v>4.298</v>
      </c>
      <c r="U558" s="266" t="b">
        <v>1</v>
      </c>
      <c r="V558" s="266" t="b">
        <v>0</v>
      </c>
      <c r="Z558"/>
    </row>
    <row r="559" spans="1:26" s="363" customFormat="1" ht="51">
      <c r="A559" s="252" t="s">
        <v>1194</v>
      </c>
      <c r="B559" s="46" t="s">
        <v>1059</v>
      </c>
      <c r="C559" s="252" t="s">
        <v>3434</v>
      </c>
      <c r="D559" s="48" t="s">
        <v>1058</v>
      </c>
      <c r="E559" s="181" t="s">
        <v>2830</v>
      </c>
      <c r="F559" s="43" t="s">
        <v>1123</v>
      </c>
      <c r="G559" s="278" t="s">
        <v>3746</v>
      </c>
      <c r="H559" s="46"/>
      <c r="I559" s="46"/>
      <c r="J559" s="257"/>
      <c r="K559" s="257" t="s">
        <v>1089</v>
      </c>
      <c r="L559" s="266">
        <v>7.5</v>
      </c>
      <c r="M559" s="266">
        <v>17.117999999999999</v>
      </c>
      <c r="N559" s="130">
        <v>17.117999999999999</v>
      </c>
      <c r="O559" s="28"/>
      <c r="P559" s="37" t="s">
        <v>115</v>
      </c>
      <c r="Q559" s="37" t="s">
        <v>115</v>
      </c>
      <c r="R559" s="37" t="s">
        <v>115</v>
      </c>
      <c r="S559" s="28">
        <f t="shared" si="16"/>
        <v>17.117999999999999</v>
      </c>
      <c r="T559" s="28">
        <f t="shared" si="17"/>
        <v>17.117999999999999</v>
      </c>
      <c r="U559" s="266" t="b">
        <v>1</v>
      </c>
      <c r="V559" s="266" t="b">
        <v>0</v>
      </c>
      <c r="Z559"/>
    </row>
    <row r="560" spans="1:26" s="363" customFormat="1" ht="15">
      <c r="A560" s="257" t="s">
        <v>480</v>
      </c>
      <c r="B560" s="46" t="s">
        <v>1987</v>
      </c>
      <c r="C560" s="257"/>
      <c r="D560" s="48" t="s">
        <v>2941</v>
      </c>
      <c r="E560" s="48" t="s">
        <v>1986</v>
      </c>
      <c r="F560" s="43"/>
      <c r="G560" s="243"/>
      <c r="H560" s="243"/>
      <c r="I560" s="46"/>
      <c r="J560" s="257" t="s">
        <v>2946</v>
      </c>
      <c r="K560" s="257" t="s">
        <v>494</v>
      </c>
      <c r="L560" s="266"/>
      <c r="M560" s="266">
        <v>37.570878</v>
      </c>
      <c r="N560" s="130">
        <v>133.4</v>
      </c>
      <c r="O560" s="28"/>
      <c r="P560" s="29"/>
      <c r="Q560" s="29"/>
      <c r="R560" s="29"/>
      <c r="S560" s="28">
        <f t="shared" si="16"/>
        <v>85.485439</v>
      </c>
      <c r="T560" s="28">
        <f t="shared" si="17"/>
        <v>85.485439</v>
      </c>
      <c r="U560" s="266" t="b">
        <v>1</v>
      </c>
      <c r="V560" s="266" t="b">
        <v>0</v>
      </c>
      <c r="Z560"/>
    </row>
    <row r="561" spans="1:26" s="363" customFormat="1" ht="15">
      <c r="A561" s="252"/>
      <c r="B561" s="252" t="s">
        <v>1890</v>
      </c>
      <c r="C561" s="257"/>
      <c r="D561" s="48" t="s">
        <v>1368</v>
      </c>
      <c r="E561" s="48" t="s">
        <v>4920</v>
      </c>
      <c r="F561" s="257"/>
      <c r="G561" s="252" t="s">
        <v>2320</v>
      </c>
      <c r="H561" s="252"/>
      <c r="I561" s="252"/>
      <c r="J561" s="257"/>
      <c r="K561" s="252" t="s">
        <v>9</v>
      </c>
      <c r="L561" s="268">
        <v>78.2</v>
      </c>
      <c r="M561" s="268">
        <v>247.87532999999999</v>
      </c>
      <c r="N561" s="32">
        <v>238.17051000000001</v>
      </c>
      <c r="O561" s="32" t="s">
        <v>115</v>
      </c>
      <c r="P561" s="32" t="s">
        <v>115</v>
      </c>
      <c r="Q561" s="253" t="s">
        <v>115</v>
      </c>
      <c r="R561" s="253" t="s">
        <v>115</v>
      </c>
      <c r="S561" s="28">
        <f t="shared" si="16"/>
        <v>243.02292</v>
      </c>
      <c r="T561" s="28">
        <f t="shared" si="17"/>
        <v>243.02292</v>
      </c>
      <c r="U561" s="266" t="b">
        <v>1</v>
      </c>
      <c r="V561" s="266" t="b">
        <v>0</v>
      </c>
      <c r="Z561"/>
    </row>
    <row r="562" spans="1:26" s="363" customFormat="1" ht="25.5">
      <c r="A562" s="252" t="s">
        <v>1581</v>
      </c>
      <c r="B562" s="256" t="s">
        <v>1544</v>
      </c>
      <c r="C562" s="252" t="s">
        <v>1713</v>
      </c>
      <c r="D562" s="250" t="s">
        <v>2859</v>
      </c>
      <c r="E562" s="163" t="s">
        <v>2858</v>
      </c>
      <c r="F562" s="251">
        <v>42087</v>
      </c>
      <c r="G562" s="262" t="s">
        <v>3629</v>
      </c>
      <c r="H562" s="262"/>
      <c r="I562" s="252"/>
      <c r="J562" s="262" t="s">
        <v>1576</v>
      </c>
      <c r="K562" s="257" t="s">
        <v>1089</v>
      </c>
      <c r="L562" s="258">
        <v>20</v>
      </c>
      <c r="M562" s="252">
        <v>30.430019999999999</v>
      </c>
      <c r="N562" s="252" t="s">
        <v>115</v>
      </c>
      <c r="O562" s="241" t="s">
        <v>115</v>
      </c>
      <c r="P562" s="253" t="s">
        <v>115</v>
      </c>
      <c r="Q562" s="254" t="s">
        <v>115</v>
      </c>
      <c r="R562" s="188" t="s">
        <v>115</v>
      </c>
      <c r="S562" s="28">
        <f t="shared" si="16"/>
        <v>30.430019999999999</v>
      </c>
      <c r="T562" s="28">
        <f t="shared" si="17"/>
        <v>46.428000000000004</v>
      </c>
      <c r="U562" s="266" t="b">
        <v>1</v>
      </c>
      <c r="V562" s="266" t="b">
        <v>0</v>
      </c>
      <c r="Z562"/>
    </row>
    <row r="563" spans="1:26" s="363" customFormat="1" ht="25.5">
      <c r="A563" s="252" t="s">
        <v>2887</v>
      </c>
      <c r="B563" s="256" t="s">
        <v>3812</v>
      </c>
      <c r="C563" s="252"/>
      <c r="D563" s="250" t="s">
        <v>3813</v>
      </c>
      <c r="E563" s="163" t="s">
        <v>2888</v>
      </c>
      <c r="F563" s="251">
        <v>42107</v>
      </c>
      <c r="G563" s="262" t="s">
        <v>3667</v>
      </c>
      <c r="H563" s="262"/>
      <c r="I563" s="252"/>
      <c r="J563" s="252"/>
      <c r="K563" s="257" t="s">
        <v>1089</v>
      </c>
      <c r="L563" s="258">
        <v>1.5</v>
      </c>
      <c r="M563" s="252">
        <v>2.2010000000000001</v>
      </c>
      <c r="N563" s="252" t="s">
        <v>115</v>
      </c>
      <c r="O563" s="241" t="s">
        <v>115</v>
      </c>
      <c r="P563" s="253" t="s">
        <v>115</v>
      </c>
      <c r="Q563" s="262" t="s">
        <v>115</v>
      </c>
      <c r="R563" s="188" t="s">
        <v>115</v>
      </c>
      <c r="S563" s="28">
        <f t="shared" si="16"/>
        <v>2.2010000000000001</v>
      </c>
      <c r="T563" s="28">
        <f t="shared" si="17"/>
        <v>3.4821</v>
      </c>
      <c r="U563" s="266" t="b">
        <v>1</v>
      </c>
      <c r="V563" s="266" t="b">
        <v>0</v>
      </c>
      <c r="Z563"/>
    </row>
    <row r="564" spans="1:26" s="363" customFormat="1" ht="25.5">
      <c r="A564" s="252" t="s">
        <v>2887</v>
      </c>
      <c r="B564" s="256" t="s">
        <v>3932</v>
      </c>
      <c r="C564" s="252"/>
      <c r="D564" s="250" t="s">
        <v>3814</v>
      </c>
      <c r="E564" s="163" t="s">
        <v>2889</v>
      </c>
      <c r="F564" s="251">
        <v>42108</v>
      </c>
      <c r="G564" s="262" t="s">
        <v>3668</v>
      </c>
      <c r="H564" s="262"/>
      <c r="I564" s="252"/>
      <c r="J564" s="252"/>
      <c r="K564" s="257" t="s">
        <v>1089</v>
      </c>
      <c r="L564" s="258">
        <v>1.5</v>
      </c>
      <c r="M564" s="252">
        <v>2.617</v>
      </c>
      <c r="N564" s="252" t="s">
        <v>115</v>
      </c>
      <c r="O564" s="241" t="s">
        <v>115</v>
      </c>
      <c r="P564" s="253" t="s">
        <v>115</v>
      </c>
      <c r="Q564" s="262" t="s">
        <v>115</v>
      </c>
      <c r="R564" s="188" t="s">
        <v>115</v>
      </c>
      <c r="S564" s="28">
        <f t="shared" si="16"/>
        <v>2.617</v>
      </c>
      <c r="T564" s="28">
        <f t="shared" si="17"/>
        <v>3.4821</v>
      </c>
      <c r="U564" s="266" t="b">
        <v>1</v>
      </c>
      <c r="V564" s="266" t="b">
        <v>0</v>
      </c>
      <c r="Z564"/>
    </row>
    <row r="565" spans="1:26" s="363" customFormat="1" ht="25.5">
      <c r="A565" s="143" t="s">
        <v>1718</v>
      </c>
      <c r="B565" s="143" t="s">
        <v>1714</v>
      </c>
      <c r="C565" s="252" t="s">
        <v>1716</v>
      </c>
      <c r="D565" s="257" t="s">
        <v>3815</v>
      </c>
      <c r="E565" s="209" t="s">
        <v>2890</v>
      </c>
      <c r="F565" s="151">
        <v>42167</v>
      </c>
      <c r="G565" s="262" t="s">
        <v>3587</v>
      </c>
      <c r="H565" s="262"/>
      <c r="I565" s="252"/>
      <c r="J565" s="260" t="s">
        <v>2690</v>
      </c>
      <c r="K565" s="257" t="s">
        <v>1089</v>
      </c>
      <c r="L565" s="261">
        <v>5</v>
      </c>
      <c r="M565" s="252">
        <v>6.5069999999999997</v>
      </c>
      <c r="N565" s="252" t="s">
        <v>115</v>
      </c>
      <c r="O565" s="241" t="s">
        <v>115</v>
      </c>
      <c r="P565" s="134" t="s">
        <v>115</v>
      </c>
      <c r="Q565" s="254" t="s">
        <v>115</v>
      </c>
      <c r="R565" s="264" t="s">
        <v>115</v>
      </c>
      <c r="S565" s="28">
        <f t="shared" si="16"/>
        <v>6.5069999999999997</v>
      </c>
      <c r="T565" s="28">
        <f t="shared" si="17"/>
        <v>11.607000000000001</v>
      </c>
      <c r="U565" s="266" t="b">
        <v>1</v>
      </c>
      <c r="V565" s="266" t="b">
        <v>0</v>
      </c>
      <c r="Z565"/>
    </row>
    <row r="566" spans="1:26" s="363" customFormat="1" ht="25.5">
      <c r="A566" s="143" t="s">
        <v>1719</v>
      </c>
      <c r="B566" s="143" t="s">
        <v>1715</v>
      </c>
      <c r="C566" s="252" t="s">
        <v>1717</v>
      </c>
      <c r="D566" s="257" t="s">
        <v>3816</v>
      </c>
      <c r="E566" s="209" t="s">
        <v>2891</v>
      </c>
      <c r="F566" s="151">
        <v>42167</v>
      </c>
      <c r="G566" s="262" t="s">
        <v>3588</v>
      </c>
      <c r="H566" s="262"/>
      <c r="I566" s="252"/>
      <c r="J566" s="260" t="s">
        <v>2691</v>
      </c>
      <c r="K566" s="257" t="s">
        <v>1089</v>
      </c>
      <c r="L566" s="261">
        <v>5</v>
      </c>
      <c r="M566" s="252">
        <v>6.3470000000000004</v>
      </c>
      <c r="N566" s="252" t="s">
        <v>115</v>
      </c>
      <c r="O566" s="241" t="s">
        <v>115</v>
      </c>
      <c r="P566" s="134" t="s">
        <v>115</v>
      </c>
      <c r="Q566" s="254" t="s">
        <v>115</v>
      </c>
      <c r="R566" s="264" t="s">
        <v>115</v>
      </c>
      <c r="S566" s="28">
        <f t="shared" si="16"/>
        <v>6.3470000000000004</v>
      </c>
      <c r="T566" s="28">
        <f t="shared" si="17"/>
        <v>11.607000000000001</v>
      </c>
      <c r="U566" s="266" t="b">
        <v>1</v>
      </c>
      <c r="V566" s="266" t="b">
        <v>0</v>
      </c>
      <c r="Z566"/>
    </row>
    <row r="567" spans="1:26" s="363" customFormat="1" ht="15">
      <c r="A567" s="252"/>
      <c r="B567" s="252" t="s">
        <v>2955</v>
      </c>
      <c r="C567" s="257"/>
      <c r="D567" s="48"/>
      <c r="E567" s="48" t="s">
        <v>2959</v>
      </c>
      <c r="F567" s="172">
        <v>41948</v>
      </c>
      <c r="G567" s="200" t="s">
        <v>3638</v>
      </c>
      <c r="H567" s="188">
        <v>59269</v>
      </c>
      <c r="I567" s="188"/>
      <c r="J567" s="257" t="s">
        <v>2946</v>
      </c>
      <c r="K567" s="257" t="s">
        <v>1089</v>
      </c>
      <c r="L567" s="268">
        <v>1.5</v>
      </c>
      <c r="M567" s="268">
        <v>3.8817020000000002</v>
      </c>
      <c r="N567" s="32">
        <v>0.38300000000000001</v>
      </c>
      <c r="O567" s="32"/>
      <c r="P567" s="32"/>
      <c r="Q567" s="253"/>
      <c r="R567" s="253"/>
      <c r="S567" s="28">
        <f t="shared" si="16"/>
        <v>2.1323509999999999</v>
      </c>
      <c r="T567" s="28">
        <f t="shared" si="17"/>
        <v>2.1323509999999999</v>
      </c>
      <c r="U567" s="266" t="b">
        <v>1</v>
      </c>
      <c r="V567" s="266" t="b">
        <v>0</v>
      </c>
      <c r="Z567"/>
    </row>
    <row r="568" spans="1:26" s="363" customFormat="1" ht="15">
      <c r="A568" s="252"/>
      <c r="B568" s="252" t="s">
        <v>2956</v>
      </c>
      <c r="C568" s="257"/>
      <c r="D568" s="260" t="s">
        <v>4650</v>
      </c>
      <c r="E568" s="48" t="s">
        <v>2960</v>
      </c>
      <c r="F568" s="172">
        <v>41948</v>
      </c>
      <c r="G568" s="200" t="s">
        <v>3639</v>
      </c>
      <c r="H568" s="188">
        <v>59270</v>
      </c>
      <c r="I568" s="188"/>
      <c r="J568" s="257" t="s">
        <v>3541</v>
      </c>
      <c r="K568" s="257" t="s">
        <v>1089</v>
      </c>
      <c r="L568" s="268">
        <v>1.5</v>
      </c>
      <c r="M568" s="268">
        <v>3.782</v>
      </c>
      <c r="N568" s="32">
        <v>0.38300000000000001</v>
      </c>
      <c r="O568" s="32" t="s">
        <v>115</v>
      </c>
      <c r="P568" s="32" t="s">
        <v>115</v>
      </c>
      <c r="Q568" s="253" t="s">
        <v>115</v>
      </c>
      <c r="R568" s="253" t="s">
        <v>115</v>
      </c>
      <c r="S568" s="28">
        <f t="shared" si="16"/>
        <v>2.0825</v>
      </c>
      <c r="T568" s="28">
        <f t="shared" si="17"/>
        <v>2.0825</v>
      </c>
      <c r="U568" s="266" t="b">
        <v>1</v>
      </c>
      <c r="V568" s="266" t="b">
        <v>0</v>
      </c>
      <c r="Z568"/>
    </row>
    <row r="569" spans="1:26" s="363" customFormat="1" ht="15">
      <c r="A569" s="252"/>
      <c r="B569" s="252" t="s">
        <v>2957</v>
      </c>
      <c r="C569" s="257"/>
      <c r="D569" s="260" t="s">
        <v>4651</v>
      </c>
      <c r="E569" s="48" t="s">
        <v>2961</v>
      </c>
      <c r="F569" s="172">
        <v>41948</v>
      </c>
      <c r="G569" s="200" t="s">
        <v>3640</v>
      </c>
      <c r="H569" s="188">
        <v>59271</v>
      </c>
      <c r="I569" s="188"/>
      <c r="J569" s="257" t="s">
        <v>3541</v>
      </c>
      <c r="K569" s="257" t="s">
        <v>1089</v>
      </c>
      <c r="L569" s="268">
        <v>1.5</v>
      </c>
      <c r="M569" s="268">
        <v>3.8559999999999999</v>
      </c>
      <c r="N569" s="32">
        <v>0.371</v>
      </c>
      <c r="O569" s="32" t="s">
        <v>115</v>
      </c>
      <c r="P569" s="32" t="s">
        <v>115</v>
      </c>
      <c r="Q569" s="253" t="s">
        <v>115</v>
      </c>
      <c r="R569" s="253" t="s">
        <v>115</v>
      </c>
      <c r="S569" s="28">
        <f t="shared" si="16"/>
        <v>2.1135000000000002</v>
      </c>
      <c r="T569" s="28">
        <f t="shared" si="17"/>
        <v>2.1135000000000002</v>
      </c>
      <c r="U569" s="266" t="b">
        <v>1</v>
      </c>
      <c r="V569" s="266" t="b">
        <v>0</v>
      </c>
      <c r="Z569"/>
    </row>
    <row r="570" spans="1:26" s="363" customFormat="1" ht="15">
      <c r="A570" s="252"/>
      <c r="B570" s="46" t="s">
        <v>2958</v>
      </c>
      <c r="C570" s="252"/>
      <c r="D570" s="260" t="s">
        <v>4652</v>
      </c>
      <c r="E570" s="48" t="s">
        <v>2962</v>
      </c>
      <c r="F570" s="43">
        <v>41958</v>
      </c>
      <c r="G570" s="243" t="s">
        <v>3641</v>
      </c>
      <c r="H570" s="46">
        <v>59272</v>
      </c>
      <c r="I570" s="46"/>
      <c r="J570" s="257" t="s">
        <v>3541</v>
      </c>
      <c r="K570" s="257" t="s">
        <v>1089</v>
      </c>
      <c r="L570" s="266">
        <v>1.5</v>
      </c>
      <c r="M570" s="266">
        <v>3.875</v>
      </c>
      <c r="N570" s="130">
        <v>0.35799999999999998</v>
      </c>
      <c r="O570" s="28" t="s">
        <v>115</v>
      </c>
      <c r="P570" s="37" t="s">
        <v>115</v>
      </c>
      <c r="Q570" s="37" t="s">
        <v>115</v>
      </c>
      <c r="R570" s="37" t="s">
        <v>115</v>
      </c>
      <c r="S570" s="28">
        <f t="shared" si="16"/>
        <v>2.1164999999999998</v>
      </c>
      <c r="T570" s="28">
        <f t="shared" si="17"/>
        <v>2.1164999999999998</v>
      </c>
      <c r="U570" s="266" t="b">
        <v>1</v>
      </c>
      <c r="V570" s="266" t="b">
        <v>0</v>
      </c>
      <c r="Z570"/>
    </row>
    <row r="571" spans="1:26" s="363" customFormat="1" ht="38.25">
      <c r="A571" s="252"/>
      <c r="B571" s="252" t="s">
        <v>1891</v>
      </c>
      <c r="C571" s="257"/>
      <c r="D571" s="48" t="s">
        <v>1336</v>
      </c>
      <c r="E571" s="48"/>
      <c r="F571" s="257"/>
      <c r="G571" s="252" t="s">
        <v>5052</v>
      </c>
      <c r="H571" s="166"/>
      <c r="I571" s="166"/>
      <c r="J571" s="257"/>
      <c r="K571" s="252" t="s">
        <v>9</v>
      </c>
      <c r="L571" s="268">
        <v>22</v>
      </c>
      <c r="M571" s="268">
        <v>31.616199999999999</v>
      </c>
      <c r="N571" s="32">
        <v>37.265219999999999</v>
      </c>
      <c r="O571" s="32" t="s">
        <v>115</v>
      </c>
      <c r="P571" s="32" t="s">
        <v>115</v>
      </c>
      <c r="Q571" s="253" t="s">
        <v>115</v>
      </c>
      <c r="R571" s="253" t="s">
        <v>115</v>
      </c>
      <c r="S571" s="28">
        <f t="shared" si="16"/>
        <v>34.440709999999996</v>
      </c>
      <c r="T571" s="28">
        <f t="shared" si="17"/>
        <v>34.440709999999996</v>
      </c>
      <c r="U571" s="266" t="b">
        <v>1</v>
      </c>
      <c r="V571" s="266" t="b">
        <v>0</v>
      </c>
      <c r="Z571"/>
    </row>
    <row r="572" spans="1:26" s="363" customFormat="1" ht="15">
      <c r="A572" s="252" t="s">
        <v>2582</v>
      </c>
      <c r="B572" s="252" t="s">
        <v>2581</v>
      </c>
      <c r="C572" s="48"/>
      <c r="D572" s="48" t="s">
        <v>3694</v>
      </c>
      <c r="E572" s="163">
        <v>61795</v>
      </c>
      <c r="F572" s="251">
        <v>41485</v>
      </c>
      <c r="G572" s="244" t="s">
        <v>2583</v>
      </c>
      <c r="H572" s="244">
        <v>58450</v>
      </c>
      <c r="I572" s="244"/>
      <c r="J572" s="257" t="s">
        <v>2946</v>
      </c>
      <c r="K572" s="257" t="s">
        <v>1089</v>
      </c>
      <c r="L572" s="258">
        <v>1.5</v>
      </c>
      <c r="M572" s="258">
        <v>4.4571579999999997</v>
      </c>
      <c r="N572" s="130">
        <v>4.16</v>
      </c>
      <c r="O572" s="32">
        <v>1.8087299999999999</v>
      </c>
      <c r="P572" s="32"/>
      <c r="Q572" s="253"/>
      <c r="R572" s="253"/>
      <c r="S572" s="28">
        <f t="shared" si="16"/>
        <v>3.4752960000000002</v>
      </c>
      <c r="T572" s="28">
        <f t="shared" si="17"/>
        <v>3.4752960000000002</v>
      </c>
      <c r="U572" s="266" t="b">
        <v>1</v>
      </c>
      <c r="V572" s="266" t="b">
        <v>0</v>
      </c>
      <c r="Z572"/>
    </row>
    <row r="573" spans="1:26" s="363" customFormat="1" ht="15">
      <c r="A573" s="252" t="s">
        <v>2592</v>
      </c>
      <c r="B573" s="143" t="s">
        <v>1199</v>
      </c>
      <c r="C573" s="48" t="s">
        <v>1626</v>
      </c>
      <c r="D573" s="48" t="s">
        <v>1068</v>
      </c>
      <c r="E573" s="48" t="s">
        <v>2322</v>
      </c>
      <c r="F573" s="251">
        <v>41703</v>
      </c>
      <c r="G573" s="244" t="s">
        <v>2321</v>
      </c>
      <c r="H573" s="48"/>
      <c r="I573" s="48"/>
      <c r="J573" s="134"/>
      <c r="K573" s="257" t="s">
        <v>1089</v>
      </c>
      <c r="L573" s="269">
        <v>1.5</v>
      </c>
      <c r="M573" s="269">
        <v>4.2729999999999997</v>
      </c>
      <c r="N573" s="130">
        <v>3.266</v>
      </c>
      <c r="O573" s="252">
        <v>1.0000000000000001E-5</v>
      </c>
      <c r="P573" s="252" t="s">
        <v>115</v>
      </c>
      <c r="Q573" s="148" t="s">
        <v>115</v>
      </c>
      <c r="R573" s="261" t="s">
        <v>115</v>
      </c>
      <c r="S573" s="28">
        <f t="shared" si="16"/>
        <v>2.5130033333333333</v>
      </c>
      <c r="T573" s="28">
        <f t="shared" si="17"/>
        <v>2.5130033333333333</v>
      </c>
      <c r="U573" s="266" t="b">
        <v>1</v>
      </c>
      <c r="V573" s="266" t="b">
        <v>0</v>
      </c>
      <c r="Z573"/>
    </row>
    <row r="574" spans="1:26" s="363" customFormat="1" ht="25.5">
      <c r="A574" s="27" t="s">
        <v>83</v>
      </c>
      <c r="B574" s="27" t="s">
        <v>537</v>
      </c>
      <c r="C574" s="48" t="s">
        <v>3313</v>
      </c>
      <c r="D574" s="48" t="s">
        <v>657</v>
      </c>
      <c r="E574" s="250"/>
      <c r="F574" s="43" t="s">
        <v>1160</v>
      </c>
      <c r="G574" s="48" t="s">
        <v>2584</v>
      </c>
      <c r="H574" s="48"/>
      <c r="I574" s="48"/>
      <c r="J574" s="257" t="s">
        <v>5170</v>
      </c>
      <c r="K574" s="27" t="s">
        <v>7</v>
      </c>
      <c r="L574" s="58">
        <v>30.16</v>
      </c>
      <c r="M574" s="58">
        <v>286.38600000000002</v>
      </c>
      <c r="N574" s="130">
        <v>259.22199999999998</v>
      </c>
      <c r="O574" s="28">
        <v>281.428</v>
      </c>
      <c r="P574" s="29">
        <v>232.554</v>
      </c>
      <c r="Q574" s="28">
        <v>264.399</v>
      </c>
      <c r="R574" s="28">
        <v>296.90300000000002</v>
      </c>
      <c r="S574" s="28">
        <f t="shared" si="16"/>
        <v>270.14866666666666</v>
      </c>
      <c r="T574" s="28">
        <f t="shared" si="17"/>
        <v>270.14866666666666</v>
      </c>
      <c r="U574" s="266" t="b">
        <v>1</v>
      </c>
      <c r="V574" s="266" t="b">
        <v>0</v>
      </c>
      <c r="Z574"/>
    </row>
    <row r="575" spans="1:26" s="363" customFormat="1" ht="25.5">
      <c r="A575" s="27" t="s">
        <v>42</v>
      </c>
      <c r="B575" s="27" t="s">
        <v>43</v>
      </c>
      <c r="C575" s="48" t="s">
        <v>3421</v>
      </c>
      <c r="D575" s="48" t="s">
        <v>658</v>
      </c>
      <c r="E575" s="250"/>
      <c r="F575" s="251">
        <v>32994</v>
      </c>
      <c r="G575" s="244" t="s">
        <v>2327</v>
      </c>
      <c r="H575" s="48"/>
      <c r="I575" s="48"/>
      <c r="J575" s="257"/>
      <c r="K575" s="252" t="s">
        <v>3</v>
      </c>
      <c r="L575" s="58">
        <v>29</v>
      </c>
      <c r="M575" s="58">
        <v>154.054</v>
      </c>
      <c r="N575" s="130">
        <v>170.41800000000001</v>
      </c>
      <c r="O575" s="28">
        <v>196.48699999999999</v>
      </c>
      <c r="P575" s="29">
        <v>183.91200000000001</v>
      </c>
      <c r="Q575" s="28">
        <v>204.13800000000001</v>
      </c>
      <c r="R575" s="28">
        <v>175.65299999999999</v>
      </c>
      <c r="S575" s="28">
        <f t="shared" si="16"/>
        <v>180.77700000000002</v>
      </c>
      <c r="T575" s="28">
        <f t="shared" si="17"/>
        <v>180.77700000000002</v>
      </c>
      <c r="U575" s="266" t="b">
        <v>1</v>
      </c>
      <c r="V575" s="266" t="b">
        <v>0</v>
      </c>
      <c r="Z575"/>
    </row>
    <row r="576" spans="1:26" s="363" customFormat="1" ht="15">
      <c r="A576" s="252"/>
      <c r="B576" s="252" t="s">
        <v>1892</v>
      </c>
      <c r="C576" s="48"/>
      <c r="D576" s="48" t="s">
        <v>1427</v>
      </c>
      <c r="E576" s="48"/>
      <c r="F576" s="257"/>
      <c r="G576" s="48"/>
      <c r="H576" s="48"/>
      <c r="I576" s="48"/>
      <c r="J576" s="257"/>
      <c r="K576" s="252" t="s">
        <v>9</v>
      </c>
      <c r="L576" s="268">
        <v>6</v>
      </c>
      <c r="M576" s="268">
        <v>16.158110000000001</v>
      </c>
      <c r="N576" s="32">
        <v>18.36308</v>
      </c>
      <c r="O576" s="32" t="s">
        <v>115</v>
      </c>
      <c r="P576" s="32" t="s">
        <v>115</v>
      </c>
      <c r="Q576" s="253" t="s">
        <v>115</v>
      </c>
      <c r="R576" s="253" t="s">
        <v>115</v>
      </c>
      <c r="S576" s="28">
        <f t="shared" si="16"/>
        <v>17.260595000000002</v>
      </c>
      <c r="T576" s="28">
        <f t="shared" si="17"/>
        <v>17.260595000000002</v>
      </c>
      <c r="U576" s="266" t="b">
        <v>1</v>
      </c>
      <c r="V576" s="266" t="b">
        <v>0</v>
      </c>
      <c r="Z576"/>
    </row>
    <row r="577" spans="1:26" s="363" customFormat="1" ht="25.5">
      <c r="A577" s="261"/>
      <c r="B577" s="260" t="s">
        <v>4654</v>
      </c>
      <c r="C577" s="107"/>
      <c r="D577" s="260" t="s">
        <v>4653</v>
      </c>
      <c r="E577" s="107"/>
      <c r="F577" s="156">
        <v>39351</v>
      </c>
      <c r="G577" s="257"/>
      <c r="H577" s="107"/>
      <c r="I577" s="107"/>
      <c r="J577" s="107"/>
      <c r="K577" s="252" t="s">
        <v>1089</v>
      </c>
      <c r="L577" s="261">
        <v>1</v>
      </c>
      <c r="M577" s="107">
        <v>1.776</v>
      </c>
      <c r="N577" s="107" t="s">
        <v>115</v>
      </c>
      <c r="O577" s="107" t="s">
        <v>115</v>
      </c>
      <c r="P577" s="107" t="s">
        <v>115</v>
      </c>
      <c r="Q577" s="107" t="s">
        <v>115</v>
      </c>
      <c r="R577" s="107" t="s">
        <v>115</v>
      </c>
      <c r="S577" s="28">
        <f t="shared" si="16"/>
        <v>1.776</v>
      </c>
      <c r="T577" s="28">
        <f t="shared" si="17"/>
        <v>1.776</v>
      </c>
      <c r="U577" s="107"/>
      <c r="V577" s="107"/>
      <c r="Z577"/>
    </row>
    <row r="578" spans="1:26" s="363" customFormat="1" ht="15">
      <c r="A578" s="252"/>
      <c r="B578" s="252" t="s">
        <v>1893</v>
      </c>
      <c r="C578" s="257"/>
      <c r="D578" s="48" t="s">
        <v>1373</v>
      </c>
      <c r="E578" s="48"/>
      <c r="F578" s="257"/>
      <c r="G578" s="252"/>
      <c r="H578" s="252"/>
      <c r="I578" s="252"/>
      <c r="J578" s="257" t="s">
        <v>3284</v>
      </c>
      <c r="K578" s="252" t="s">
        <v>9</v>
      </c>
      <c r="L578" s="268">
        <v>1</v>
      </c>
      <c r="M578" s="268">
        <v>1.8893599999999999</v>
      </c>
      <c r="N578" s="32">
        <v>1.7603199999999999</v>
      </c>
      <c r="O578" s="32" t="s">
        <v>115</v>
      </c>
      <c r="P578" s="32" t="s">
        <v>115</v>
      </c>
      <c r="Q578" s="253" t="s">
        <v>115</v>
      </c>
      <c r="R578" s="253" t="s">
        <v>115</v>
      </c>
      <c r="S578" s="28">
        <f t="shared" si="16"/>
        <v>1.82484</v>
      </c>
      <c r="T578" s="28">
        <f t="shared" si="17"/>
        <v>1.82484</v>
      </c>
      <c r="U578" s="266" t="b">
        <v>1</v>
      </c>
      <c r="V578" s="266" t="b">
        <v>0</v>
      </c>
      <c r="Z578"/>
    </row>
    <row r="579" spans="1:26" s="363" customFormat="1" ht="15">
      <c r="A579" s="252" t="s">
        <v>2585</v>
      </c>
      <c r="B579" s="46" t="s">
        <v>3583</v>
      </c>
      <c r="C579" s="252"/>
      <c r="D579" s="48" t="s">
        <v>3695</v>
      </c>
      <c r="E579" s="48" t="s">
        <v>3584</v>
      </c>
      <c r="F579" s="43">
        <v>41507</v>
      </c>
      <c r="G579" s="243" t="s">
        <v>3585</v>
      </c>
      <c r="H579" s="243">
        <v>58454</v>
      </c>
      <c r="I579" s="243"/>
      <c r="J579" s="257" t="s">
        <v>2946</v>
      </c>
      <c r="K579" s="257" t="s">
        <v>1089</v>
      </c>
      <c r="L579" s="270">
        <v>2</v>
      </c>
      <c r="M579" s="270">
        <v>5.77</v>
      </c>
      <c r="N579" s="130">
        <v>3.0169999999999999</v>
      </c>
      <c r="O579" s="136">
        <v>1.591</v>
      </c>
      <c r="P579" s="37"/>
      <c r="Q579" s="37"/>
      <c r="R579" s="37"/>
      <c r="S579" s="28">
        <f t="shared" ref="S579:S613" si="18">IF(AND(U579,NOT(V579)),IFERROR(AVERAGE(M579:R579),0),0)</f>
        <v>3.4593333333333329</v>
      </c>
      <c r="T579" s="28">
        <f t="shared" si="17"/>
        <v>3.4593333333333329</v>
      </c>
      <c r="U579" s="266" t="b">
        <v>1</v>
      </c>
      <c r="V579" s="266" t="b">
        <v>0</v>
      </c>
      <c r="Z579"/>
    </row>
    <row r="580" spans="1:26" s="363" customFormat="1" ht="25.5">
      <c r="A580" s="54" t="s">
        <v>933</v>
      </c>
      <c r="B580" s="257" t="s">
        <v>2818</v>
      </c>
      <c r="C580" s="252"/>
      <c r="D580" s="250" t="s">
        <v>929</v>
      </c>
      <c r="E580" s="250" t="s">
        <v>2819</v>
      </c>
      <c r="F580" s="251">
        <v>40760</v>
      </c>
      <c r="G580" s="188"/>
      <c r="H580" s="257"/>
      <c r="I580" s="257"/>
      <c r="J580" s="257"/>
      <c r="K580" s="252" t="s">
        <v>3</v>
      </c>
      <c r="L580" s="58">
        <v>15</v>
      </c>
      <c r="M580" s="58">
        <v>59.763019999999997</v>
      </c>
      <c r="N580" s="130">
        <v>50.967030000000001</v>
      </c>
      <c r="O580" s="28">
        <v>67.472999999999999</v>
      </c>
      <c r="P580" s="32">
        <v>56.570999999999998</v>
      </c>
      <c r="Q580" s="32">
        <v>45.301000000000002</v>
      </c>
      <c r="R580" s="32" t="s">
        <v>115</v>
      </c>
      <c r="S580" s="28">
        <f t="shared" si="18"/>
        <v>56.015010000000004</v>
      </c>
      <c r="T580" s="28">
        <f t="shared" si="17"/>
        <v>56.015010000000004</v>
      </c>
      <c r="U580" s="266" t="b">
        <v>1</v>
      </c>
      <c r="V580" s="266" t="b">
        <v>0</v>
      </c>
      <c r="Z580"/>
    </row>
    <row r="581" spans="1:26" s="363" customFormat="1" ht="15">
      <c r="A581" s="252"/>
      <c r="B581" s="252" t="s">
        <v>1894</v>
      </c>
      <c r="C581" s="257"/>
      <c r="D581" s="48" t="s">
        <v>1346</v>
      </c>
      <c r="E581" s="48" t="s">
        <v>2346</v>
      </c>
      <c r="F581" s="172"/>
      <c r="G581" s="252"/>
      <c r="H581" s="252"/>
      <c r="I581" s="252"/>
      <c r="J581" s="257"/>
      <c r="K581" s="252" t="s">
        <v>9</v>
      </c>
      <c r="L581" s="268">
        <v>5</v>
      </c>
      <c r="M581" s="268">
        <v>6.7558100000000003</v>
      </c>
      <c r="N581" s="32">
        <v>7.9510500000000004</v>
      </c>
      <c r="O581" s="32" t="s">
        <v>115</v>
      </c>
      <c r="P581" s="32" t="s">
        <v>115</v>
      </c>
      <c r="Q581" s="253" t="s">
        <v>115</v>
      </c>
      <c r="R581" s="253" t="s">
        <v>115</v>
      </c>
      <c r="S581" s="28">
        <f t="shared" si="18"/>
        <v>7.3534300000000004</v>
      </c>
      <c r="T581" s="28">
        <f t="shared" ref="T581:T613" si="19">IF(AND(U581,NOT(V581)),IFERROR(IF(YEAR(F581)=2015,AVERAGE(N581:R581,VLOOKUP(K581,$Z$3:$AA$10,2,FALSE)*L581*8.76),AVERAGE(M581:R581)),0),0)</f>
        <v>7.3534300000000004</v>
      </c>
      <c r="U581" s="266" t="b">
        <v>1</v>
      </c>
      <c r="V581" s="266" t="b">
        <v>0</v>
      </c>
      <c r="Z581"/>
    </row>
    <row r="582" spans="1:26" s="363" customFormat="1" ht="25.5">
      <c r="A582" s="252" t="s">
        <v>1522</v>
      </c>
      <c r="B582" s="256" t="s">
        <v>1529</v>
      </c>
      <c r="C582" s="252" t="s">
        <v>1639</v>
      </c>
      <c r="D582" s="250" t="s">
        <v>1288</v>
      </c>
      <c r="E582" s="250" t="s">
        <v>2832</v>
      </c>
      <c r="F582" s="251">
        <v>41953</v>
      </c>
      <c r="G582" s="282" t="s">
        <v>2329</v>
      </c>
      <c r="H582" s="256"/>
      <c r="I582" s="256"/>
      <c r="J582" s="257"/>
      <c r="K582" s="257" t="s">
        <v>1089</v>
      </c>
      <c r="L582" s="258">
        <v>20</v>
      </c>
      <c r="M582" s="258">
        <v>62.49</v>
      </c>
      <c r="N582" s="130"/>
      <c r="O582" s="28" t="s">
        <v>115</v>
      </c>
      <c r="P582" s="32" t="s">
        <v>115</v>
      </c>
      <c r="Q582" s="253" t="s">
        <v>115</v>
      </c>
      <c r="R582" s="253" t="s">
        <v>115</v>
      </c>
      <c r="S582" s="28">
        <f t="shared" si="18"/>
        <v>62.49</v>
      </c>
      <c r="T582" s="28">
        <f t="shared" si="19"/>
        <v>62.49</v>
      </c>
      <c r="U582" s="266" t="b">
        <v>1</v>
      </c>
      <c r="V582" s="266" t="b">
        <v>0</v>
      </c>
      <c r="Z582"/>
    </row>
    <row r="583" spans="1:26" s="363" customFormat="1" ht="25.5">
      <c r="A583" s="27" t="s">
        <v>78</v>
      </c>
      <c r="B583" s="27" t="s">
        <v>1480</v>
      </c>
      <c r="C583" s="252" t="s">
        <v>3347</v>
      </c>
      <c r="D583" s="250" t="s">
        <v>659</v>
      </c>
      <c r="E583" s="250"/>
      <c r="F583" s="251">
        <v>32387</v>
      </c>
      <c r="G583" s="27" t="s">
        <v>2202</v>
      </c>
      <c r="H583" s="27"/>
      <c r="I583" s="27"/>
      <c r="J583" s="257"/>
      <c r="K583" s="27" t="s">
        <v>7</v>
      </c>
      <c r="L583" s="58">
        <v>14.4</v>
      </c>
      <c r="M583" s="58">
        <v>137.66906</v>
      </c>
      <c r="N583" s="130">
        <v>207.22499999999999</v>
      </c>
      <c r="O583" s="28">
        <v>207.47800000000001</v>
      </c>
      <c r="P583" s="29">
        <v>221.40100000000001</v>
      </c>
      <c r="Q583" s="28">
        <v>221.13499999999999</v>
      </c>
      <c r="R583" s="28">
        <v>224.864</v>
      </c>
      <c r="S583" s="28">
        <f t="shared" si="18"/>
        <v>203.29534333333334</v>
      </c>
      <c r="T583" s="28">
        <f t="shared" si="19"/>
        <v>203.29534333333334</v>
      </c>
      <c r="U583" s="266" t="b">
        <v>1</v>
      </c>
      <c r="V583" s="266" t="b">
        <v>0</v>
      </c>
      <c r="Z583"/>
    </row>
    <row r="584" spans="1:26" s="363" customFormat="1" ht="25.5">
      <c r="A584" s="252" t="s">
        <v>966</v>
      </c>
      <c r="B584" s="257" t="s">
        <v>678</v>
      </c>
      <c r="C584" s="252" t="s">
        <v>3372</v>
      </c>
      <c r="D584" s="139" t="s">
        <v>679</v>
      </c>
      <c r="E584" s="139" t="s">
        <v>2831</v>
      </c>
      <c r="F584" s="137" t="s">
        <v>1092</v>
      </c>
      <c r="G584" s="188" t="s">
        <v>3716</v>
      </c>
      <c r="H584" s="257"/>
      <c r="I584" s="257"/>
      <c r="J584" s="257"/>
      <c r="K584" s="27" t="s">
        <v>1089</v>
      </c>
      <c r="L584" s="268">
        <v>10</v>
      </c>
      <c r="M584" s="268">
        <v>22.15</v>
      </c>
      <c r="N584" s="130">
        <v>23.405000000000001</v>
      </c>
      <c r="O584" s="28">
        <v>13.40405</v>
      </c>
      <c r="P584" s="29" t="s">
        <v>115</v>
      </c>
      <c r="Q584" s="29" t="s">
        <v>115</v>
      </c>
      <c r="R584" s="29" t="s">
        <v>115</v>
      </c>
      <c r="S584" s="28">
        <f t="shared" si="18"/>
        <v>19.653016666666666</v>
      </c>
      <c r="T584" s="28">
        <f t="shared" si="19"/>
        <v>19.653016666666666</v>
      </c>
      <c r="U584" s="266" t="b">
        <v>1</v>
      </c>
      <c r="V584" s="266" t="b">
        <v>0</v>
      </c>
      <c r="Z584"/>
    </row>
    <row r="585" spans="1:26" s="363" customFormat="1" ht="25.5">
      <c r="A585" s="252" t="s">
        <v>1552</v>
      </c>
      <c r="B585" s="46" t="s">
        <v>1505</v>
      </c>
      <c r="C585" s="252" t="s">
        <v>1720</v>
      </c>
      <c r="D585" s="48" t="s">
        <v>1269</v>
      </c>
      <c r="E585" s="48" t="s">
        <v>4922</v>
      </c>
      <c r="F585" s="43">
        <v>41944</v>
      </c>
      <c r="G585" s="243" t="s">
        <v>2330</v>
      </c>
      <c r="H585" s="46"/>
      <c r="I585" s="46"/>
      <c r="J585" s="257"/>
      <c r="K585" s="257" t="s">
        <v>1089</v>
      </c>
      <c r="L585" s="266">
        <v>20</v>
      </c>
      <c r="M585" s="266">
        <v>52.14</v>
      </c>
      <c r="N585" s="130"/>
      <c r="O585" s="28" t="s">
        <v>115</v>
      </c>
      <c r="P585" s="37" t="s">
        <v>115</v>
      </c>
      <c r="Q585" s="37" t="s">
        <v>115</v>
      </c>
      <c r="R585" s="37" t="s">
        <v>115</v>
      </c>
      <c r="S585" s="28">
        <f t="shared" si="18"/>
        <v>52.14</v>
      </c>
      <c r="T585" s="28">
        <f t="shared" si="19"/>
        <v>52.14</v>
      </c>
      <c r="U585" s="266" t="b">
        <v>1</v>
      </c>
      <c r="V585" s="266" t="b">
        <v>0</v>
      </c>
      <c r="Z585"/>
    </row>
    <row r="586" spans="1:26" s="363" customFormat="1" ht="25.5">
      <c r="A586" s="252"/>
      <c r="B586" s="46" t="s">
        <v>1548</v>
      </c>
      <c r="C586" s="252" t="s">
        <v>1721</v>
      </c>
      <c r="D586" s="250" t="s">
        <v>1300</v>
      </c>
      <c r="E586" s="250" t="s">
        <v>2995</v>
      </c>
      <c r="F586" s="43">
        <v>41676</v>
      </c>
      <c r="G586" s="243" t="s">
        <v>2331</v>
      </c>
      <c r="H586" s="46"/>
      <c r="I586" s="46"/>
      <c r="J586" s="257"/>
      <c r="K586" s="257" t="s">
        <v>1089</v>
      </c>
      <c r="L586" s="258">
        <v>19</v>
      </c>
      <c r="M586" s="258">
        <v>39.991999999999997</v>
      </c>
      <c r="N586" s="130">
        <v>43.379010000000001</v>
      </c>
      <c r="O586" s="136" t="s">
        <v>115</v>
      </c>
      <c r="P586" s="37" t="s">
        <v>115</v>
      </c>
      <c r="Q586" s="37" t="s">
        <v>115</v>
      </c>
      <c r="R586" s="37" t="s">
        <v>115</v>
      </c>
      <c r="S586" s="28">
        <f t="shared" si="18"/>
        <v>41.685504999999999</v>
      </c>
      <c r="T586" s="28">
        <f t="shared" si="19"/>
        <v>41.685504999999999</v>
      </c>
      <c r="U586" s="266" t="b">
        <v>1</v>
      </c>
      <c r="V586" s="266" t="b">
        <v>0</v>
      </c>
      <c r="Z586"/>
    </row>
    <row r="587" spans="1:26" s="363" customFormat="1" ht="25.5">
      <c r="A587" s="27" t="s">
        <v>474</v>
      </c>
      <c r="B587" s="27" t="s">
        <v>476</v>
      </c>
      <c r="C587" s="252" t="s">
        <v>3373</v>
      </c>
      <c r="D587" s="29" t="s">
        <v>627</v>
      </c>
      <c r="E587" s="29" t="s">
        <v>2833</v>
      </c>
      <c r="F587" s="251">
        <v>40421</v>
      </c>
      <c r="G587" s="281" t="s">
        <v>3709</v>
      </c>
      <c r="H587" s="27"/>
      <c r="I587" s="27"/>
      <c r="J587" s="257"/>
      <c r="K587" s="27" t="s">
        <v>1089</v>
      </c>
      <c r="L587" s="58">
        <v>15</v>
      </c>
      <c r="M587" s="58">
        <v>28.713000000000001</v>
      </c>
      <c r="N587" s="130">
        <v>32.101999999999997</v>
      </c>
      <c r="O587" s="47">
        <v>32.643000000000001</v>
      </c>
      <c r="P587" s="29">
        <v>32.302</v>
      </c>
      <c r="Q587" s="28">
        <v>8.3523700000000005</v>
      </c>
      <c r="R587" s="28" t="s">
        <v>115</v>
      </c>
      <c r="S587" s="28">
        <f t="shared" si="18"/>
        <v>26.822474</v>
      </c>
      <c r="T587" s="28">
        <f t="shared" si="19"/>
        <v>26.822474</v>
      </c>
      <c r="U587" s="266" t="b">
        <v>1</v>
      </c>
      <c r="V587" s="266" t="b">
        <v>0</v>
      </c>
      <c r="Z587"/>
    </row>
    <row r="588" spans="1:26" s="363" customFormat="1" ht="15">
      <c r="A588" s="252"/>
      <c r="B588" s="252" t="s">
        <v>1895</v>
      </c>
      <c r="C588" s="257"/>
      <c r="D588" s="48" t="s">
        <v>1335</v>
      </c>
      <c r="E588" s="48"/>
      <c r="F588" s="257"/>
      <c r="G588" s="252" t="s">
        <v>2586</v>
      </c>
      <c r="H588" s="252"/>
      <c r="I588" s="252"/>
      <c r="J588" s="257"/>
      <c r="K588" s="252" t="s">
        <v>9</v>
      </c>
      <c r="L588" s="268">
        <v>16</v>
      </c>
      <c r="M588" s="268">
        <v>9.7839400000000012</v>
      </c>
      <c r="N588" s="32">
        <v>13.599959999999999</v>
      </c>
      <c r="O588" s="32" t="s">
        <v>115</v>
      </c>
      <c r="P588" s="32" t="s">
        <v>115</v>
      </c>
      <c r="Q588" s="253" t="s">
        <v>115</v>
      </c>
      <c r="R588" s="253" t="s">
        <v>115</v>
      </c>
      <c r="S588" s="28">
        <f t="shared" si="18"/>
        <v>11.69195</v>
      </c>
      <c r="T588" s="28">
        <f t="shared" si="19"/>
        <v>11.69195</v>
      </c>
      <c r="U588" s="266" t="b">
        <v>1</v>
      </c>
      <c r="V588" s="266" t="b">
        <v>0</v>
      </c>
      <c r="Z588"/>
    </row>
    <row r="589" spans="1:26" s="363" customFormat="1" ht="25.5">
      <c r="A589" s="27"/>
      <c r="B589" s="27" t="s">
        <v>35</v>
      </c>
      <c r="C589" s="252" t="s">
        <v>3423</v>
      </c>
      <c r="D589" s="29" t="s">
        <v>660</v>
      </c>
      <c r="E589" s="29" t="s">
        <v>4923</v>
      </c>
      <c r="F589" s="251">
        <v>31778</v>
      </c>
      <c r="G589" s="281" t="s">
        <v>2332</v>
      </c>
      <c r="H589" s="27"/>
      <c r="I589" s="27"/>
      <c r="J589" s="257"/>
      <c r="K589" s="252" t="s">
        <v>3</v>
      </c>
      <c r="L589" s="58">
        <v>62.75</v>
      </c>
      <c r="M589" s="58">
        <v>401.12412</v>
      </c>
      <c r="N589" s="130">
        <v>384.30712</v>
      </c>
      <c r="O589" s="28">
        <v>405.62799999999999</v>
      </c>
      <c r="P589" s="29">
        <v>401.85599999999999</v>
      </c>
      <c r="Q589" s="28">
        <v>391.35399999999998</v>
      </c>
      <c r="R589" s="28">
        <v>397.589</v>
      </c>
      <c r="S589" s="28">
        <f t="shared" si="18"/>
        <v>396.97637333333336</v>
      </c>
      <c r="T589" s="28">
        <f t="shared" si="19"/>
        <v>396.97637333333336</v>
      </c>
      <c r="U589" s="266" t="b">
        <v>1</v>
      </c>
      <c r="V589" s="266" t="b">
        <v>0</v>
      </c>
      <c r="Z589"/>
    </row>
    <row r="590" spans="1:26" s="363" customFormat="1" ht="25.5">
      <c r="A590" s="252" t="s">
        <v>1532</v>
      </c>
      <c r="B590" s="256" t="s">
        <v>1531</v>
      </c>
      <c r="C590" s="252" t="s">
        <v>1722</v>
      </c>
      <c r="D590" s="250" t="s">
        <v>1290</v>
      </c>
      <c r="E590" s="250" t="s">
        <v>4924</v>
      </c>
      <c r="F590" s="251">
        <v>41899</v>
      </c>
      <c r="G590" s="282" t="s">
        <v>2336</v>
      </c>
      <c r="H590" s="256"/>
      <c r="I590" s="256"/>
      <c r="J590" s="257"/>
      <c r="K590" s="257" t="s">
        <v>1089</v>
      </c>
      <c r="L590" s="258">
        <v>19.8</v>
      </c>
      <c r="M590" s="258">
        <v>52.933999999999997</v>
      </c>
      <c r="N590" s="130">
        <v>13.149049999999999</v>
      </c>
      <c r="O590" s="28" t="s">
        <v>115</v>
      </c>
      <c r="P590" s="32" t="s">
        <v>115</v>
      </c>
      <c r="Q590" s="253" t="s">
        <v>115</v>
      </c>
      <c r="R590" s="253" t="s">
        <v>115</v>
      </c>
      <c r="S590" s="28">
        <f t="shared" si="18"/>
        <v>33.041525</v>
      </c>
      <c r="T590" s="28">
        <f t="shared" si="19"/>
        <v>33.041525</v>
      </c>
      <c r="U590" s="266" t="b">
        <v>1</v>
      </c>
      <c r="V590" s="266" t="b">
        <v>0</v>
      </c>
      <c r="Z590"/>
    </row>
    <row r="591" spans="1:26" s="363" customFormat="1" ht="15">
      <c r="A591" s="252"/>
      <c r="B591" s="252" t="s">
        <v>1896</v>
      </c>
      <c r="C591" s="257"/>
      <c r="D591" s="48" t="s">
        <v>1353</v>
      </c>
      <c r="E591" s="48" t="s">
        <v>2383</v>
      </c>
      <c r="F591" s="257"/>
      <c r="G591" s="252" t="s">
        <v>4280</v>
      </c>
      <c r="H591" s="252"/>
      <c r="I591" s="252"/>
      <c r="J591" s="257"/>
      <c r="K591" s="252" t="s">
        <v>9</v>
      </c>
      <c r="L591" s="268">
        <v>61.5</v>
      </c>
      <c r="M591" s="268">
        <v>144.06004999999999</v>
      </c>
      <c r="N591" s="32">
        <v>161.0429</v>
      </c>
      <c r="O591" s="32" t="s">
        <v>115</v>
      </c>
      <c r="P591" s="32" t="s">
        <v>115</v>
      </c>
      <c r="Q591" s="253" t="s">
        <v>115</v>
      </c>
      <c r="R591" s="253" t="s">
        <v>115</v>
      </c>
      <c r="S591" s="28">
        <f t="shared" si="18"/>
        <v>152.55147499999998</v>
      </c>
      <c r="T591" s="28">
        <f t="shared" si="19"/>
        <v>152.55147499999998</v>
      </c>
      <c r="U591" s="266" t="b">
        <v>1</v>
      </c>
      <c r="V591" s="266" t="b">
        <v>0</v>
      </c>
      <c r="Z591"/>
    </row>
    <row r="592" spans="1:26" s="363" customFormat="1" ht="25.5" customHeight="1">
      <c r="A592" s="252"/>
      <c r="B592" s="256" t="s">
        <v>1538</v>
      </c>
      <c r="C592" s="252" t="s">
        <v>1723</v>
      </c>
      <c r="D592" s="250" t="s">
        <v>2892</v>
      </c>
      <c r="E592" s="163" t="s">
        <v>2893</v>
      </c>
      <c r="F592" s="251">
        <v>42053</v>
      </c>
      <c r="G592" s="262" t="s">
        <v>3664</v>
      </c>
      <c r="H592" s="262"/>
      <c r="I592" s="252"/>
      <c r="J592" s="262" t="s">
        <v>1576</v>
      </c>
      <c r="K592" s="257" t="s">
        <v>1089</v>
      </c>
      <c r="L592" s="258">
        <v>20</v>
      </c>
      <c r="M592" s="252">
        <v>46.576999999999998</v>
      </c>
      <c r="N592" s="252" t="s">
        <v>115</v>
      </c>
      <c r="O592" s="241" t="s">
        <v>115</v>
      </c>
      <c r="P592" s="253" t="s">
        <v>115</v>
      </c>
      <c r="Q592" s="254" t="s">
        <v>115</v>
      </c>
      <c r="R592" s="188" t="s">
        <v>115</v>
      </c>
      <c r="S592" s="28">
        <f t="shared" si="18"/>
        <v>46.576999999999998</v>
      </c>
      <c r="T592" s="28">
        <f t="shared" si="19"/>
        <v>46.428000000000004</v>
      </c>
      <c r="U592" s="266" t="b">
        <v>1</v>
      </c>
      <c r="V592" s="266" t="b">
        <v>0</v>
      </c>
      <c r="Z592"/>
    </row>
    <row r="593" spans="1:26" s="363" customFormat="1" ht="15">
      <c r="A593" s="252"/>
      <c r="B593" s="252" t="s">
        <v>1897</v>
      </c>
      <c r="C593" s="257"/>
      <c r="D593" s="48" t="s">
        <v>1326</v>
      </c>
      <c r="E593" s="48" t="s">
        <v>4925</v>
      </c>
      <c r="F593" s="257"/>
      <c r="G593" s="252" t="s">
        <v>2337</v>
      </c>
      <c r="H593" s="252"/>
      <c r="I593" s="252"/>
      <c r="J593" s="257"/>
      <c r="K593" s="252" t="s">
        <v>9</v>
      </c>
      <c r="L593" s="268">
        <v>8.7100000000000009</v>
      </c>
      <c r="M593" s="268">
        <v>12.09684</v>
      </c>
      <c r="N593" s="32">
        <v>13.89522</v>
      </c>
      <c r="O593" s="32" t="s">
        <v>115</v>
      </c>
      <c r="P593" s="32" t="s">
        <v>115</v>
      </c>
      <c r="Q593" s="253" t="s">
        <v>115</v>
      </c>
      <c r="R593" s="253" t="s">
        <v>115</v>
      </c>
      <c r="S593" s="28">
        <f t="shared" si="18"/>
        <v>12.996030000000001</v>
      </c>
      <c r="T593" s="28">
        <f t="shared" si="19"/>
        <v>12.996030000000001</v>
      </c>
      <c r="U593" s="266" t="b">
        <v>1</v>
      </c>
      <c r="V593" s="266" t="b">
        <v>0</v>
      </c>
      <c r="Z593"/>
    </row>
    <row r="594" spans="1:26" s="363" customFormat="1" ht="15">
      <c r="A594" s="252"/>
      <c r="B594" s="252" t="s">
        <v>1898</v>
      </c>
      <c r="C594" s="257"/>
      <c r="D594" s="48" t="s">
        <v>1343</v>
      </c>
      <c r="E594" s="48" t="s">
        <v>4926</v>
      </c>
      <c r="F594" s="257"/>
      <c r="G594" s="252" t="s">
        <v>2338</v>
      </c>
      <c r="H594" s="252"/>
      <c r="I594" s="252"/>
      <c r="J594" s="257"/>
      <c r="K594" s="252" t="s">
        <v>9</v>
      </c>
      <c r="L594" s="268">
        <v>19.96</v>
      </c>
      <c r="M594" s="268">
        <v>35.262529999999998</v>
      </c>
      <c r="N594" s="32">
        <v>46.725970000000004</v>
      </c>
      <c r="O594" s="32" t="s">
        <v>115</v>
      </c>
      <c r="P594" s="32" t="s">
        <v>115</v>
      </c>
      <c r="Q594" s="253" t="s">
        <v>115</v>
      </c>
      <c r="R594" s="253" t="s">
        <v>115</v>
      </c>
      <c r="S594" s="28">
        <f t="shared" si="18"/>
        <v>40.994250000000001</v>
      </c>
      <c r="T594" s="28">
        <f t="shared" si="19"/>
        <v>40.994250000000001</v>
      </c>
      <c r="U594" s="266" t="b">
        <v>1</v>
      </c>
      <c r="V594" s="266" t="b">
        <v>0</v>
      </c>
      <c r="Z594"/>
    </row>
    <row r="595" spans="1:26" s="363" customFormat="1" ht="15">
      <c r="A595" s="252"/>
      <c r="B595" s="252" t="s">
        <v>1899</v>
      </c>
      <c r="C595" s="257"/>
      <c r="D595" s="48" t="s">
        <v>1316</v>
      </c>
      <c r="E595" s="48"/>
      <c r="F595" s="257"/>
      <c r="G595" s="252"/>
      <c r="H595" s="252"/>
      <c r="I595" s="252"/>
      <c r="J595" s="257"/>
      <c r="K595" s="252" t="s">
        <v>9</v>
      </c>
      <c r="L595" s="268">
        <v>6.34</v>
      </c>
      <c r="M595" s="268">
        <v>6.5166400000000007</v>
      </c>
      <c r="N595" s="32">
        <v>8.9706600000000005</v>
      </c>
      <c r="O595" s="32" t="s">
        <v>115</v>
      </c>
      <c r="P595" s="32" t="s">
        <v>115</v>
      </c>
      <c r="Q595" s="253" t="s">
        <v>115</v>
      </c>
      <c r="R595" s="253" t="s">
        <v>115</v>
      </c>
      <c r="S595" s="28">
        <f t="shared" si="18"/>
        <v>7.7436500000000006</v>
      </c>
      <c r="T595" s="28">
        <f t="shared" si="19"/>
        <v>7.7436500000000006</v>
      </c>
      <c r="U595" s="266" t="b">
        <v>1</v>
      </c>
      <c r="V595" s="266" t="b">
        <v>0</v>
      </c>
      <c r="Z595"/>
    </row>
    <row r="596" spans="1:26" s="363" customFormat="1" ht="15">
      <c r="A596" s="252"/>
      <c r="B596" s="252" t="s">
        <v>1900</v>
      </c>
      <c r="C596" s="257"/>
      <c r="D596" s="48" t="s">
        <v>1317</v>
      </c>
      <c r="E596" s="48"/>
      <c r="F596" s="257"/>
      <c r="G596" s="252"/>
      <c r="H596" s="252"/>
      <c r="I596" s="252"/>
      <c r="J596" s="257"/>
      <c r="K596" s="252" t="s">
        <v>9</v>
      </c>
      <c r="L596" s="268">
        <v>6.66</v>
      </c>
      <c r="M596" s="268">
        <v>8.5204599999999999</v>
      </c>
      <c r="N596" s="32">
        <v>10.66802</v>
      </c>
      <c r="O596" s="32" t="s">
        <v>115</v>
      </c>
      <c r="P596" s="32" t="s">
        <v>115</v>
      </c>
      <c r="Q596" s="253" t="s">
        <v>115</v>
      </c>
      <c r="R596" s="253" t="s">
        <v>115</v>
      </c>
      <c r="S596" s="28">
        <f t="shared" si="18"/>
        <v>9.5942399999999992</v>
      </c>
      <c r="T596" s="28">
        <f t="shared" si="19"/>
        <v>9.5942399999999992</v>
      </c>
      <c r="U596" s="266" t="b">
        <v>1</v>
      </c>
      <c r="V596" s="266" t="b">
        <v>0</v>
      </c>
      <c r="Z596"/>
    </row>
    <row r="597" spans="1:26" s="363" customFormat="1" ht="15">
      <c r="A597" s="252"/>
      <c r="B597" s="252" t="s">
        <v>1901</v>
      </c>
      <c r="C597" s="257"/>
      <c r="D597" s="48" t="s">
        <v>1318</v>
      </c>
      <c r="E597" s="48"/>
      <c r="F597" s="257"/>
      <c r="G597" s="252"/>
      <c r="H597" s="252"/>
      <c r="I597" s="252"/>
      <c r="J597" s="257"/>
      <c r="K597" s="252" t="s">
        <v>9</v>
      </c>
      <c r="L597" s="268">
        <v>4.5</v>
      </c>
      <c r="M597" s="268">
        <v>6.34185</v>
      </c>
      <c r="N597" s="32">
        <v>6.1273200000000001</v>
      </c>
      <c r="O597" s="32" t="s">
        <v>115</v>
      </c>
      <c r="P597" s="32" t="s">
        <v>115</v>
      </c>
      <c r="Q597" s="253" t="s">
        <v>115</v>
      </c>
      <c r="R597" s="253" t="s">
        <v>115</v>
      </c>
      <c r="S597" s="28">
        <f t="shared" si="18"/>
        <v>6.234585</v>
      </c>
      <c r="T597" s="28">
        <f t="shared" si="19"/>
        <v>6.234585</v>
      </c>
      <c r="U597" s="266" t="b">
        <v>1</v>
      </c>
      <c r="V597" s="266" t="b">
        <v>0</v>
      </c>
      <c r="Z597"/>
    </row>
    <row r="598" spans="1:26" s="363" customFormat="1" ht="15">
      <c r="A598" s="252"/>
      <c r="B598" s="252" t="s">
        <v>1902</v>
      </c>
      <c r="C598" s="257"/>
      <c r="D598" s="48" t="s">
        <v>1319</v>
      </c>
      <c r="E598" s="48"/>
      <c r="F598" s="257"/>
      <c r="G598" s="252"/>
      <c r="H598" s="252"/>
      <c r="I598" s="252"/>
      <c r="J598" s="257"/>
      <c r="K598" s="252" t="s">
        <v>9</v>
      </c>
      <c r="L598" s="268">
        <v>6.37</v>
      </c>
      <c r="M598" s="268">
        <v>9.2363099999999996</v>
      </c>
      <c r="N598" s="32">
        <v>9.9560899999999997</v>
      </c>
      <c r="O598" s="32" t="s">
        <v>115</v>
      </c>
      <c r="P598" s="32" t="s">
        <v>115</v>
      </c>
      <c r="Q598" s="253" t="s">
        <v>115</v>
      </c>
      <c r="R598" s="253" t="s">
        <v>115</v>
      </c>
      <c r="S598" s="28">
        <f t="shared" si="18"/>
        <v>9.5961999999999996</v>
      </c>
      <c r="T598" s="28">
        <f t="shared" si="19"/>
        <v>9.5961999999999996</v>
      </c>
      <c r="U598" s="266" t="b">
        <v>1</v>
      </c>
      <c r="V598" s="266" t="b">
        <v>0</v>
      </c>
      <c r="Z598"/>
    </row>
    <row r="599" spans="1:26" s="363" customFormat="1" ht="15">
      <c r="A599" s="252"/>
      <c r="B599" s="252" t="s">
        <v>1903</v>
      </c>
      <c r="C599" s="257"/>
      <c r="D599" s="48" t="s">
        <v>1405</v>
      </c>
      <c r="E599" s="48"/>
      <c r="F599" s="257"/>
      <c r="G599" s="252" t="s">
        <v>2416</v>
      </c>
      <c r="H599" s="252"/>
      <c r="I599" s="252"/>
      <c r="J599" s="257"/>
      <c r="K599" s="252" t="s">
        <v>9</v>
      </c>
      <c r="L599" s="268">
        <v>8</v>
      </c>
      <c r="M599" s="268">
        <v>10.8775</v>
      </c>
      <c r="N599" s="32">
        <v>15.446950000000001</v>
      </c>
      <c r="O599" s="32" t="s">
        <v>115</v>
      </c>
      <c r="P599" s="32" t="s">
        <v>115</v>
      </c>
      <c r="Q599" s="253" t="s">
        <v>115</v>
      </c>
      <c r="R599" s="253" t="s">
        <v>115</v>
      </c>
      <c r="S599" s="28">
        <f t="shared" si="18"/>
        <v>13.162224999999999</v>
      </c>
      <c r="T599" s="28">
        <f t="shared" si="19"/>
        <v>13.162224999999999</v>
      </c>
      <c r="U599" s="266" t="b">
        <v>1</v>
      </c>
      <c r="V599" s="266" t="b">
        <v>0</v>
      </c>
      <c r="Z599"/>
    </row>
    <row r="600" spans="1:26" s="363" customFormat="1" ht="15">
      <c r="A600" s="252"/>
      <c r="B600" s="252" t="s">
        <v>1904</v>
      </c>
      <c r="C600" s="257"/>
      <c r="D600" s="48" t="s">
        <v>1406</v>
      </c>
      <c r="E600" s="48" t="s">
        <v>5057</v>
      </c>
      <c r="F600" s="257"/>
      <c r="G600" s="252" t="s">
        <v>5056</v>
      </c>
      <c r="H600" s="252"/>
      <c r="I600" s="252"/>
      <c r="J600" s="257"/>
      <c r="K600" s="252" t="s">
        <v>9</v>
      </c>
      <c r="L600" s="268">
        <v>8</v>
      </c>
      <c r="M600" s="268">
        <v>13.033580000000001</v>
      </c>
      <c r="N600" s="32">
        <v>18.531110000000002</v>
      </c>
      <c r="O600" s="32" t="s">
        <v>115</v>
      </c>
      <c r="P600" s="32" t="s">
        <v>115</v>
      </c>
      <c r="Q600" s="253" t="s">
        <v>115</v>
      </c>
      <c r="R600" s="253" t="s">
        <v>115</v>
      </c>
      <c r="S600" s="28">
        <f t="shared" si="18"/>
        <v>15.782345000000001</v>
      </c>
      <c r="T600" s="28">
        <f t="shared" si="19"/>
        <v>15.782345000000001</v>
      </c>
      <c r="U600" s="266" t="b">
        <v>1</v>
      </c>
      <c r="V600" s="266" t="b">
        <v>0</v>
      </c>
      <c r="Z600"/>
    </row>
    <row r="601" spans="1:26" s="363" customFormat="1" ht="15">
      <c r="A601" s="252"/>
      <c r="B601" s="252" t="s">
        <v>1905</v>
      </c>
      <c r="C601" s="257"/>
      <c r="D601" s="48" t="s">
        <v>1409</v>
      </c>
      <c r="E601" s="48"/>
      <c r="F601" s="257"/>
      <c r="G601" s="252"/>
      <c r="H601" s="252"/>
      <c r="I601" s="252"/>
      <c r="J601" s="257"/>
      <c r="K601" s="252" t="s">
        <v>9</v>
      </c>
      <c r="L601" s="268">
        <v>50</v>
      </c>
      <c r="M601" s="268">
        <v>74.708699999999993</v>
      </c>
      <c r="N601" s="32">
        <v>79.629570000000001</v>
      </c>
      <c r="O601" s="32" t="s">
        <v>115</v>
      </c>
      <c r="P601" s="32" t="s">
        <v>115</v>
      </c>
      <c r="Q601" s="253" t="s">
        <v>115</v>
      </c>
      <c r="R601" s="253" t="s">
        <v>115</v>
      </c>
      <c r="S601" s="28">
        <f t="shared" si="18"/>
        <v>77.169134999999997</v>
      </c>
      <c r="T601" s="28">
        <f t="shared" si="19"/>
        <v>77.169134999999997</v>
      </c>
      <c r="U601" s="266" t="b">
        <v>1</v>
      </c>
      <c r="V601" s="266" t="b">
        <v>0</v>
      </c>
      <c r="Z601"/>
    </row>
    <row r="602" spans="1:26" s="363" customFormat="1" ht="25.5" customHeight="1">
      <c r="A602" s="252"/>
      <c r="B602" s="252" t="s">
        <v>1906</v>
      </c>
      <c r="C602" s="257"/>
      <c r="D602" s="48" t="s">
        <v>1410</v>
      </c>
      <c r="E602" s="48"/>
      <c r="F602" s="257"/>
      <c r="G602" s="252"/>
      <c r="H602" s="252"/>
      <c r="I602" s="252"/>
      <c r="J602" s="257"/>
      <c r="K602" s="252" t="s">
        <v>9</v>
      </c>
      <c r="L602" s="268">
        <v>30</v>
      </c>
      <c r="M602" s="268">
        <v>49.079790000000003</v>
      </c>
      <c r="N602" s="32">
        <v>51.378399999999999</v>
      </c>
      <c r="O602" s="32" t="s">
        <v>115</v>
      </c>
      <c r="P602" s="32" t="s">
        <v>115</v>
      </c>
      <c r="Q602" s="253" t="s">
        <v>115</v>
      </c>
      <c r="R602" s="253" t="s">
        <v>115</v>
      </c>
      <c r="S602" s="28">
        <f t="shared" si="18"/>
        <v>50.229095000000001</v>
      </c>
      <c r="T602" s="28">
        <f t="shared" si="19"/>
        <v>50.229095000000001</v>
      </c>
      <c r="U602" s="266" t="b">
        <v>1</v>
      </c>
      <c r="V602" s="266" t="b">
        <v>0</v>
      </c>
      <c r="Z602"/>
    </row>
    <row r="603" spans="1:26" s="363" customFormat="1" ht="15">
      <c r="A603" s="252"/>
      <c r="B603" s="252" t="s">
        <v>1907</v>
      </c>
      <c r="C603" s="257"/>
      <c r="D603" s="48" t="s">
        <v>1411</v>
      </c>
      <c r="E603" s="48"/>
      <c r="F603" s="257"/>
      <c r="G603" s="252"/>
      <c r="H603" s="252"/>
      <c r="I603" s="252"/>
      <c r="J603" s="257"/>
      <c r="K603" s="252" t="s">
        <v>9</v>
      </c>
      <c r="L603" s="268">
        <v>15</v>
      </c>
      <c r="M603" s="268">
        <v>4.7346300000000001</v>
      </c>
      <c r="N603" s="32">
        <v>13.96711</v>
      </c>
      <c r="O603" s="32" t="s">
        <v>115</v>
      </c>
      <c r="P603" s="32" t="s">
        <v>115</v>
      </c>
      <c r="Q603" s="253" t="s">
        <v>115</v>
      </c>
      <c r="R603" s="253" t="s">
        <v>115</v>
      </c>
      <c r="S603" s="28">
        <f t="shared" si="18"/>
        <v>9.3508700000000005</v>
      </c>
      <c r="T603" s="28">
        <f t="shared" si="19"/>
        <v>9.3508700000000005</v>
      </c>
      <c r="U603" s="266" t="b">
        <v>1</v>
      </c>
      <c r="V603" s="266" t="b">
        <v>0</v>
      </c>
      <c r="Z603"/>
    </row>
    <row r="604" spans="1:26" s="363" customFormat="1" ht="25.5">
      <c r="A604" s="252"/>
      <c r="B604" s="252" t="s">
        <v>1908</v>
      </c>
      <c r="C604" s="257"/>
      <c r="D604" s="48" t="s">
        <v>1448</v>
      </c>
      <c r="E604" s="48"/>
      <c r="F604" s="257"/>
      <c r="G604" s="252"/>
      <c r="H604" s="252"/>
      <c r="I604" s="252"/>
      <c r="J604" s="257"/>
      <c r="K604" s="252" t="s">
        <v>9</v>
      </c>
      <c r="L604" s="268">
        <v>16.3</v>
      </c>
      <c r="M604" s="268">
        <v>3.7828000000000004</v>
      </c>
      <c r="N604" s="32">
        <v>8.2180900000000001</v>
      </c>
      <c r="O604" s="32" t="s">
        <v>115</v>
      </c>
      <c r="P604" s="32" t="s">
        <v>115</v>
      </c>
      <c r="Q604" s="253" t="s">
        <v>115</v>
      </c>
      <c r="R604" s="253" t="s">
        <v>115</v>
      </c>
      <c r="S604" s="28">
        <f t="shared" si="18"/>
        <v>6.000445</v>
      </c>
      <c r="T604" s="28">
        <f t="shared" si="19"/>
        <v>6.000445</v>
      </c>
      <c r="U604" s="266" t="b">
        <v>1</v>
      </c>
      <c r="V604" s="266" t="b">
        <v>0</v>
      </c>
      <c r="Z604"/>
    </row>
    <row r="605" spans="1:26" s="363" customFormat="1" ht="25.5">
      <c r="A605" s="252"/>
      <c r="B605" s="252" t="s">
        <v>1909</v>
      </c>
      <c r="C605" s="257"/>
      <c r="D605" s="48" t="s">
        <v>1345</v>
      </c>
      <c r="E605" s="48"/>
      <c r="F605" s="257"/>
      <c r="G605" s="252"/>
      <c r="H605" s="252"/>
      <c r="I605" s="252"/>
      <c r="J605" s="257"/>
      <c r="K605" s="252" t="s">
        <v>9</v>
      </c>
      <c r="L605" s="268">
        <v>29.7</v>
      </c>
      <c r="M605" s="268">
        <v>18.83839</v>
      </c>
      <c r="N605" s="32">
        <v>22.793959999999998</v>
      </c>
      <c r="O605" s="32" t="s">
        <v>115</v>
      </c>
      <c r="P605" s="32" t="s">
        <v>115</v>
      </c>
      <c r="Q605" s="253" t="s">
        <v>115</v>
      </c>
      <c r="R605" s="253" t="s">
        <v>115</v>
      </c>
      <c r="S605" s="28">
        <f t="shared" si="18"/>
        <v>20.816175000000001</v>
      </c>
      <c r="T605" s="28">
        <f t="shared" si="19"/>
        <v>20.816175000000001</v>
      </c>
      <c r="U605" s="266" t="b">
        <v>1</v>
      </c>
      <c r="V605" s="266" t="b">
        <v>0</v>
      </c>
      <c r="Z605"/>
    </row>
    <row r="606" spans="1:26" s="363" customFormat="1" ht="15">
      <c r="A606" s="252"/>
      <c r="B606" s="252" t="s">
        <v>1910</v>
      </c>
      <c r="C606" s="257"/>
      <c r="D606" s="48" t="s">
        <v>1442</v>
      </c>
      <c r="E606" s="48"/>
      <c r="F606" s="257"/>
      <c r="G606" s="252"/>
      <c r="H606" s="252"/>
      <c r="I606" s="252"/>
      <c r="J606" s="257"/>
      <c r="K606" s="252" t="s">
        <v>9</v>
      </c>
      <c r="L606" s="268">
        <v>30</v>
      </c>
      <c r="M606" s="268">
        <v>16.64011</v>
      </c>
      <c r="N606" s="32">
        <v>34.365430000000003</v>
      </c>
      <c r="O606" s="32" t="s">
        <v>115</v>
      </c>
      <c r="P606" s="32" t="s">
        <v>115</v>
      </c>
      <c r="Q606" s="253" t="s">
        <v>115</v>
      </c>
      <c r="R606" s="253" t="s">
        <v>115</v>
      </c>
      <c r="S606" s="28">
        <f t="shared" si="18"/>
        <v>25.502770000000002</v>
      </c>
      <c r="T606" s="28">
        <f t="shared" si="19"/>
        <v>25.502770000000002</v>
      </c>
      <c r="U606" s="266" t="b">
        <v>1</v>
      </c>
      <c r="V606" s="266" t="b">
        <v>0</v>
      </c>
      <c r="Z606"/>
    </row>
    <row r="607" spans="1:26" s="363" customFormat="1" ht="15">
      <c r="A607" s="252" t="s">
        <v>1789</v>
      </c>
      <c r="B607" s="257" t="s">
        <v>3789</v>
      </c>
      <c r="C607" s="257"/>
      <c r="D607" s="48" t="s">
        <v>1327</v>
      </c>
      <c r="E607" s="48"/>
      <c r="F607" s="257"/>
      <c r="G607" s="252"/>
      <c r="H607" s="200"/>
      <c r="I607" s="252"/>
      <c r="J607" s="257"/>
      <c r="K607" s="252" t="s">
        <v>9</v>
      </c>
      <c r="L607" s="268">
        <v>2.21</v>
      </c>
      <c r="M607" s="268"/>
      <c r="N607" s="32"/>
      <c r="O607" s="32"/>
      <c r="P607" s="32"/>
      <c r="Q607" s="253"/>
      <c r="R607" s="253"/>
      <c r="S607" s="28">
        <f t="shared" si="18"/>
        <v>0</v>
      </c>
      <c r="T607" s="28">
        <f t="shared" si="19"/>
        <v>0</v>
      </c>
      <c r="U607" s="58" t="b">
        <v>0</v>
      </c>
      <c r="V607" s="266" t="b">
        <v>0</v>
      </c>
      <c r="Z607"/>
    </row>
    <row r="608" spans="1:26" s="363" customFormat="1" ht="15">
      <c r="A608" s="252"/>
      <c r="B608" s="252" t="s">
        <v>1911</v>
      </c>
      <c r="C608" s="257"/>
      <c r="D608" s="48" t="s">
        <v>1381</v>
      </c>
      <c r="E608" s="48"/>
      <c r="F608" s="257"/>
      <c r="G608" s="252" t="s">
        <v>2589</v>
      </c>
      <c r="H608" s="252"/>
      <c r="I608" s="252"/>
      <c r="J608" s="257"/>
      <c r="K608" s="252" t="s">
        <v>9</v>
      </c>
      <c r="L608" s="268">
        <v>120</v>
      </c>
      <c r="M608" s="268">
        <v>249.71312</v>
      </c>
      <c r="N608" s="32">
        <v>284.31420000000003</v>
      </c>
      <c r="O608" s="32" t="s">
        <v>115</v>
      </c>
      <c r="P608" s="32" t="s">
        <v>115</v>
      </c>
      <c r="Q608" s="253" t="s">
        <v>115</v>
      </c>
      <c r="R608" s="253" t="s">
        <v>115</v>
      </c>
      <c r="S608" s="28">
        <f t="shared" si="18"/>
        <v>267.01366000000002</v>
      </c>
      <c r="T608" s="28">
        <f t="shared" si="19"/>
        <v>267.01366000000002</v>
      </c>
      <c r="U608" s="266" t="b">
        <v>1</v>
      </c>
      <c r="V608" s="266" t="b">
        <v>0</v>
      </c>
      <c r="Z608"/>
    </row>
    <row r="609" spans="1:26" s="363" customFormat="1" ht="15">
      <c r="A609" s="252"/>
      <c r="B609" s="252" t="s">
        <v>1912</v>
      </c>
      <c r="C609" s="257"/>
      <c r="D609" s="48" t="s">
        <v>1434</v>
      </c>
      <c r="E609" s="48"/>
      <c r="F609" s="257"/>
      <c r="G609" s="252"/>
      <c r="H609" s="252"/>
      <c r="I609" s="252"/>
      <c r="J609" s="257"/>
      <c r="K609" s="252" t="s">
        <v>9</v>
      </c>
      <c r="L609" s="268">
        <v>1.32</v>
      </c>
      <c r="M609" s="268">
        <v>3.9740300000000004</v>
      </c>
      <c r="N609" s="32">
        <v>3.9299499999999998</v>
      </c>
      <c r="O609" s="32" t="s">
        <v>115</v>
      </c>
      <c r="P609" s="32" t="s">
        <v>115</v>
      </c>
      <c r="Q609" s="253" t="s">
        <v>115</v>
      </c>
      <c r="R609" s="253" t="s">
        <v>115</v>
      </c>
      <c r="S609" s="28">
        <f t="shared" si="18"/>
        <v>3.9519900000000003</v>
      </c>
      <c r="T609" s="28">
        <f t="shared" si="19"/>
        <v>3.9519900000000003</v>
      </c>
      <c r="U609" s="266" t="b">
        <v>1</v>
      </c>
      <c r="V609" s="266" t="b">
        <v>0</v>
      </c>
      <c r="Z609"/>
    </row>
    <row r="610" spans="1:26" s="363" customFormat="1" ht="15">
      <c r="A610" s="252"/>
      <c r="B610" s="252" t="s">
        <v>1913</v>
      </c>
      <c r="C610" s="257"/>
      <c r="D610" s="48" t="s">
        <v>1342</v>
      </c>
      <c r="E610" s="48"/>
      <c r="F610" s="257"/>
      <c r="G610" s="252"/>
      <c r="H610" s="252"/>
      <c r="I610" s="252"/>
      <c r="J610" s="257"/>
      <c r="K610" s="252" t="s">
        <v>9</v>
      </c>
      <c r="L610" s="268">
        <v>5.93</v>
      </c>
      <c r="M610" s="268">
        <v>2.3610700000000002</v>
      </c>
      <c r="N610" s="32">
        <v>7.9942900000000003</v>
      </c>
      <c r="O610" s="32" t="s">
        <v>115</v>
      </c>
      <c r="P610" s="32" t="s">
        <v>115</v>
      </c>
      <c r="Q610" s="253" t="s">
        <v>115</v>
      </c>
      <c r="R610" s="253" t="s">
        <v>115</v>
      </c>
      <c r="S610" s="28">
        <f t="shared" si="18"/>
        <v>5.1776800000000005</v>
      </c>
      <c r="T610" s="28">
        <f t="shared" si="19"/>
        <v>5.1776800000000005</v>
      </c>
      <c r="U610" s="266" t="b">
        <v>1</v>
      </c>
      <c r="V610" s="266" t="b">
        <v>0</v>
      </c>
      <c r="Z610"/>
    </row>
    <row r="611" spans="1:26" s="363" customFormat="1" ht="25.5">
      <c r="A611" s="27" t="s">
        <v>44</v>
      </c>
      <c r="B611" s="27" t="s">
        <v>44</v>
      </c>
      <c r="C611" s="252" t="s">
        <v>3314</v>
      </c>
      <c r="D611" s="29" t="s">
        <v>661</v>
      </c>
      <c r="E611" s="29" t="s">
        <v>4927</v>
      </c>
      <c r="F611" s="251">
        <v>32752</v>
      </c>
      <c r="G611" s="281" t="s">
        <v>2340</v>
      </c>
      <c r="H611" s="27"/>
      <c r="I611" s="27"/>
      <c r="J611" s="252"/>
      <c r="K611" s="252" t="s">
        <v>3</v>
      </c>
      <c r="L611" s="58">
        <v>28</v>
      </c>
      <c r="M611" s="58">
        <v>191.28</v>
      </c>
      <c r="N611" s="130">
        <v>183.43199999999999</v>
      </c>
      <c r="O611" s="28">
        <v>188.71199999999999</v>
      </c>
      <c r="P611" s="29">
        <v>183.26400000000001</v>
      </c>
      <c r="Q611" s="28">
        <v>179.41200000000001</v>
      </c>
      <c r="R611" s="28">
        <v>175.584</v>
      </c>
      <c r="S611" s="28">
        <f t="shared" si="18"/>
        <v>183.614</v>
      </c>
      <c r="T611" s="28">
        <f t="shared" si="19"/>
        <v>183.614</v>
      </c>
      <c r="U611" s="266" t="b">
        <v>1</v>
      </c>
      <c r="V611" s="266" t="b">
        <v>0</v>
      </c>
      <c r="Z611"/>
    </row>
    <row r="612" spans="1:26" s="363" customFormat="1" ht="15" customHeight="1">
      <c r="A612" s="252" t="s">
        <v>4898</v>
      </c>
      <c r="B612" s="333" t="s">
        <v>3830</v>
      </c>
      <c r="C612" s="252"/>
      <c r="D612" s="250" t="s">
        <v>3917</v>
      </c>
      <c r="E612" s="163" t="s">
        <v>5234</v>
      </c>
      <c r="F612" s="251">
        <v>42369</v>
      </c>
      <c r="G612" s="262" t="s">
        <v>4899</v>
      </c>
      <c r="H612" s="354"/>
      <c r="I612" s="188" t="s">
        <v>5344</v>
      </c>
      <c r="J612" s="254" t="s">
        <v>474</v>
      </c>
      <c r="K612" s="257" t="s">
        <v>1089</v>
      </c>
      <c r="L612" s="258">
        <v>15</v>
      </c>
      <c r="M612" s="241">
        <v>2.6481279999999998</v>
      </c>
      <c r="N612" s="253"/>
      <c r="O612" s="32"/>
      <c r="P612" s="188"/>
      <c r="Q612" s="262"/>
      <c r="R612" s="252"/>
      <c r="S612" s="28">
        <f t="shared" si="18"/>
        <v>2.6481279999999998</v>
      </c>
      <c r="T612" s="28">
        <f t="shared" si="19"/>
        <v>34.820999999999998</v>
      </c>
      <c r="U612" s="266" t="b">
        <v>1</v>
      </c>
      <c r="V612" s="266" t="b">
        <v>0</v>
      </c>
      <c r="Z612"/>
    </row>
    <row r="613" spans="1:26" s="363" customFormat="1" ht="25.5">
      <c r="A613" s="261"/>
      <c r="B613" s="260" t="s">
        <v>4676</v>
      </c>
      <c r="C613" s="107"/>
      <c r="D613" s="260" t="s">
        <v>4675</v>
      </c>
      <c r="E613" s="107"/>
      <c r="F613" s="156">
        <v>40360</v>
      </c>
      <c r="G613" s="257"/>
      <c r="H613" s="107"/>
      <c r="I613" s="107"/>
      <c r="J613" s="107"/>
      <c r="K613" s="252" t="s">
        <v>1089</v>
      </c>
      <c r="L613" s="261">
        <v>1</v>
      </c>
      <c r="M613" s="107">
        <v>2.0369999999999999</v>
      </c>
      <c r="N613" s="107">
        <v>2.0209999999999999</v>
      </c>
      <c r="O613" s="107">
        <v>2.1819999999999999</v>
      </c>
      <c r="P613" s="107">
        <v>2.0409999999999999</v>
      </c>
      <c r="Q613" s="107">
        <v>2.0339999999999998</v>
      </c>
      <c r="R613" s="107" t="s">
        <v>115</v>
      </c>
      <c r="S613" s="28">
        <f t="shared" si="18"/>
        <v>2.0630000000000002</v>
      </c>
      <c r="T613" s="28">
        <f t="shared" si="19"/>
        <v>2.0630000000000002</v>
      </c>
      <c r="U613" s="266" t="b">
        <v>1</v>
      </c>
      <c r="V613" s="266" t="b">
        <v>0</v>
      </c>
      <c r="Z613"/>
    </row>
    <row r="614" spans="1:26" s="363" customFormat="1" ht="15">
      <c r="A614" s="27" t="s">
        <v>3817</v>
      </c>
      <c r="B614" s="252" t="s">
        <v>3817</v>
      </c>
      <c r="C614" s="257" t="s">
        <v>3817</v>
      </c>
      <c r="D614" s="29" t="s">
        <v>3818</v>
      </c>
      <c r="E614" s="29" t="s">
        <v>3818</v>
      </c>
      <c r="F614" s="251" t="s">
        <v>3818</v>
      </c>
      <c r="G614" s="200" t="s">
        <v>3819</v>
      </c>
      <c r="H614" s="188"/>
      <c r="I614" s="188"/>
      <c r="J614" s="257"/>
      <c r="K614" s="252"/>
      <c r="L614" s="332">
        <f>SUM(L3:L613)</f>
        <v>16773.165083636362</v>
      </c>
      <c r="M614" s="332">
        <f t="shared" ref="M614:T614" si="20">SUM(M3:M613)</f>
        <v>45795.070343816376</v>
      </c>
      <c r="N614" s="332">
        <f t="shared" si="20"/>
        <v>43097.165889999982</v>
      </c>
      <c r="O614" s="332">
        <f t="shared" si="20"/>
        <v>22347.945651241011</v>
      </c>
      <c r="P614" s="332">
        <f t="shared" si="20"/>
        <v>19702.685563071362</v>
      </c>
      <c r="Q614" s="332">
        <f t="shared" si="20"/>
        <v>18873.359584383688</v>
      </c>
      <c r="R614" s="332">
        <f t="shared" si="20"/>
        <v>18658.204325604631</v>
      </c>
      <c r="S614" s="332">
        <f t="shared" si="20"/>
        <v>45444.844335458343</v>
      </c>
      <c r="T614" s="332">
        <f t="shared" si="20"/>
        <v>47647.054822003789</v>
      </c>
      <c r="U614" s="266"/>
      <c r="V614" s="266"/>
    </row>
    <row r="615" spans="1:26">
      <c r="O615" s="18"/>
      <c r="P615" s="18"/>
      <c r="Q615" s="19"/>
      <c r="R615" s="19"/>
      <c r="U615" s="255"/>
      <c r="V615" s="255"/>
    </row>
    <row r="616" spans="1:26">
      <c r="O616" s="18"/>
      <c r="P616" s="18"/>
      <c r="Q616" s="19"/>
      <c r="R616" s="19"/>
      <c r="U616" s="255"/>
      <c r="V616" s="255"/>
    </row>
  </sheetData>
  <autoFilter ref="A2:V614"/>
  <sortState ref="A4:N586">
    <sortCondition ref="B4:B586"/>
  </sortState>
  <mergeCells count="1">
    <mergeCell ref="A1:V1"/>
  </mergeCells>
  <conditionalFormatting sqref="C387">
    <cfRule type="duplicateValues" dxfId="80" priority="31"/>
  </conditionalFormatting>
  <conditionalFormatting sqref="C388">
    <cfRule type="duplicateValues" dxfId="79" priority="30"/>
  </conditionalFormatting>
  <conditionalFormatting sqref="C389">
    <cfRule type="duplicateValues" dxfId="78" priority="29"/>
  </conditionalFormatting>
  <conditionalFormatting sqref="C390">
    <cfRule type="duplicateValues" dxfId="77" priority="28"/>
  </conditionalFormatting>
  <conditionalFormatting sqref="C391">
    <cfRule type="duplicateValues" dxfId="76" priority="27"/>
  </conditionalFormatting>
  <conditionalFormatting sqref="D408">
    <cfRule type="duplicateValues" dxfId="75" priority="26"/>
  </conditionalFormatting>
  <conditionalFormatting sqref="E408">
    <cfRule type="duplicateValues" dxfId="74" priority="25"/>
  </conditionalFormatting>
  <conditionalFormatting sqref="L426">
    <cfRule type="duplicateValues" dxfId="73" priority="23"/>
  </conditionalFormatting>
  <conditionalFormatting sqref="J149">
    <cfRule type="duplicateValues" dxfId="72" priority="16"/>
  </conditionalFormatting>
  <conditionalFormatting sqref="C148:C149">
    <cfRule type="duplicateValues" dxfId="71" priority="17"/>
  </conditionalFormatting>
  <conditionalFormatting sqref="J148">
    <cfRule type="duplicateValues" dxfId="70" priority="15"/>
  </conditionalFormatting>
  <conditionalFormatting sqref="J150">
    <cfRule type="duplicateValues" dxfId="69" priority="10"/>
  </conditionalFormatting>
  <conditionalFormatting sqref="C150">
    <cfRule type="duplicateValues" dxfId="68" priority="11"/>
  </conditionalFormatting>
  <conditionalFormatting sqref="G153">
    <cfRule type="duplicateValues" dxfId="67" priority="9"/>
  </conditionalFormatting>
  <conditionalFormatting sqref="D615:D1048576 D1:D12 D386:D422 D429:D430 D154:D161 D374:D384 D163:D192 D14:D147 D196:D372">
    <cfRule type="duplicateValues" dxfId="66" priority="216"/>
  </conditionalFormatting>
  <conditionalFormatting sqref="D539:D1048576 D1:D192 D196:D446">
    <cfRule type="duplicateValues" dxfId="65" priority="8"/>
  </conditionalFormatting>
  <conditionalFormatting sqref="C151">
    <cfRule type="duplicateValues" dxfId="64" priority="218"/>
  </conditionalFormatting>
  <conditionalFormatting sqref="D539:D1048576 D1:D448">
    <cfRule type="duplicateValues" dxfId="63" priority="4"/>
  </conditionalFormatting>
  <conditionalFormatting sqref="D449:D538">
    <cfRule type="duplicateValues" dxfId="62" priority="417"/>
  </conditionalFormatting>
  <pageMargins left="0.41" right="0.19" top="0.48" bottom="0.28999999999999998" header="0.3" footer="0.17"/>
  <pageSetup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T121"/>
  <sheetViews>
    <sheetView topLeftCell="A93" zoomScale="70" zoomScaleNormal="70" workbookViewId="0">
      <selection activeCell="R121" sqref="R121"/>
    </sheetView>
  </sheetViews>
  <sheetFormatPr defaultRowHeight="29.25" customHeight="1"/>
  <cols>
    <col min="1" max="1" width="32.28515625" style="388" customWidth="1"/>
    <col min="2" max="2" width="45" style="388" customWidth="1"/>
    <col min="3" max="3" width="13.7109375" style="255" customWidth="1"/>
    <col min="4" max="5" width="13.7109375" style="16" customWidth="1"/>
    <col min="6" max="6" width="13.7109375" style="21" customWidth="1"/>
    <col min="7" max="10" width="13.7109375" style="388" customWidth="1"/>
    <col min="11" max="12" width="13.140625" style="190" customWidth="1"/>
    <col min="13" max="13" width="14.85546875" style="60" bestFit="1" customWidth="1"/>
    <col min="14" max="14" width="9.140625" style="18" customWidth="1"/>
    <col min="15" max="15" width="10.28515625" style="18" customWidth="1"/>
    <col min="16" max="16" width="12" style="19" customWidth="1"/>
    <col min="17" max="17" width="9.85546875" style="19" customWidth="1"/>
    <col min="18" max="18" width="12.28515625" style="19" customWidth="1"/>
    <col min="19" max="19" width="13.5703125" style="255" customWidth="1"/>
    <col min="20" max="16384" width="9.140625" style="255"/>
  </cols>
  <sheetData>
    <row r="1" spans="1:254" ht="29.25" customHeight="1">
      <c r="A1" s="394" t="s">
        <v>3771</v>
      </c>
      <c r="B1" s="286"/>
      <c r="C1" s="395"/>
      <c r="D1" s="395"/>
      <c r="E1" s="395"/>
      <c r="F1" s="395"/>
      <c r="G1" s="395"/>
      <c r="H1" s="395"/>
      <c r="I1" s="395"/>
      <c r="J1" s="395"/>
      <c r="K1" s="395"/>
      <c r="L1" s="395"/>
      <c r="M1" s="395"/>
      <c r="N1" s="395"/>
      <c r="O1" s="395"/>
      <c r="P1" s="395"/>
      <c r="Q1" s="395"/>
      <c r="R1" s="395"/>
    </row>
    <row r="2" spans="1:254" s="219" customFormat="1" ht="29.25" customHeight="1">
      <c r="A2" s="22" t="s">
        <v>16</v>
      </c>
      <c r="B2" s="23" t="s">
        <v>1</v>
      </c>
      <c r="C2" s="26" t="s">
        <v>1636</v>
      </c>
      <c r="D2" s="285" t="s">
        <v>1096</v>
      </c>
      <c r="E2" s="285" t="s">
        <v>1943</v>
      </c>
      <c r="F2" s="26" t="s">
        <v>665</v>
      </c>
      <c r="G2" s="23" t="s">
        <v>2104</v>
      </c>
      <c r="H2" s="23" t="s">
        <v>3538</v>
      </c>
      <c r="I2" s="23" t="s">
        <v>2687</v>
      </c>
      <c r="J2" s="75" t="s">
        <v>3755</v>
      </c>
      <c r="K2" s="191" t="s">
        <v>664</v>
      </c>
      <c r="L2" s="191" t="s">
        <v>5177</v>
      </c>
      <c r="M2" s="57" t="s">
        <v>1265</v>
      </c>
      <c r="N2" s="24" t="s">
        <v>948</v>
      </c>
      <c r="O2" s="24" t="s">
        <v>779</v>
      </c>
      <c r="P2" s="25" t="s">
        <v>505</v>
      </c>
      <c r="Q2" s="25" t="s">
        <v>506</v>
      </c>
      <c r="R2" s="25" t="s">
        <v>5466</v>
      </c>
      <c r="S2" s="57" t="s">
        <v>5467</v>
      </c>
      <c r="T2" s="57" t="s">
        <v>3921</v>
      </c>
    </row>
    <row r="3" spans="1:254" s="131" customFormat="1" ht="29.25" customHeight="1">
      <c r="A3" s="254" t="s">
        <v>2089</v>
      </c>
      <c r="B3" s="286" t="s">
        <v>2094</v>
      </c>
      <c r="C3" s="252"/>
      <c r="D3" s="48" t="s">
        <v>1077</v>
      </c>
      <c r="E3" s="48" t="s">
        <v>2693</v>
      </c>
      <c r="F3" s="43">
        <v>41680</v>
      </c>
      <c r="G3" s="46"/>
      <c r="H3" s="46"/>
      <c r="I3" s="46" t="s">
        <v>2946</v>
      </c>
      <c r="J3" s="257" t="s">
        <v>1089</v>
      </c>
      <c r="K3" s="193">
        <v>0.25</v>
      </c>
      <c r="L3" s="193">
        <v>0.63657900000000001</v>
      </c>
      <c r="M3" s="130">
        <v>0.56696899999999995</v>
      </c>
      <c r="N3" s="28"/>
      <c r="O3" s="37"/>
      <c r="P3" s="37"/>
      <c r="Q3" s="37"/>
      <c r="R3" s="253">
        <f>IF(AND(S3,NOT(T3)),AVERAGE(L3:Q3),0)</f>
        <v>0.60177400000000003</v>
      </c>
      <c r="S3" s="266" t="b">
        <v>1</v>
      </c>
      <c r="T3" s="266" t="b">
        <v>0</v>
      </c>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255"/>
      <c r="GZ3" s="255"/>
      <c r="HA3" s="255"/>
      <c r="HB3" s="255"/>
      <c r="HC3" s="255"/>
      <c r="HD3" s="255"/>
      <c r="HE3" s="255"/>
      <c r="HF3" s="255"/>
      <c r="HG3" s="255"/>
      <c r="HH3" s="255"/>
      <c r="HI3" s="255"/>
      <c r="HJ3" s="255"/>
      <c r="HK3" s="255"/>
      <c r="HL3" s="255"/>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255"/>
      <c r="IL3" s="255"/>
      <c r="IM3" s="255"/>
      <c r="IN3" s="255"/>
      <c r="IO3" s="255"/>
      <c r="IP3" s="255"/>
      <c r="IQ3" s="255"/>
      <c r="IR3" s="255"/>
      <c r="IS3" s="255"/>
      <c r="IT3" s="255"/>
    </row>
    <row r="4" spans="1:254" s="131" customFormat="1" ht="29.25" customHeight="1">
      <c r="A4" s="254" t="s">
        <v>2089</v>
      </c>
      <c r="B4" s="466" t="s">
        <v>2090</v>
      </c>
      <c r="C4" s="252"/>
      <c r="D4" s="48" t="s">
        <v>1069</v>
      </c>
      <c r="E4" s="48" t="s">
        <v>2694</v>
      </c>
      <c r="F4" s="43">
        <v>41701</v>
      </c>
      <c r="G4" s="159" t="s">
        <v>2638</v>
      </c>
      <c r="H4" s="159"/>
      <c r="I4" s="159" t="s">
        <v>2946</v>
      </c>
      <c r="J4" s="257" t="s">
        <v>1089</v>
      </c>
      <c r="K4" s="193">
        <v>0.999</v>
      </c>
      <c r="L4" s="193">
        <v>2.6849569999999998</v>
      </c>
      <c r="M4" s="130">
        <v>1.7110000000000001</v>
      </c>
      <c r="N4" s="28"/>
      <c r="O4" s="37"/>
      <c r="P4" s="37"/>
      <c r="Q4" s="37"/>
      <c r="R4" s="253">
        <f t="shared" ref="R4:R67" si="0">IF(AND(S4,NOT(T4)),AVERAGE(L4:Q4),0)</f>
        <v>2.1979785000000001</v>
      </c>
      <c r="S4" s="266" t="b">
        <v>1</v>
      </c>
      <c r="T4" s="266" t="b">
        <v>0</v>
      </c>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c r="GD4" s="255"/>
      <c r="GE4" s="255"/>
      <c r="GF4" s="255"/>
      <c r="GG4" s="255"/>
      <c r="GH4" s="255"/>
      <c r="GI4" s="255"/>
      <c r="GJ4" s="255"/>
      <c r="GK4" s="255"/>
      <c r="GL4" s="255"/>
      <c r="GM4" s="255"/>
      <c r="GN4" s="255"/>
      <c r="GO4" s="255"/>
      <c r="GP4" s="255"/>
      <c r="GQ4" s="255"/>
      <c r="GR4" s="255"/>
      <c r="GS4" s="255"/>
      <c r="GT4" s="255"/>
      <c r="GU4" s="255"/>
      <c r="GV4" s="255"/>
      <c r="GW4" s="255"/>
      <c r="GX4" s="255"/>
      <c r="GY4" s="255"/>
      <c r="GZ4" s="255"/>
      <c r="HA4" s="255"/>
      <c r="HB4" s="255"/>
      <c r="HC4" s="255"/>
      <c r="HD4" s="255"/>
      <c r="HE4" s="255"/>
      <c r="HF4" s="255"/>
      <c r="HG4" s="255"/>
      <c r="HH4" s="255"/>
      <c r="HI4" s="255"/>
      <c r="HJ4" s="255"/>
      <c r="HK4" s="255"/>
      <c r="HL4" s="255"/>
      <c r="HM4" s="255"/>
      <c r="HN4" s="255"/>
      <c r="HO4" s="255"/>
      <c r="HP4" s="255"/>
      <c r="HQ4" s="255"/>
      <c r="HR4" s="255"/>
      <c r="HS4" s="255"/>
      <c r="HT4" s="255"/>
      <c r="HU4" s="255"/>
      <c r="HV4" s="255"/>
      <c r="HW4" s="255"/>
      <c r="HX4" s="255"/>
      <c r="HY4" s="255"/>
      <c r="HZ4" s="255"/>
      <c r="IA4" s="255"/>
      <c r="IB4" s="255"/>
      <c r="IC4" s="255"/>
      <c r="ID4" s="255"/>
      <c r="IE4" s="255"/>
      <c r="IF4" s="255"/>
      <c r="IG4" s="255"/>
      <c r="IH4" s="255"/>
      <c r="II4" s="255"/>
      <c r="IJ4" s="255"/>
      <c r="IK4" s="255"/>
      <c r="IL4" s="255"/>
      <c r="IM4" s="255"/>
      <c r="IN4" s="255"/>
      <c r="IO4" s="255"/>
      <c r="IP4" s="255"/>
      <c r="IQ4" s="255"/>
      <c r="IR4" s="255"/>
      <c r="IS4" s="255"/>
      <c r="IT4" s="255"/>
    </row>
    <row r="5" spans="1:254" s="131" customFormat="1" ht="29.25" customHeight="1">
      <c r="A5" s="254" t="s">
        <v>2089</v>
      </c>
      <c r="B5" s="466" t="s">
        <v>2091</v>
      </c>
      <c r="C5" s="252"/>
      <c r="D5" s="48" t="s">
        <v>1070</v>
      </c>
      <c r="E5" s="48" t="s">
        <v>2692</v>
      </c>
      <c r="F5" s="43">
        <v>41701</v>
      </c>
      <c r="G5" s="159"/>
      <c r="H5" s="159"/>
      <c r="I5" s="159" t="s">
        <v>2946</v>
      </c>
      <c r="J5" s="257" t="s">
        <v>1089</v>
      </c>
      <c r="K5" s="193">
        <v>0.5</v>
      </c>
      <c r="L5" s="193">
        <v>1.225533</v>
      </c>
      <c r="M5" s="130">
        <v>0.89741899999999997</v>
      </c>
      <c r="N5" s="28"/>
      <c r="O5" s="37"/>
      <c r="P5" s="37"/>
      <c r="Q5" s="37"/>
      <c r="R5" s="253">
        <f t="shared" si="0"/>
        <v>1.0614759999999999</v>
      </c>
      <c r="S5" s="266" t="b">
        <v>1</v>
      </c>
      <c r="T5" s="266" t="b">
        <v>0</v>
      </c>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c r="GD5" s="255"/>
      <c r="GE5" s="255"/>
      <c r="GF5" s="255"/>
      <c r="GG5" s="255"/>
      <c r="GH5" s="255"/>
      <c r="GI5" s="255"/>
      <c r="GJ5" s="255"/>
      <c r="GK5" s="255"/>
      <c r="GL5" s="255"/>
      <c r="GM5" s="255"/>
      <c r="GN5" s="255"/>
      <c r="GO5" s="255"/>
      <c r="GP5" s="255"/>
      <c r="GQ5" s="255"/>
      <c r="GR5" s="255"/>
      <c r="GS5" s="255"/>
      <c r="GT5" s="255"/>
      <c r="GU5" s="255"/>
      <c r="GV5" s="255"/>
      <c r="GW5" s="255"/>
      <c r="GX5" s="255"/>
      <c r="GY5" s="255"/>
      <c r="GZ5" s="255"/>
      <c r="HA5" s="255"/>
      <c r="HB5" s="255"/>
      <c r="HC5" s="255"/>
      <c r="HD5" s="255"/>
      <c r="HE5" s="255"/>
      <c r="HF5" s="255"/>
      <c r="HG5" s="255"/>
      <c r="HH5" s="255"/>
      <c r="HI5" s="255"/>
      <c r="HJ5" s="255"/>
      <c r="HK5" s="255"/>
      <c r="HL5" s="255"/>
      <c r="HM5" s="255"/>
      <c r="HN5" s="255"/>
      <c r="HO5" s="255"/>
      <c r="HP5" s="255"/>
      <c r="HQ5" s="255"/>
      <c r="HR5" s="255"/>
      <c r="HS5" s="255"/>
      <c r="HT5" s="255"/>
      <c r="HU5" s="255"/>
      <c r="HV5" s="255"/>
      <c r="HW5" s="255"/>
      <c r="HX5" s="255"/>
      <c r="HY5" s="255"/>
      <c r="HZ5" s="255"/>
      <c r="IA5" s="255"/>
      <c r="IB5" s="255"/>
      <c r="IC5" s="255"/>
      <c r="ID5" s="255"/>
      <c r="IE5" s="255"/>
      <c r="IF5" s="255"/>
      <c r="IG5" s="255"/>
      <c r="IH5" s="255"/>
      <c r="II5" s="255"/>
      <c r="IJ5" s="255"/>
      <c r="IK5" s="255"/>
      <c r="IL5" s="255"/>
      <c r="IM5" s="255"/>
      <c r="IN5" s="255"/>
      <c r="IO5" s="255"/>
      <c r="IP5" s="255"/>
      <c r="IQ5" s="255"/>
      <c r="IR5" s="255"/>
      <c r="IS5" s="255"/>
      <c r="IT5" s="255"/>
    </row>
    <row r="6" spans="1:254" s="131" customFormat="1" ht="29.25" customHeight="1">
      <c r="A6" s="254" t="s">
        <v>2089</v>
      </c>
      <c r="B6" s="286" t="s">
        <v>2095</v>
      </c>
      <c r="C6" s="252"/>
      <c r="D6" s="48" t="s">
        <v>1076</v>
      </c>
      <c r="E6" s="48" t="s">
        <v>2695</v>
      </c>
      <c r="F6" s="43">
        <v>41467</v>
      </c>
      <c r="G6" s="46"/>
      <c r="H6" s="46"/>
      <c r="I6" s="46" t="s">
        <v>2946</v>
      </c>
      <c r="J6" s="257" t="s">
        <v>1089</v>
      </c>
      <c r="K6" s="193">
        <v>0.5</v>
      </c>
      <c r="L6" s="193">
        <v>0.58780299999999996</v>
      </c>
      <c r="M6" s="130">
        <v>0.60072000000000003</v>
      </c>
      <c r="N6" s="28"/>
      <c r="O6" s="37"/>
      <c r="P6" s="37"/>
      <c r="Q6" s="37"/>
      <c r="R6" s="253">
        <f t="shared" si="0"/>
        <v>0.5942615</v>
      </c>
      <c r="S6" s="266" t="b">
        <v>1</v>
      </c>
      <c r="T6" s="266" t="b">
        <v>0</v>
      </c>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c r="FF6" s="255"/>
      <c r="FG6" s="255"/>
      <c r="FH6" s="255"/>
      <c r="FI6" s="255"/>
      <c r="FJ6" s="255"/>
      <c r="FK6" s="255"/>
      <c r="FL6" s="255"/>
      <c r="FM6" s="255"/>
      <c r="FN6" s="255"/>
      <c r="FO6" s="255"/>
      <c r="FP6" s="255"/>
      <c r="FQ6" s="255"/>
      <c r="FR6" s="255"/>
      <c r="FS6" s="255"/>
      <c r="FT6" s="255"/>
      <c r="FU6" s="255"/>
      <c r="FV6" s="255"/>
      <c r="FW6" s="255"/>
      <c r="FX6" s="255"/>
      <c r="FY6" s="255"/>
      <c r="FZ6" s="255"/>
      <c r="GA6" s="255"/>
      <c r="GB6" s="255"/>
      <c r="GC6" s="255"/>
      <c r="GD6" s="255"/>
      <c r="GE6" s="255"/>
      <c r="GF6" s="255"/>
      <c r="GG6" s="255"/>
      <c r="GH6" s="255"/>
      <c r="GI6" s="255"/>
      <c r="GJ6" s="255"/>
      <c r="GK6" s="255"/>
      <c r="GL6" s="255"/>
      <c r="GM6" s="255"/>
      <c r="GN6" s="255"/>
      <c r="GO6" s="255"/>
      <c r="GP6" s="255"/>
      <c r="GQ6" s="255"/>
      <c r="GR6" s="255"/>
      <c r="GS6" s="255"/>
      <c r="GT6" s="255"/>
      <c r="GU6" s="255"/>
      <c r="GV6" s="255"/>
      <c r="GW6" s="255"/>
      <c r="GX6" s="255"/>
      <c r="GY6" s="255"/>
      <c r="GZ6" s="255"/>
      <c r="HA6" s="255"/>
      <c r="HB6" s="255"/>
      <c r="HC6" s="255"/>
      <c r="HD6" s="255"/>
      <c r="HE6" s="255"/>
      <c r="HF6" s="255"/>
      <c r="HG6" s="255"/>
      <c r="HH6" s="255"/>
      <c r="HI6" s="255"/>
      <c r="HJ6" s="255"/>
      <c r="HK6" s="255"/>
      <c r="HL6" s="255"/>
      <c r="HM6" s="255"/>
      <c r="HN6" s="255"/>
      <c r="HO6" s="255"/>
      <c r="HP6" s="255"/>
      <c r="HQ6" s="255"/>
      <c r="HR6" s="255"/>
      <c r="HS6" s="255"/>
      <c r="HT6" s="255"/>
      <c r="HU6" s="255"/>
      <c r="HV6" s="255"/>
      <c r="HW6" s="255"/>
      <c r="HX6" s="255"/>
      <c r="HY6" s="255"/>
      <c r="HZ6" s="255"/>
      <c r="IA6" s="255"/>
      <c r="IB6" s="255"/>
      <c r="IC6" s="255"/>
      <c r="ID6" s="255"/>
      <c r="IE6" s="255"/>
      <c r="IF6" s="255"/>
      <c r="IG6" s="255"/>
      <c r="IH6" s="255"/>
      <c r="II6" s="255"/>
      <c r="IJ6" s="255"/>
      <c r="IK6" s="255"/>
      <c r="IL6" s="255"/>
      <c r="IM6" s="255"/>
      <c r="IN6" s="255"/>
      <c r="IO6" s="255"/>
      <c r="IP6" s="255"/>
      <c r="IQ6" s="255"/>
      <c r="IR6" s="255"/>
      <c r="IS6" s="255"/>
      <c r="IT6" s="255"/>
    </row>
    <row r="7" spans="1:254" s="131" customFormat="1" ht="29.25" customHeight="1">
      <c r="A7" s="254" t="s">
        <v>2089</v>
      </c>
      <c r="B7" s="286" t="s">
        <v>2092</v>
      </c>
      <c r="C7" s="252"/>
      <c r="D7" s="48" t="s">
        <v>1064</v>
      </c>
      <c r="E7" s="48" t="s">
        <v>2698</v>
      </c>
      <c r="F7" s="43">
        <v>41704</v>
      </c>
      <c r="G7" s="46" t="s">
        <v>2639</v>
      </c>
      <c r="H7" s="46"/>
      <c r="I7" s="257" t="s">
        <v>2946</v>
      </c>
      <c r="J7" s="257" t="s">
        <v>1089</v>
      </c>
      <c r="K7" s="193">
        <v>0.999</v>
      </c>
      <c r="L7" s="193">
        <v>1.2108989999999999</v>
      </c>
      <c r="M7" s="130">
        <v>0.45824199999999998</v>
      </c>
      <c r="N7" s="28"/>
      <c r="O7" s="37"/>
      <c r="P7" s="37"/>
      <c r="Q7" s="37"/>
      <c r="R7" s="253">
        <f t="shared" si="0"/>
        <v>0.83457049999999999</v>
      </c>
      <c r="S7" s="266" t="b">
        <v>1</v>
      </c>
      <c r="T7" s="266" t="b">
        <v>0</v>
      </c>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255"/>
      <c r="ES7" s="255"/>
      <c r="ET7" s="255"/>
      <c r="EU7" s="255"/>
      <c r="EV7" s="255"/>
      <c r="EW7" s="255"/>
      <c r="EX7" s="255"/>
      <c r="EY7" s="255"/>
      <c r="EZ7" s="255"/>
      <c r="FA7" s="255"/>
      <c r="FB7" s="255"/>
      <c r="FC7" s="255"/>
      <c r="FD7" s="255"/>
      <c r="FE7" s="255"/>
      <c r="FF7" s="255"/>
      <c r="FG7" s="255"/>
      <c r="FH7" s="255"/>
      <c r="FI7" s="255"/>
      <c r="FJ7" s="255"/>
      <c r="FK7" s="255"/>
      <c r="FL7" s="255"/>
      <c r="FM7" s="255"/>
      <c r="FN7" s="255"/>
      <c r="FO7" s="255"/>
      <c r="FP7" s="255"/>
      <c r="FQ7" s="255"/>
      <c r="FR7" s="255"/>
      <c r="FS7" s="255"/>
      <c r="FT7" s="255"/>
      <c r="FU7" s="255"/>
      <c r="FV7" s="255"/>
      <c r="FW7" s="255"/>
      <c r="FX7" s="255"/>
      <c r="FY7" s="255"/>
      <c r="FZ7" s="255"/>
      <c r="GA7" s="255"/>
      <c r="GB7" s="255"/>
      <c r="GC7" s="255"/>
      <c r="GD7" s="255"/>
      <c r="GE7" s="255"/>
      <c r="GF7" s="255"/>
      <c r="GG7" s="255"/>
      <c r="GH7" s="255"/>
      <c r="GI7" s="255"/>
      <c r="GJ7" s="255"/>
      <c r="GK7" s="255"/>
      <c r="GL7" s="255"/>
      <c r="GM7" s="255"/>
      <c r="GN7" s="255"/>
      <c r="GO7" s="255"/>
      <c r="GP7" s="255"/>
      <c r="GQ7" s="255"/>
      <c r="GR7" s="255"/>
      <c r="GS7" s="255"/>
      <c r="GT7" s="255"/>
      <c r="GU7" s="255"/>
      <c r="GV7" s="255"/>
      <c r="GW7" s="255"/>
      <c r="GX7" s="255"/>
      <c r="GY7" s="255"/>
      <c r="GZ7" s="255"/>
      <c r="HA7" s="255"/>
      <c r="HB7" s="255"/>
      <c r="HC7" s="255"/>
      <c r="HD7" s="255"/>
      <c r="HE7" s="255"/>
      <c r="HF7" s="255"/>
      <c r="HG7" s="255"/>
      <c r="HH7" s="255"/>
      <c r="HI7" s="255"/>
      <c r="HJ7" s="255"/>
      <c r="HK7" s="255"/>
      <c r="HL7" s="255"/>
      <c r="HM7" s="255"/>
      <c r="HN7" s="255"/>
      <c r="HO7" s="255"/>
      <c r="HP7" s="255"/>
      <c r="HQ7" s="255"/>
      <c r="HR7" s="255"/>
      <c r="HS7" s="255"/>
      <c r="HT7" s="255"/>
      <c r="HU7" s="255"/>
      <c r="HV7" s="255"/>
      <c r="HW7" s="255"/>
      <c r="HX7" s="255"/>
      <c r="HY7" s="255"/>
      <c r="HZ7" s="255"/>
      <c r="IA7" s="255"/>
      <c r="IB7" s="255"/>
      <c r="IC7" s="255"/>
      <c r="ID7" s="255"/>
      <c r="IE7" s="255"/>
      <c r="IF7" s="255"/>
      <c r="IG7" s="255"/>
      <c r="IH7" s="255"/>
      <c r="II7" s="255"/>
      <c r="IJ7" s="255"/>
      <c r="IK7" s="255"/>
      <c r="IL7" s="255"/>
      <c r="IM7" s="255"/>
      <c r="IN7" s="255"/>
      <c r="IO7" s="255"/>
      <c r="IP7" s="255"/>
      <c r="IQ7" s="255"/>
      <c r="IR7" s="255"/>
      <c r="IS7" s="255"/>
      <c r="IT7" s="255"/>
    </row>
    <row r="8" spans="1:254" s="131" customFormat="1" ht="29.25" customHeight="1">
      <c r="A8" s="254" t="s">
        <v>2089</v>
      </c>
      <c r="B8" s="286" t="s">
        <v>2097</v>
      </c>
      <c r="C8" s="252"/>
      <c r="D8" s="48" t="s">
        <v>1065</v>
      </c>
      <c r="E8" s="48" t="s">
        <v>2696</v>
      </c>
      <c r="F8" s="43">
        <v>41701</v>
      </c>
      <c r="G8" s="46" t="s">
        <v>2634</v>
      </c>
      <c r="H8" s="46"/>
      <c r="I8" s="46" t="s">
        <v>2946</v>
      </c>
      <c r="J8" s="257" t="s">
        <v>1089</v>
      </c>
      <c r="K8" s="193">
        <v>0.999</v>
      </c>
      <c r="L8" s="193">
        <v>2.070754</v>
      </c>
      <c r="M8" s="130">
        <v>1.976</v>
      </c>
      <c r="N8" s="28"/>
      <c r="O8" s="37"/>
      <c r="P8" s="37"/>
      <c r="Q8" s="37"/>
      <c r="R8" s="253">
        <f t="shared" si="0"/>
        <v>2.023377</v>
      </c>
      <c r="S8" s="266" t="b">
        <v>1</v>
      </c>
      <c r="T8" s="266" t="b">
        <v>0</v>
      </c>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5"/>
      <c r="GH8" s="255"/>
      <c r="GI8" s="255"/>
      <c r="GJ8" s="255"/>
      <c r="GK8" s="255"/>
      <c r="GL8" s="255"/>
      <c r="GM8" s="255"/>
      <c r="GN8" s="255"/>
      <c r="GO8" s="255"/>
      <c r="GP8" s="255"/>
      <c r="GQ8" s="255"/>
      <c r="GR8" s="255"/>
      <c r="GS8" s="255"/>
      <c r="GT8" s="255"/>
      <c r="GU8" s="255"/>
      <c r="GV8" s="255"/>
      <c r="GW8" s="255"/>
      <c r="GX8" s="255"/>
      <c r="GY8" s="255"/>
      <c r="GZ8" s="255"/>
      <c r="HA8" s="255"/>
      <c r="HB8" s="255"/>
      <c r="HC8" s="255"/>
      <c r="HD8" s="255"/>
      <c r="HE8" s="255"/>
      <c r="HF8" s="255"/>
      <c r="HG8" s="255"/>
      <c r="HH8" s="255"/>
      <c r="HI8" s="255"/>
      <c r="HJ8" s="255"/>
      <c r="HK8" s="255"/>
      <c r="HL8" s="255"/>
      <c r="HM8" s="255"/>
      <c r="HN8" s="255"/>
      <c r="HO8" s="255"/>
      <c r="HP8" s="255"/>
      <c r="HQ8" s="255"/>
      <c r="HR8" s="255"/>
      <c r="HS8" s="255"/>
      <c r="HT8" s="255"/>
      <c r="HU8" s="255"/>
      <c r="HV8" s="255"/>
      <c r="HW8" s="255"/>
      <c r="HX8" s="255"/>
      <c r="HY8" s="255"/>
      <c r="HZ8" s="255"/>
      <c r="IA8" s="255"/>
      <c r="IB8" s="255"/>
      <c r="IC8" s="255"/>
      <c r="ID8" s="255"/>
      <c r="IE8" s="255"/>
      <c r="IF8" s="255"/>
      <c r="IG8" s="255"/>
      <c r="IH8" s="255"/>
      <c r="II8" s="255"/>
      <c r="IJ8" s="255"/>
      <c r="IK8" s="255"/>
      <c r="IL8" s="255"/>
      <c r="IM8" s="255"/>
      <c r="IN8" s="255"/>
      <c r="IO8" s="255"/>
      <c r="IP8" s="255"/>
      <c r="IQ8" s="255"/>
      <c r="IR8" s="255"/>
      <c r="IS8" s="255"/>
      <c r="IT8" s="255"/>
    </row>
    <row r="9" spans="1:254" s="131" customFormat="1" ht="29.25" customHeight="1">
      <c r="A9" s="254" t="s">
        <v>2089</v>
      </c>
      <c r="B9" s="286" t="s">
        <v>2098</v>
      </c>
      <c r="C9" s="252"/>
      <c r="D9" s="48" t="s">
        <v>1066</v>
      </c>
      <c r="E9" s="48" t="s">
        <v>2702</v>
      </c>
      <c r="F9" s="43">
        <v>41677</v>
      </c>
      <c r="G9" s="46" t="s">
        <v>2635</v>
      </c>
      <c r="H9" s="46"/>
      <c r="I9" s="46" t="s">
        <v>2946</v>
      </c>
      <c r="J9" s="257" t="s">
        <v>1089</v>
      </c>
      <c r="K9" s="193">
        <v>0.999</v>
      </c>
      <c r="L9" s="193">
        <v>2.4653860000000001</v>
      </c>
      <c r="M9" s="130">
        <v>2.1547679999999998</v>
      </c>
      <c r="N9" s="28"/>
      <c r="O9" s="37"/>
      <c r="P9" s="37"/>
      <c r="Q9" s="37"/>
      <c r="R9" s="253">
        <f t="shared" si="0"/>
        <v>2.3100769999999997</v>
      </c>
      <c r="S9" s="266" t="b">
        <v>1</v>
      </c>
      <c r="T9" s="266" t="b">
        <v>0</v>
      </c>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5"/>
      <c r="GH9" s="255"/>
      <c r="GI9" s="255"/>
      <c r="GJ9" s="255"/>
      <c r="GK9" s="255"/>
      <c r="GL9" s="255"/>
      <c r="GM9" s="255"/>
      <c r="GN9" s="255"/>
      <c r="GO9" s="255"/>
      <c r="GP9" s="255"/>
      <c r="GQ9" s="255"/>
      <c r="GR9" s="255"/>
      <c r="GS9" s="255"/>
      <c r="GT9" s="255"/>
      <c r="GU9" s="255"/>
      <c r="GV9" s="255"/>
      <c r="GW9" s="255"/>
      <c r="GX9" s="255"/>
      <c r="GY9" s="255"/>
      <c r="GZ9" s="255"/>
      <c r="HA9" s="255"/>
      <c r="HB9" s="255"/>
      <c r="HC9" s="255"/>
      <c r="HD9" s="255"/>
      <c r="HE9" s="255"/>
      <c r="HF9" s="255"/>
      <c r="HG9" s="255"/>
      <c r="HH9" s="255"/>
      <c r="HI9" s="255"/>
      <c r="HJ9" s="255"/>
      <c r="HK9" s="255"/>
      <c r="HL9" s="255"/>
      <c r="HM9" s="255"/>
      <c r="HN9" s="255"/>
      <c r="HO9" s="255"/>
      <c r="HP9" s="255"/>
      <c r="HQ9" s="255"/>
      <c r="HR9" s="255"/>
      <c r="HS9" s="255"/>
      <c r="HT9" s="255"/>
      <c r="HU9" s="255"/>
      <c r="HV9" s="255"/>
      <c r="HW9" s="255"/>
      <c r="HX9" s="255"/>
      <c r="HY9" s="255"/>
      <c r="HZ9" s="255"/>
      <c r="IA9" s="255"/>
      <c r="IB9" s="255"/>
      <c r="IC9" s="255"/>
      <c r="ID9" s="255"/>
      <c r="IE9" s="255"/>
      <c r="IF9" s="255"/>
      <c r="IG9" s="255"/>
      <c r="IH9" s="255"/>
      <c r="II9" s="255"/>
      <c r="IJ9" s="255"/>
      <c r="IK9" s="255"/>
      <c r="IL9" s="255"/>
      <c r="IM9" s="255"/>
      <c r="IN9" s="255"/>
      <c r="IO9" s="255"/>
      <c r="IP9" s="255"/>
      <c r="IQ9" s="255"/>
      <c r="IR9" s="255"/>
      <c r="IS9" s="255"/>
      <c r="IT9" s="255"/>
    </row>
    <row r="10" spans="1:254" s="131" customFormat="1" ht="29.25" customHeight="1">
      <c r="A10" s="254" t="s">
        <v>2089</v>
      </c>
      <c r="B10" s="286" t="s">
        <v>2099</v>
      </c>
      <c r="C10" s="252"/>
      <c r="D10" s="48" t="s">
        <v>1071</v>
      </c>
      <c r="E10" s="48" t="s">
        <v>2703</v>
      </c>
      <c r="F10" s="43">
        <v>41690</v>
      </c>
      <c r="G10" s="46"/>
      <c r="H10" s="46"/>
      <c r="I10" s="46"/>
      <c r="J10" s="257" t="s">
        <v>1089</v>
      </c>
      <c r="K10" s="193">
        <v>0.75</v>
      </c>
      <c r="L10" s="193">
        <f>M10</f>
        <v>0.45700000000000002</v>
      </c>
      <c r="M10" s="130">
        <v>0.45700000000000002</v>
      </c>
      <c r="N10" s="28"/>
      <c r="O10" s="37"/>
      <c r="P10" s="37"/>
      <c r="Q10" s="37"/>
      <c r="R10" s="253">
        <f t="shared" si="0"/>
        <v>0.45700000000000002</v>
      </c>
      <c r="S10" s="266" t="b">
        <v>1</v>
      </c>
      <c r="T10" s="266" t="b">
        <v>0</v>
      </c>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c r="IO10" s="255"/>
      <c r="IP10" s="255"/>
      <c r="IQ10" s="255"/>
      <c r="IR10" s="255"/>
      <c r="IS10" s="255"/>
      <c r="IT10" s="255"/>
    </row>
    <row r="11" spans="1:254" s="131" customFormat="1" ht="29.25" customHeight="1">
      <c r="A11" s="254" t="s">
        <v>2089</v>
      </c>
      <c r="B11" s="286" t="s">
        <v>2100</v>
      </c>
      <c r="C11" s="252"/>
      <c r="D11" s="48" t="s">
        <v>1072</v>
      </c>
      <c r="E11" s="48" t="s">
        <v>2704</v>
      </c>
      <c r="F11" s="43">
        <v>41817</v>
      </c>
      <c r="G11" s="46" t="s">
        <v>2636</v>
      </c>
      <c r="H11" s="46"/>
      <c r="I11" s="46" t="s">
        <v>2946</v>
      </c>
      <c r="J11" s="257" t="s">
        <v>1089</v>
      </c>
      <c r="K11" s="193">
        <v>0.999</v>
      </c>
      <c r="L11" s="193">
        <v>0.52704600000000001</v>
      </c>
      <c r="M11" s="130">
        <v>2.7799000000000001E-2</v>
      </c>
      <c r="N11" s="28"/>
      <c r="O11" s="37"/>
      <c r="P11" s="37"/>
      <c r="Q11" s="37"/>
      <c r="R11" s="253">
        <f t="shared" si="0"/>
        <v>0.27742250000000002</v>
      </c>
      <c r="S11" s="266" t="b">
        <v>1</v>
      </c>
      <c r="T11" s="266" t="b">
        <v>0</v>
      </c>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row>
    <row r="12" spans="1:254" s="131" customFormat="1" ht="29.25" customHeight="1">
      <c r="A12" s="254" t="s">
        <v>2089</v>
      </c>
      <c r="B12" s="466" t="s">
        <v>2093</v>
      </c>
      <c r="C12" s="252"/>
      <c r="D12" s="48" t="s">
        <v>1063</v>
      </c>
      <c r="E12" s="48" t="s">
        <v>2705</v>
      </c>
      <c r="F12" s="43">
        <v>41817</v>
      </c>
      <c r="G12" s="159" t="s">
        <v>2637</v>
      </c>
      <c r="H12" s="159"/>
      <c r="I12" s="159" t="s">
        <v>2946</v>
      </c>
      <c r="J12" s="257" t="s">
        <v>1089</v>
      </c>
      <c r="K12" s="193">
        <v>0.999</v>
      </c>
      <c r="L12" s="193">
        <v>0.50608500000000001</v>
      </c>
      <c r="M12" s="130">
        <v>0.22800000000000001</v>
      </c>
      <c r="N12" s="28"/>
      <c r="O12" s="37"/>
      <c r="P12" s="37"/>
      <c r="Q12" s="37"/>
      <c r="R12" s="253">
        <f t="shared" si="0"/>
        <v>0.36704249999999999</v>
      </c>
      <c r="S12" s="266" t="b">
        <v>1</v>
      </c>
      <c r="T12" s="266" t="b">
        <v>0</v>
      </c>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c r="IO12" s="255"/>
      <c r="IP12" s="255"/>
      <c r="IQ12" s="255"/>
      <c r="IR12" s="255"/>
      <c r="IS12" s="255"/>
      <c r="IT12" s="255"/>
    </row>
    <row r="13" spans="1:254" s="131" customFormat="1" ht="29.25" customHeight="1">
      <c r="A13" s="254" t="s">
        <v>2089</v>
      </c>
      <c r="B13" s="286" t="s">
        <v>2101</v>
      </c>
      <c r="C13" s="252"/>
      <c r="D13" s="48" t="s">
        <v>1075</v>
      </c>
      <c r="E13" s="48" t="s">
        <v>2706</v>
      </c>
      <c r="F13" s="43">
        <v>41549</v>
      </c>
      <c r="G13" s="46"/>
      <c r="H13" s="46"/>
      <c r="I13" s="46" t="s">
        <v>2946</v>
      </c>
      <c r="J13" s="257" t="s">
        <v>1089</v>
      </c>
      <c r="K13" s="193">
        <v>0.75</v>
      </c>
      <c r="L13" s="193">
        <v>1.136584</v>
      </c>
      <c r="M13" s="130">
        <v>1.107</v>
      </c>
      <c r="N13" s="28"/>
      <c r="O13" s="37"/>
      <c r="P13" s="37"/>
      <c r="Q13" s="37"/>
      <c r="R13" s="253">
        <f t="shared" si="0"/>
        <v>1.1217920000000001</v>
      </c>
      <c r="S13" s="266" t="b">
        <v>1</v>
      </c>
      <c r="T13" s="266" t="b">
        <v>0</v>
      </c>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row>
    <row r="14" spans="1:254" s="131" customFormat="1" ht="29.25" customHeight="1">
      <c r="A14" s="254" t="s">
        <v>2089</v>
      </c>
      <c r="B14" s="286" t="s">
        <v>2102</v>
      </c>
      <c r="C14" s="252"/>
      <c r="D14" s="48" t="s">
        <v>1074</v>
      </c>
      <c r="E14" s="48" t="s">
        <v>2707</v>
      </c>
      <c r="F14" s="43">
        <v>41704</v>
      </c>
      <c r="G14" s="46"/>
      <c r="H14" s="46"/>
      <c r="I14" s="46" t="s">
        <v>2946</v>
      </c>
      <c r="J14" s="257" t="s">
        <v>1089</v>
      </c>
      <c r="K14" s="193">
        <v>0.25</v>
      </c>
      <c r="L14" s="193">
        <v>0.54151400000000005</v>
      </c>
      <c r="M14" s="130">
        <v>0.56189999999999996</v>
      </c>
      <c r="N14" s="28"/>
      <c r="O14" s="37"/>
      <c r="P14" s="37"/>
      <c r="Q14" s="37"/>
      <c r="R14" s="253">
        <f t="shared" si="0"/>
        <v>0.55170699999999995</v>
      </c>
      <c r="S14" s="266" t="b">
        <v>1</v>
      </c>
      <c r="T14" s="266" t="b">
        <v>0</v>
      </c>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c r="IO14" s="255"/>
      <c r="IP14" s="255"/>
      <c r="IQ14" s="255"/>
      <c r="IR14" s="255"/>
      <c r="IS14" s="255"/>
      <c r="IT14" s="255"/>
    </row>
    <row r="15" spans="1:254" s="131" customFormat="1" ht="29.25" customHeight="1">
      <c r="A15" s="254" t="s">
        <v>691</v>
      </c>
      <c r="B15" s="143" t="s">
        <v>691</v>
      </c>
      <c r="C15" s="252"/>
      <c r="D15" s="250"/>
      <c r="E15" s="250" t="s">
        <v>5261</v>
      </c>
      <c r="F15" s="251">
        <v>41365</v>
      </c>
      <c r="G15" s="257" t="s">
        <v>2121</v>
      </c>
      <c r="H15" s="257"/>
      <c r="I15" s="257" t="s">
        <v>2946</v>
      </c>
      <c r="J15" s="27" t="s">
        <v>3</v>
      </c>
      <c r="K15" s="192">
        <v>0.6</v>
      </c>
      <c r="L15" s="192">
        <v>0</v>
      </c>
      <c r="M15" s="28">
        <v>0.146897</v>
      </c>
      <c r="N15" s="28"/>
      <c r="O15" s="29"/>
      <c r="P15" s="28"/>
      <c r="Q15" s="28"/>
      <c r="R15" s="253">
        <f t="shared" si="0"/>
        <v>7.34485E-2</v>
      </c>
      <c r="S15" s="266" t="b">
        <v>1</v>
      </c>
      <c r="T15" s="266" t="b">
        <v>0</v>
      </c>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55"/>
      <c r="HD15" s="255"/>
      <c r="HE15" s="255"/>
      <c r="HF15" s="255"/>
      <c r="HG15" s="255"/>
      <c r="HH15" s="255"/>
      <c r="HI15" s="255"/>
      <c r="HJ15" s="255"/>
      <c r="HK15" s="255"/>
      <c r="HL15" s="255"/>
      <c r="HM15" s="255"/>
      <c r="HN15" s="255"/>
      <c r="HO15" s="255"/>
      <c r="HP15" s="255"/>
      <c r="HQ15" s="255"/>
      <c r="HR15" s="255"/>
      <c r="HS15" s="255"/>
      <c r="HT15" s="255"/>
      <c r="HU15" s="255"/>
      <c r="HV15" s="255"/>
      <c r="HW15" s="255"/>
      <c r="HX15" s="255"/>
      <c r="HY15" s="255"/>
      <c r="HZ15" s="255"/>
      <c r="IA15" s="255"/>
      <c r="IB15" s="255"/>
      <c r="IC15" s="255"/>
      <c r="ID15" s="255"/>
      <c r="IE15" s="255"/>
      <c r="IF15" s="255"/>
      <c r="IG15" s="255"/>
      <c r="IH15" s="255"/>
      <c r="II15" s="255"/>
      <c r="IJ15" s="255"/>
      <c r="IK15" s="255"/>
      <c r="IL15" s="255"/>
      <c r="IM15" s="255"/>
      <c r="IN15" s="255"/>
      <c r="IO15" s="255"/>
      <c r="IP15" s="255"/>
      <c r="IQ15" s="255"/>
      <c r="IR15" s="255"/>
      <c r="IS15" s="255"/>
      <c r="IT15" s="255"/>
    </row>
    <row r="16" spans="1:254" s="131" customFormat="1" ht="29.25" customHeight="1">
      <c r="A16" s="254"/>
      <c r="B16" s="143" t="s">
        <v>2044</v>
      </c>
      <c r="C16" s="252"/>
      <c r="D16" s="250"/>
      <c r="E16" s="250" t="s">
        <v>5262</v>
      </c>
      <c r="F16" s="251">
        <v>41456</v>
      </c>
      <c r="G16" s="257" t="s">
        <v>478</v>
      </c>
      <c r="H16" s="257"/>
      <c r="I16" s="257" t="s">
        <v>2946</v>
      </c>
      <c r="J16" s="27" t="s">
        <v>3</v>
      </c>
      <c r="K16" s="192">
        <v>0.45</v>
      </c>
      <c r="L16" s="192">
        <v>1.4089320000000001</v>
      </c>
      <c r="M16" s="28">
        <v>1.579</v>
      </c>
      <c r="N16" s="28"/>
      <c r="O16" s="29"/>
      <c r="P16" s="28"/>
      <c r="Q16" s="28"/>
      <c r="R16" s="253">
        <f t="shared" si="0"/>
        <v>1.4939659999999999</v>
      </c>
      <c r="S16" s="266" t="b">
        <v>1</v>
      </c>
      <c r="T16" s="266" t="b">
        <v>0</v>
      </c>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c r="GD16" s="255"/>
      <c r="GE16" s="255"/>
      <c r="GF16" s="255"/>
      <c r="GG16" s="255"/>
      <c r="GH16" s="255"/>
      <c r="GI16" s="255"/>
      <c r="GJ16" s="255"/>
      <c r="GK16" s="255"/>
      <c r="GL16" s="255"/>
      <c r="GM16" s="255"/>
      <c r="GN16" s="255"/>
      <c r="GO16" s="255"/>
      <c r="GP16" s="255"/>
      <c r="GQ16" s="255"/>
      <c r="GR16" s="255"/>
      <c r="GS16" s="255"/>
      <c r="GT16" s="255"/>
      <c r="GU16" s="255"/>
      <c r="GV16" s="255"/>
      <c r="GW16" s="255"/>
      <c r="GX16" s="255"/>
      <c r="GY16" s="255"/>
      <c r="GZ16" s="255"/>
      <c r="HA16" s="255"/>
      <c r="HB16" s="255"/>
      <c r="HC16" s="255"/>
      <c r="HD16" s="255"/>
      <c r="HE16" s="255"/>
      <c r="HF16" s="255"/>
      <c r="HG16" s="255"/>
      <c r="HH16" s="255"/>
      <c r="HI16" s="255"/>
      <c r="HJ16" s="255"/>
      <c r="HK16" s="255"/>
      <c r="HL16" s="255"/>
      <c r="HM16" s="255"/>
      <c r="HN16" s="255"/>
      <c r="HO16" s="255"/>
      <c r="HP16" s="255"/>
      <c r="HQ16" s="255"/>
      <c r="HR16" s="255"/>
      <c r="HS16" s="255"/>
      <c r="HT16" s="255"/>
      <c r="HU16" s="255"/>
      <c r="HV16" s="255"/>
      <c r="HW16" s="255"/>
      <c r="HX16" s="255"/>
      <c r="HY16" s="255"/>
      <c r="HZ16" s="255"/>
      <c r="IA16" s="255"/>
      <c r="IB16" s="255"/>
      <c r="IC16" s="255"/>
      <c r="ID16" s="255"/>
      <c r="IE16" s="255"/>
      <c r="IF16" s="255"/>
      <c r="IG16" s="255"/>
      <c r="IH16" s="255"/>
      <c r="II16" s="255"/>
      <c r="IJ16" s="255"/>
      <c r="IK16" s="255"/>
      <c r="IL16" s="255"/>
      <c r="IM16" s="255"/>
      <c r="IN16" s="255"/>
      <c r="IO16" s="255"/>
      <c r="IP16" s="255"/>
      <c r="IQ16" s="255"/>
      <c r="IR16" s="255"/>
      <c r="IS16" s="255"/>
      <c r="IT16" s="255"/>
    </row>
    <row r="17" spans="1:254" s="131" customFormat="1" ht="29.25" customHeight="1">
      <c r="A17" s="254"/>
      <c r="B17" s="286" t="s">
        <v>5241</v>
      </c>
      <c r="C17" s="252"/>
      <c r="D17" s="48"/>
      <c r="E17" s="48" t="s">
        <v>5263</v>
      </c>
      <c r="F17" s="43">
        <v>41278</v>
      </c>
      <c r="G17" s="46"/>
      <c r="H17" s="46"/>
      <c r="I17" s="46"/>
      <c r="J17" s="27" t="s">
        <v>1089</v>
      </c>
      <c r="K17" s="252">
        <v>0.05</v>
      </c>
      <c r="L17" s="130">
        <v>7.2217000000000003E-2</v>
      </c>
      <c r="M17" s="130"/>
      <c r="N17" s="136"/>
      <c r="O17" s="37"/>
      <c r="P17" s="37"/>
      <c r="Q17" s="37"/>
      <c r="R17" s="253">
        <f t="shared" si="0"/>
        <v>7.2217000000000003E-2</v>
      </c>
      <c r="S17" s="266" t="b">
        <v>1</v>
      </c>
      <c r="T17" s="266" t="b">
        <v>0</v>
      </c>
    </row>
    <row r="18" spans="1:254" s="131" customFormat="1" ht="29.25" customHeight="1">
      <c r="A18" s="56"/>
      <c r="B18" s="143" t="s">
        <v>2059</v>
      </c>
      <c r="C18" s="252"/>
      <c r="D18" s="250"/>
      <c r="E18" s="250" t="s">
        <v>2060</v>
      </c>
      <c r="F18" s="251">
        <v>40165</v>
      </c>
      <c r="G18" s="257"/>
      <c r="H18" s="257"/>
      <c r="I18" s="257" t="s">
        <v>2983</v>
      </c>
      <c r="J18" s="27" t="s">
        <v>3</v>
      </c>
      <c r="K18" s="192">
        <v>0.75</v>
      </c>
      <c r="L18" s="130">
        <v>2.7616000000000001</v>
      </c>
      <c r="M18" s="130">
        <v>2.7616000000000001</v>
      </c>
      <c r="N18" s="28"/>
      <c r="O18" s="32"/>
      <c r="P18" s="32"/>
      <c r="Q18" s="32"/>
      <c r="R18" s="253">
        <f t="shared" si="0"/>
        <v>0</v>
      </c>
      <c r="S18" s="266" t="b">
        <v>0</v>
      </c>
      <c r="T18" s="266" t="b">
        <v>0</v>
      </c>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c r="GV18" s="255"/>
      <c r="GW18" s="255"/>
      <c r="GX18" s="255"/>
      <c r="GY18" s="255"/>
      <c r="GZ18" s="255"/>
      <c r="HA18" s="255"/>
      <c r="HB18" s="255"/>
      <c r="HC18" s="255"/>
      <c r="HD18" s="255"/>
      <c r="HE18" s="255"/>
      <c r="HF18" s="255"/>
      <c r="HG18" s="255"/>
      <c r="HH18" s="255"/>
      <c r="HI18" s="255"/>
      <c r="HJ18" s="255"/>
      <c r="HK18" s="255"/>
      <c r="HL18" s="255"/>
      <c r="HM18" s="255"/>
      <c r="HN18" s="255"/>
      <c r="HO18" s="255"/>
      <c r="HP18" s="255"/>
      <c r="HQ18" s="255"/>
      <c r="HR18" s="255"/>
      <c r="HS18" s="255"/>
      <c r="HT18" s="255"/>
      <c r="HU18" s="255"/>
      <c r="HV18" s="255"/>
      <c r="HW18" s="255"/>
      <c r="HX18" s="255"/>
      <c r="HY18" s="255"/>
      <c r="HZ18" s="255"/>
      <c r="IA18" s="255"/>
      <c r="IB18" s="255"/>
      <c r="IC18" s="255"/>
      <c r="ID18" s="255"/>
      <c r="IE18" s="255"/>
      <c r="IF18" s="255"/>
      <c r="IG18" s="255"/>
      <c r="IH18" s="255"/>
      <c r="II18" s="255"/>
      <c r="IJ18" s="255"/>
      <c r="IK18" s="255"/>
      <c r="IL18" s="255"/>
      <c r="IM18" s="255"/>
      <c r="IN18" s="255"/>
      <c r="IO18" s="255"/>
      <c r="IP18" s="255"/>
      <c r="IQ18" s="255"/>
      <c r="IR18" s="255"/>
      <c r="IS18" s="255"/>
      <c r="IT18" s="255"/>
    </row>
    <row r="19" spans="1:254" s="131" customFormat="1" ht="29.25" customHeight="1">
      <c r="A19" s="149" t="s">
        <v>1941</v>
      </c>
      <c r="B19" s="143" t="s">
        <v>1924</v>
      </c>
      <c r="C19" s="263"/>
      <c r="D19" s="257"/>
      <c r="E19" s="209" t="s">
        <v>3212</v>
      </c>
      <c r="F19" s="151">
        <v>42018</v>
      </c>
      <c r="G19" s="262" t="s">
        <v>2625</v>
      </c>
      <c r="H19" s="262"/>
      <c r="I19" s="257" t="s">
        <v>2946</v>
      </c>
      <c r="J19" s="257" t="s">
        <v>1089</v>
      </c>
      <c r="K19" s="261">
        <v>0.75</v>
      </c>
      <c r="L19" s="261">
        <v>1.84474</v>
      </c>
      <c r="M19" s="144">
        <v>1.1000000000000001</v>
      </c>
      <c r="N19" s="241"/>
      <c r="O19" s="134"/>
      <c r="P19" s="262"/>
      <c r="Q19" s="264"/>
      <c r="R19" s="253">
        <f t="shared" si="0"/>
        <v>1.4723700000000002</v>
      </c>
      <c r="S19" s="266" t="b">
        <v>1</v>
      </c>
      <c r="T19" s="266" t="b">
        <v>0</v>
      </c>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c r="FT19" s="255"/>
      <c r="FU19" s="255"/>
      <c r="FV19" s="255"/>
      <c r="FW19" s="255"/>
      <c r="FX19" s="255"/>
      <c r="FY19" s="255"/>
      <c r="FZ19" s="255"/>
      <c r="GA19" s="255"/>
      <c r="GB19" s="255"/>
      <c r="GC19" s="255"/>
      <c r="GD19" s="255"/>
      <c r="GE19" s="255"/>
      <c r="GF19" s="255"/>
      <c r="GG19" s="255"/>
      <c r="GH19" s="255"/>
      <c r="GI19" s="255"/>
      <c r="GJ19" s="255"/>
      <c r="GK19" s="255"/>
      <c r="GL19" s="255"/>
      <c r="GM19" s="255"/>
      <c r="GN19" s="255"/>
      <c r="GO19" s="255"/>
      <c r="GP19" s="255"/>
      <c r="GQ19" s="255"/>
      <c r="GR19" s="255"/>
      <c r="GS19" s="255"/>
      <c r="GT19" s="255"/>
      <c r="GU19" s="255"/>
      <c r="GV19" s="255"/>
      <c r="GW19" s="255"/>
      <c r="GX19" s="255"/>
      <c r="GY19" s="255"/>
      <c r="GZ19" s="255"/>
      <c r="HA19" s="255"/>
      <c r="HB19" s="255"/>
      <c r="HC19" s="255"/>
      <c r="HD19" s="255"/>
      <c r="HE19" s="255"/>
      <c r="HF19" s="255"/>
      <c r="HG19" s="255"/>
      <c r="HH19" s="255"/>
      <c r="HI19" s="255"/>
      <c r="HJ19" s="255"/>
      <c r="HK19" s="255"/>
      <c r="HL19" s="255"/>
      <c r="HM19" s="255"/>
      <c r="HN19" s="255"/>
      <c r="HO19" s="255"/>
      <c r="HP19" s="255"/>
      <c r="HQ19" s="255"/>
      <c r="HR19" s="255"/>
      <c r="HS19" s="255"/>
      <c r="HT19" s="255"/>
      <c r="HU19" s="255"/>
      <c r="HV19" s="255"/>
      <c r="HW19" s="255"/>
      <c r="HX19" s="255"/>
      <c r="HY19" s="255"/>
      <c r="HZ19" s="255"/>
      <c r="IA19" s="255"/>
      <c r="IB19" s="255"/>
      <c r="IC19" s="255"/>
      <c r="ID19" s="255"/>
      <c r="IE19" s="255"/>
      <c r="IF19" s="255"/>
      <c r="IG19" s="255"/>
      <c r="IH19" s="255"/>
      <c r="II19" s="255"/>
      <c r="IJ19" s="255"/>
      <c r="IK19" s="255"/>
      <c r="IL19" s="255"/>
      <c r="IM19" s="255"/>
      <c r="IN19" s="255"/>
      <c r="IO19" s="255"/>
      <c r="IP19" s="255"/>
      <c r="IQ19" s="255"/>
      <c r="IR19" s="255"/>
      <c r="IS19" s="255"/>
      <c r="IT19" s="255"/>
    </row>
    <row r="20" spans="1:254" s="131" customFormat="1" ht="29.25" customHeight="1">
      <c r="A20" s="56"/>
      <c r="B20" s="143" t="s">
        <v>2723</v>
      </c>
      <c r="C20" s="252"/>
      <c r="D20" s="250"/>
      <c r="E20" s="250" t="s">
        <v>2724</v>
      </c>
      <c r="F20" s="251">
        <v>39266</v>
      </c>
      <c r="G20" s="257"/>
      <c r="H20" s="257"/>
      <c r="I20" s="257" t="s">
        <v>2946</v>
      </c>
      <c r="J20" s="27" t="s">
        <v>1089</v>
      </c>
      <c r="K20" s="192">
        <v>0.12272</v>
      </c>
      <c r="L20" s="192">
        <v>0.124613</v>
      </c>
      <c r="M20" s="130">
        <v>0.14299999999999999</v>
      </c>
      <c r="N20" s="28"/>
      <c r="O20" s="32"/>
      <c r="P20" s="32"/>
      <c r="Q20" s="32"/>
      <c r="R20" s="253">
        <f t="shared" si="0"/>
        <v>0.13380649999999999</v>
      </c>
      <c r="S20" s="266" t="b">
        <v>1</v>
      </c>
      <c r="T20" s="266" t="b">
        <v>0</v>
      </c>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5"/>
      <c r="GE20" s="255"/>
      <c r="GF20" s="255"/>
      <c r="GG20" s="255"/>
      <c r="GH20" s="255"/>
      <c r="GI20" s="255"/>
      <c r="GJ20" s="255"/>
      <c r="GK20" s="255"/>
      <c r="GL20" s="255"/>
      <c r="GM20" s="255"/>
      <c r="GN20" s="255"/>
      <c r="GO20" s="255"/>
      <c r="GP20" s="255"/>
      <c r="GQ20" s="255"/>
      <c r="GR20" s="255"/>
      <c r="GS20" s="255"/>
      <c r="GT20" s="255"/>
      <c r="GU20" s="255"/>
      <c r="GV20" s="255"/>
      <c r="GW20" s="255"/>
      <c r="GX20" s="255"/>
      <c r="GY20" s="255"/>
      <c r="GZ20" s="255"/>
      <c r="HA20" s="255"/>
      <c r="HB20" s="255"/>
      <c r="HC20" s="255"/>
      <c r="HD20" s="255"/>
      <c r="HE20" s="255"/>
      <c r="HF20" s="255"/>
      <c r="HG20" s="255"/>
      <c r="HH20" s="255"/>
      <c r="HI20" s="255"/>
      <c r="HJ20" s="255"/>
      <c r="HK20" s="255"/>
      <c r="HL20" s="255"/>
      <c r="HM20" s="255"/>
      <c r="HN20" s="255"/>
      <c r="HO20" s="255"/>
      <c r="HP20" s="255"/>
      <c r="HQ20" s="255"/>
      <c r="HR20" s="255"/>
      <c r="HS20" s="255"/>
      <c r="HT20" s="255"/>
      <c r="HU20" s="255"/>
      <c r="HV20" s="255"/>
      <c r="HW20" s="255"/>
      <c r="HX20" s="255"/>
      <c r="HY20" s="255"/>
      <c r="HZ20" s="255"/>
      <c r="IA20" s="255"/>
      <c r="IB20" s="255"/>
      <c r="IC20" s="255"/>
      <c r="ID20" s="255"/>
      <c r="IE20" s="255"/>
      <c r="IF20" s="255"/>
      <c r="IG20" s="255"/>
      <c r="IH20" s="255"/>
      <c r="II20" s="255"/>
      <c r="IJ20" s="255"/>
      <c r="IK20" s="255"/>
      <c r="IL20" s="255"/>
      <c r="IM20" s="255"/>
      <c r="IN20" s="255"/>
      <c r="IO20" s="255"/>
      <c r="IP20" s="255"/>
      <c r="IQ20" s="255"/>
      <c r="IR20" s="255"/>
      <c r="IS20" s="255"/>
      <c r="IT20" s="255"/>
    </row>
    <row r="21" spans="1:254" ht="29.25" customHeight="1">
      <c r="A21" s="56"/>
      <c r="B21" s="143" t="s">
        <v>3706</v>
      </c>
      <c r="C21" s="252"/>
      <c r="D21" s="250"/>
      <c r="E21" s="250"/>
      <c r="F21" s="251">
        <v>40484</v>
      </c>
      <c r="G21" s="257" t="s">
        <v>3705</v>
      </c>
      <c r="H21" s="257"/>
      <c r="I21" s="257"/>
      <c r="J21" s="27" t="s">
        <v>3747</v>
      </c>
      <c r="K21" s="192">
        <v>0.08</v>
      </c>
      <c r="L21" s="193">
        <f>M21</f>
        <v>0.6</v>
      </c>
      <c r="M21" s="130">
        <v>0.6</v>
      </c>
      <c r="N21" s="28"/>
      <c r="O21" s="32"/>
      <c r="P21" s="32"/>
      <c r="Q21" s="32"/>
      <c r="R21" s="253">
        <f t="shared" si="0"/>
        <v>0.6</v>
      </c>
      <c r="S21" s="266" t="b">
        <v>1</v>
      </c>
      <c r="T21" s="266" t="b">
        <v>0</v>
      </c>
    </row>
    <row r="22" spans="1:254" s="131" customFormat="1" ht="29.25" customHeight="1">
      <c r="A22" s="254"/>
      <c r="B22" s="143" t="s">
        <v>2014</v>
      </c>
      <c r="C22" s="252"/>
      <c r="D22" s="139"/>
      <c r="E22" s="139" t="s">
        <v>2810</v>
      </c>
      <c r="F22" s="137">
        <v>39393</v>
      </c>
      <c r="G22" s="257"/>
      <c r="H22" s="257"/>
      <c r="I22" s="257" t="s">
        <v>2946</v>
      </c>
      <c r="J22" s="27" t="s">
        <v>1089</v>
      </c>
      <c r="K22" s="467">
        <v>0.9</v>
      </c>
      <c r="L22" s="193">
        <f>M22</f>
        <v>1.046</v>
      </c>
      <c r="M22" s="130">
        <v>1.046</v>
      </c>
      <c r="N22" s="28"/>
      <c r="O22" s="29"/>
      <c r="P22" s="29"/>
      <c r="Q22" s="29"/>
      <c r="R22" s="253">
        <f t="shared" si="0"/>
        <v>1.046</v>
      </c>
      <c r="S22" s="266" t="b">
        <v>1</v>
      </c>
      <c r="T22" s="266" t="b">
        <v>0</v>
      </c>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5"/>
      <c r="DV22" s="255"/>
      <c r="DW22" s="255"/>
      <c r="DX22" s="255"/>
      <c r="DY22" s="255"/>
      <c r="DZ22" s="255"/>
      <c r="EA22" s="255"/>
      <c r="EB22" s="255"/>
      <c r="EC22" s="255"/>
      <c r="ED22" s="255"/>
      <c r="EE22" s="255"/>
      <c r="EF22" s="255"/>
      <c r="EG22" s="255"/>
      <c r="EH22" s="255"/>
      <c r="EI22" s="255"/>
      <c r="EJ22" s="255"/>
      <c r="EK22" s="255"/>
      <c r="EL22" s="255"/>
      <c r="EM22" s="255"/>
      <c r="EN22" s="255"/>
      <c r="EO22" s="255"/>
      <c r="EP22" s="255"/>
      <c r="EQ22" s="255"/>
      <c r="ER22" s="255"/>
      <c r="ES22" s="255"/>
      <c r="ET22" s="255"/>
      <c r="EU22" s="255"/>
      <c r="EV22" s="255"/>
      <c r="EW22" s="255"/>
      <c r="EX22" s="255"/>
      <c r="EY22" s="255"/>
      <c r="EZ22" s="255"/>
      <c r="FA22" s="255"/>
      <c r="FB22" s="255"/>
      <c r="FC22" s="255"/>
      <c r="FD22" s="255"/>
      <c r="FE22" s="255"/>
      <c r="FF22" s="255"/>
      <c r="FG22" s="255"/>
      <c r="FH22" s="255"/>
      <c r="FI22" s="255"/>
      <c r="FJ22" s="255"/>
      <c r="FK22" s="255"/>
      <c r="FL22" s="255"/>
      <c r="FM22" s="255"/>
      <c r="FN22" s="255"/>
      <c r="FO22" s="255"/>
      <c r="FP22" s="255"/>
      <c r="FQ22" s="255"/>
      <c r="FR22" s="255"/>
      <c r="FS22" s="255"/>
      <c r="FT22" s="255"/>
      <c r="FU22" s="255"/>
      <c r="FV22" s="255"/>
      <c r="FW22" s="255"/>
      <c r="FX22" s="255"/>
      <c r="FY22" s="255"/>
      <c r="FZ22" s="255"/>
      <c r="GA22" s="255"/>
      <c r="GB22" s="255"/>
      <c r="GC22" s="255"/>
      <c r="GD22" s="255"/>
      <c r="GE22" s="255"/>
      <c r="GF22" s="255"/>
      <c r="GG22" s="255"/>
      <c r="GH22" s="255"/>
      <c r="GI22" s="255"/>
      <c r="GJ22" s="255"/>
      <c r="GK22" s="255"/>
      <c r="GL22" s="255"/>
      <c r="GM22" s="255"/>
      <c r="GN22" s="255"/>
      <c r="GO22" s="255"/>
      <c r="GP22" s="255"/>
      <c r="GQ22" s="255"/>
      <c r="GR22" s="255"/>
      <c r="GS22" s="255"/>
      <c r="GT22" s="255"/>
      <c r="GU22" s="255"/>
      <c r="GV22" s="255"/>
      <c r="GW22" s="255"/>
      <c r="GX22" s="255"/>
      <c r="GY22" s="255"/>
      <c r="GZ22" s="255"/>
      <c r="HA22" s="255"/>
      <c r="HB22" s="255"/>
      <c r="HC22" s="255"/>
      <c r="HD22" s="255"/>
      <c r="HE22" s="255"/>
      <c r="HF22" s="255"/>
      <c r="HG22" s="255"/>
      <c r="HH22" s="255"/>
      <c r="HI22" s="255"/>
      <c r="HJ22" s="255"/>
      <c r="HK22" s="255"/>
      <c r="HL22" s="255"/>
      <c r="HM22" s="255"/>
      <c r="HN22" s="255"/>
      <c r="HO22" s="255"/>
      <c r="HP22" s="255"/>
      <c r="HQ22" s="255"/>
      <c r="HR22" s="255"/>
      <c r="HS22" s="255"/>
      <c r="HT22" s="255"/>
      <c r="HU22" s="255"/>
      <c r="HV22" s="255"/>
      <c r="HW22" s="255"/>
      <c r="HX22" s="255"/>
      <c r="HY22" s="255"/>
      <c r="HZ22" s="255"/>
      <c r="IA22" s="255"/>
      <c r="IB22" s="255"/>
      <c r="IC22" s="255"/>
      <c r="ID22" s="255"/>
      <c r="IE22" s="255"/>
      <c r="IF22" s="255"/>
      <c r="IG22" s="255"/>
      <c r="IH22" s="255"/>
      <c r="II22" s="255"/>
      <c r="IJ22" s="255"/>
      <c r="IK22" s="255"/>
      <c r="IL22" s="255"/>
      <c r="IM22" s="255"/>
      <c r="IN22" s="255"/>
      <c r="IO22" s="255"/>
      <c r="IP22" s="255"/>
      <c r="IQ22" s="255"/>
      <c r="IR22" s="255"/>
      <c r="IS22" s="255"/>
      <c r="IT22" s="255"/>
    </row>
    <row r="23" spans="1:254" s="131" customFormat="1" ht="29.25" customHeight="1">
      <c r="A23" s="254"/>
      <c r="B23" s="286" t="s">
        <v>5183</v>
      </c>
      <c r="C23" s="252"/>
      <c r="D23" s="250"/>
      <c r="E23" s="139" t="s">
        <v>5182</v>
      </c>
      <c r="F23" s="43"/>
      <c r="G23" s="159"/>
      <c r="H23" s="159"/>
      <c r="I23" s="159" t="s">
        <v>2983</v>
      </c>
      <c r="J23" s="27" t="s">
        <v>1089</v>
      </c>
      <c r="K23" s="193">
        <v>0.33300000000000002</v>
      </c>
      <c r="L23" s="130">
        <f>K23*0.2*8760/1000</f>
        <v>0.58341600000000005</v>
      </c>
      <c r="M23" s="130"/>
      <c r="N23" s="28"/>
      <c r="O23" s="37"/>
      <c r="P23" s="37"/>
      <c r="Q23" s="37"/>
      <c r="R23" s="253">
        <f t="shared" si="0"/>
        <v>0.58341600000000005</v>
      </c>
      <c r="S23" s="266" t="b">
        <v>1</v>
      </c>
      <c r="T23" s="266" t="b">
        <v>0</v>
      </c>
    </row>
    <row r="24" spans="1:254" s="131" customFormat="1" ht="29.25" customHeight="1">
      <c r="A24" s="254" t="s">
        <v>1565</v>
      </c>
      <c r="B24" s="286" t="s">
        <v>5266</v>
      </c>
      <c r="C24" s="252"/>
      <c r="D24" s="250" t="s">
        <v>4559</v>
      </c>
      <c r="E24" s="250" t="s">
        <v>5223</v>
      </c>
      <c r="F24" s="43">
        <v>40571</v>
      </c>
      <c r="G24" s="159" t="s">
        <v>5135</v>
      </c>
      <c r="H24" s="159"/>
      <c r="I24" s="159" t="s">
        <v>2946</v>
      </c>
      <c r="J24" s="257" t="s">
        <v>1089</v>
      </c>
      <c r="K24" s="193">
        <v>0.22700000000000001</v>
      </c>
      <c r="L24" s="130">
        <v>0.37715300000000002</v>
      </c>
      <c r="M24" s="130"/>
      <c r="N24" s="28"/>
      <c r="O24" s="37"/>
      <c r="P24" s="37"/>
      <c r="Q24" s="37"/>
      <c r="R24" s="253">
        <f t="shared" si="0"/>
        <v>0.37715300000000002</v>
      </c>
      <c r="S24" s="266" t="b">
        <v>1</v>
      </c>
      <c r="T24" s="266" t="b">
        <v>0</v>
      </c>
    </row>
    <row r="25" spans="1:254" s="131" customFormat="1" ht="29.25" customHeight="1">
      <c r="A25" s="254" t="s">
        <v>1931</v>
      </c>
      <c r="B25" s="286" t="s">
        <v>2899</v>
      </c>
      <c r="C25" s="252"/>
      <c r="D25" s="48"/>
      <c r="E25" s="48" t="s">
        <v>2846</v>
      </c>
      <c r="F25" s="43">
        <v>41943</v>
      </c>
      <c r="G25" s="46"/>
      <c r="H25" s="46"/>
      <c r="I25" s="46" t="s">
        <v>1937</v>
      </c>
      <c r="J25" s="257" t="s">
        <v>1089</v>
      </c>
      <c r="K25" s="252">
        <v>0.99360000000000004</v>
      </c>
      <c r="L25" s="193">
        <f>M25</f>
        <v>0.40150000000000002</v>
      </c>
      <c r="M25" s="130">
        <f>YEARFRAC("12/31/2014",F25)*8.76*0.275</f>
        <v>0.40150000000000002</v>
      </c>
      <c r="N25" s="136"/>
      <c r="O25" s="37"/>
      <c r="P25" s="37"/>
      <c r="Q25" s="37"/>
      <c r="R25" s="253">
        <f t="shared" si="0"/>
        <v>0.40150000000000002</v>
      </c>
      <c r="S25" s="266" t="b">
        <v>1</v>
      </c>
      <c r="T25" s="266" t="b">
        <v>0</v>
      </c>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c r="FT25" s="255"/>
      <c r="FU25" s="255"/>
      <c r="FV25" s="255"/>
      <c r="FW25" s="255"/>
      <c r="FX25" s="255"/>
      <c r="FY25" s="255"/>
      <c r="FZ25" s="255"/>
      <c r="GA25" s="255"/>
      <c r="GB25" s="255"/>
      <c r="GC25" s="255"/>
      <c r="GD25" s="255"/>
      <c r="GE25" s="255"/>
      <c r="GF25" s="255"/>
      <c r="GG25" s="255"/>
      <c r="GH25" s="255"/>
      <c r="GI25" s="255"/>
      <c r="GJ25" s="255"/>
      <c r="GK25" s="255"/>
      <c r="GL25" s="255"/>
      <c r="GM25" s="255"/>
      <c r="GN25" s="255"/>
      <c r="GO25" s="255"/>
      <c r="GP25" s="255"/>
      <c r="GQ25" s="255"/>
      <c r="GR25" s="255"/>
      <c r="GS25" s="255"/>
      <c r="GT25" s="255"/>
      <c r="GU25" s="255"/>
      <c r="GV25" s="255"/>
      <c r="GW25" s="255"/>
      <c r="GX25" s="255"/>
      <c r="GY25" s="255"/>
      <c r="GZ25" s="255"/>
      <c r="HA25" s="255"/>
      <c r="HB25" s="255"/>
      <c r="HC25" s="255"/>
      <c r="HD25" s="255"/>
      <c r="HE25" s="255"/>
      <c r="HF25" s="255"/>
      <c r="HG25" s="255"/>
      <c r="HH25" s="255"/>
      <c r="HI25" s="255"/>
      <c r="HJ25" s="255"/>
      <c r="HK25" s="255"/>
      <c r="HL25" s="255"/>
      <c r="HM25" s="255"/>
      <c r="HN25" s="255"/>
      <c r="HO25" s="255"/>
      <c r="HP25" s="255"/>
      <c r="HQ25" s="255"/>
      <c r="HR25" s="255"/>
      <c r="HS25" s="255"/>
      <c r="HT25" s="255"/>
      <c r="HU25" s="255"/>
      <c r="HV25" s="255"/>
      <c r="HW25" s="255"/>
      <c r="HX25" s="255"/>
      <c r="HY25" s="255"/>
      <c r="HZ25" s="255"/>
      <c r="IA25" s="255"/>
      <c r="IB25" s="255"/>
      <c r="IC25" s="255"/>
      <c r="ID25" s="255"/>
      <c r="IE25" s="255"/>
      <c r="IF25" s="255"/>
      <c r="IG25" s="255"/>
      <c r="IH25" s="255"/>
      <c r="II25" s="255"/>
      <c r="IJ25" s="255"/>
      <c r="IK25" s="255"/>
      <c r="IL25" s="255"/>
      <c r="IM25" s="255"/>
      <c r="IN25" s="255"/>
      <c r="IO25" s="255"/>
      <c r="IP25" s="255"/>
      <c r="IQ25" s="255"/>
      <c r="IR25" s="255"/>
      <c r="IS25" s="255"/>
      <c r="IT25" s="255"/>
    </row>
    <row r="26" spans="1:254" s="131" customFormat="1" ht="29.25" customHeight="1">
      <c r="A26" s="254" t="s">
        <v>478</v>
      </c>
      <c r="B26" s="286" t="s">
        <v>5267</v>
      </c>
      <c r="C26" s="252"/>
      <c r="D26" s="48"/>
      <c r="E26" s="48" t="s">
        <v>5268</v>
      </c>
      <c r="F26" s="43">
        <v>36526</v>
      </c>
      <c r="G26" s="46" t="s">
        <v>478</v>
      </c>
      <c r="H26" s="46"/>
      <c r="I26" s="46" t="s">
        <v>2946</v>
      </c>
      <c r="J26" s="257" t="s">
        <v>1089</v>
      </c>
      <c r="K26" s="252">
        <v>0.44</v>
      </c>
      <c r="L26" s="252">
        <v>0.29599999999999999</v>
      </c>
      <c r="M26" s="130"/>
      <c r="N26" s="136"/>
      <c r="O26" s="37"/>
      <c r="P26" s="37"/>
      <c r="Q26" s="37"/>
      <c r="R26" s="253">
        <f t="shared" si="0"/>
        <v>0.29599999999999999</v>
      </c>
      <c r="S26" s="266" t="b">
        <v>1</v>
      </c>
      <c r="T26" s="266" t="b">
        <v>0</v>
      </c>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5"/>
      <c r="DD26" s="255"/>
      <c r="DE26" s="255"/>
      <c r="DF26" s="255"/>
      <c r="DG26" s="255"/>
      <c r="DH26" s="255"/>
      <c r="DI26" s="255"/>
      <c r="DJ26" s="255"/>
      <c r="DK26" s="255"/>
      <c r="DL26" s="255"/>
      <c r="DM26" s="255"/>
      <c r="DN26" s="255"/>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55"/>
      <c r="EN26" s="255"/>
      <c r="EO26" s="255"/>
      <c r="EP26" s="255"/>
      <c r="EQ26" s="255"/>
      <c r="ER26" s="255"/>
      <c r="ES26" s="255"/>
      <c r="ET26" s="255"/>
      <c r="EU26" s="255"/>
      <c r="EV26" s="255"/>
      <c r="EW26" s="255"/>
      <c r="EX26" s="255"/>
      <c r="EY26" s="255"/>
      <c r="EZ26" s="255"/>
      <c r="FA26" s="255"/>
      <c r="FB26" s="255"/>
      <c r="FC26" s="255"/>
      <c r="FD26" s="255"/>
      <c r="FE26" s="255"/>
      <c r="FF26" s="255"/>
      <c r="FG26" s="255"/>
      <c r="FH26" s="255"/>
      <c r="FI26" s="255"/>
      <c r="FJ26" s="255"/>
      <c r="FK26" s="255"/>
      <c r="FL26" s="255"/>
      <c r="FM26" s="255"/>
      <c r="FN26" s="255"/>
      <c r="FO26" s="255"/>
      <c r="FP26" s="255"/>
      <c r="FQ26" s="255"/>
      <c r="FR26" s="255"/>
      <c r="FS26" s="255"/>
      <c r="FT26" s="255"/>
      <c r="FU26" s="255"/>
      <c r="FV26" s="255"/>
      <c r="FW26" s="255"/>
      <c r="FX26" s="255"/>
      <c r="FY26" s="255"/>
      <c r="FZ26" s="255"/>
      <c r="GA26" s="255"/>
      <c r="GB26" s="255"/>
      <c r="GC26" s="255"/>
      <c r="GD26" s="255"/>
      <c r="GE26" s="255"/>
      <c r="GF26" s="255"/>
      <c r="GG26" s="255"/>
      <c r="GH26" s="255"/>
      <c r="GI26" s="255"/>
      <c r="GJ26" s="255"/>
      <c r="GK26" s="255"/>
      <c r="GL26" s="255"/>
      <c r="GM26" s="255"/>
      <c r="GN26" s="255"/>
      <c r="GO26" s="255"/>
      <c r="GP26" s="255"/>
      <c r="GQ26" s="255"/>
      <c r="GR26" s="255"/>
      <c r="GS26" s="255"/>
      <c r="GT26" s="255"/>
      <c r="GU26" s="255"/>
      <c r="GV26" s="255"/>
      <c r="GW26" s="255"/>
      <c r="GX26" s="255"/>
      <c r="GY26" s="255"/>
      <c r="GZ26" s="255"/>
      <c r="HA26" s="255"/>
      <c r="HB26" s="255"/>
      <c r="HC26" s="255"/>
      <c r="HD26" s="255"/>
      <c r="HE26" s="255"/>
      <c r="HF26" s="255"/>
      <c r="HG26" s="255"/>
      <c r="HH26" s="255"/>
      <c r="HI26" s="255"/>
      <c r="HJ26" s="255"/>
      <c r="HK26" s="255"/>
      <c r="HL26" s="255"/>
      <c r="HM26" s="255"/>
      <c r="HN26" s="255"/>
      <c r="HO26" s="255"/>
      <c r="HP26" s="255"/>
      <c r="HQ26" s="255"/>
      <c r="HR26" s="255"/>
      <c r="HS26" s="255"/>
      <c r="HT26" s="255"/>
      <c r="HU26" s="255"/>
      <c r="HV26" s="255"/>
      <c r="HW26" s="255"/>
      <c r="HX26" s="255"/>
      <c r="HY26" s="255"/>
      <c r="HZ26" s="255"/>
      <c r="IA26" s="255"/>
      <c r="IB26" s="255"/>
      <c r="IC26" s="255"/>
      <c r="ID26" s="255"/>
      <c r="IE26" s="255"/>
      <c r="IF26" s="255"/>
      <c r="IG26" s="255"/>
      <c r="IH26" s="255"/>
      <c r="II26" s="255"/>
      <c r="IJ26" s="255"/>
      <c r="IK26" s="255"/>
      <c r="IL26" s="255"/>
      <c r="IM26" s="255"/>
      <c r="IN26" s="255"/>
      <c r="IO26" s="255"/>
      <c r="IP26" s="255"/>
      <c r="IQ26" s="255"/>
      <c r="IR26" s="255"/>
      <c r="IS26" s="255"/>
      <c r="IT26" s="255"/>
    </row>
    <row r="27" spans="1:254" s="131" customFormat="1" ht="29.25" customHeight="1">
      <c r="A27" s="254" t="s">
        <v>1932</v>
      </c>
      <c r="B27" s="286" t="s">
        <v>2895</v>
      </c>
      <c r="C27" s="252"/>
      <c r="D27" s="48"/>
      <c r="E27" s="48"/>
      <c r="F27" s="43">
        <v>41870</v>
      </c>
      <c r="G27" s="46"/>
      <c r="H27" s="46"/>
      <c r="I27" s="46" t="s">
        <v>2983</v>
      </c>
      <c r="J27" s="257" t="s">
        <v>1089</v>
      </c>
      <c r="K27" s="252">
        <v>0.44286000000000003</v>
      </c>
      <c r="L27" s="193">
        <f>M27</f>
        <v>0.88329999999999997</v>
      </c>
      <c r="M27" s="130">
        <f>YEARFRAC("12/31/2014",F27)*8.76*0.275</f>
        <v>0.88329999999999997</v>
      </c>
      <c r="N27" s="136"/>
      <c r="O27" s="37"/>
      <c r="P27" s="37"/>
      <c r="Q27" s="37"/>
      <c r="R27" s="253">
        <f t="shared" si="0"/>
        <v>0.88329999999999997</v>
      </c>
      <c r="S27" s="266" t="b">
        <v>1</v>
      </c>
      <c r="T27" s="266" t="b">
        <v>0</v>
      </c>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c r="FT27" s="255"/>
      <c r="FU27" s="255"/>
      <c r="FV27" s="255"/>
      <c r="FW27" s="255"/>
      <c r="FX27" s="255"/>
      <c r="FY27" s="255"/>
      <c r="FZ27" s="255"/>
      <c r="GA27" s="255"/>
      <c r="GB27" s="255"/>
      <c r="GC27" s="255"/>
      <c r="GD27" s="255"/>
      <c r="GE27" s="255"/>
      <c r="GF27" s="255"/>
      <c r="GG27" s="255"/>
      <c r="GH27" s="255"/>
      <c r="GI27" s="255"/>
      <c r="GJ27" s="255"/>
      <c r="GK27" s="255"/>
      <c r="GL27" s="255"/>
      <c r="GM27" s="255"/>
      <c r="GN27" s="255"/>
      <c r="GO27" s="255"/>
      <c r="GP27" s="255"/>
      <c r="GQ27" s="255"/>
      <c r="GR27" s="255"/>
      <c r="GS27" s="255"/>
      <c r="GT27" s="255"/>
      <c r="GU27" s="255"/>
      <c r="GV27" s="255"/>
      <c r="GW27" s="255"/>
      <c r="GX27" s="255"/>
      <c r="GY27" s="255"/>
      <c r="GZ27" s="255"/>
      <c r="HA27" s="255"/>
      <c r="HB27" s="255"/>
      <c r="HC27" s="255"/>
      <c r="HD27" s="255"/>
      <c r="HE27" s="255"/>
      <c r="HF27" s="255"/>
      <c r="HG27" s="255"/>
      <c r="HH27" s="255"/>
      <c r="HI27" s="255"/>
      <c r="HJ27" s="255"/>
      <c r="HK27" s="255"/>
      <c r="HL27" s="255"/>
      <c r="HM27" s="255"/>
      <c r="HN27" s="255"/>
      <c r="HO27" s="255"/>
      <c r="HP27" s="255"/>
      <c r="HQ27" s="255"/>
      <c r="HR27" s="255"/>
      <c r="HS27" s="255"/>
      <c r="HT27" s="255"/>
      <c r="HU27" s="255"/>
      <c r="HV27" s="255"/>
      <c r="HW27" s="255"/>
      <c r="HX27" s="255"/>
      <c r="HY27" s="255"/>
      <c r="HZ27" s="255"/>
      <c r="IA27" s="255"/>
      <c r="IB27" s="255"/>
      <c r="IC27" s="255"/>
      <c r="ID27" s="255"/>
      <c r="IE27" s="255"/>
      <c r="IF27" s="255"/>
      <c r="IG27" s="255"/>
      <c r="IH27" s="255"/>
      <c r="II27" s="255"/>
      <c r="IJ27" s="255"/>
      <c r="IK27" s="255"/>
      <c r="IL27" s="255"/>
      <c r="IM27" s="255"/>
      <c r="IN27" s="255"/>
      <c r="IO27" s="255"/>
      <c r="IP27" s="255"/>
      <c r="IQ27" s="255"/>
      <c r="IR27" s="255"/>
      <c r="IS27" s="255"/>
      <c r="IT27" s="255"/>
    </row>
    <row r="28" spans="1:254" s="131" customFormat="1" ht="29.25" customHeight="1">
      <c r="A28" s="254"/>
      <c r="B28" s="286" t="s">
        <v>5270</v>
      </c>
      <c r="C28" s="252"/>
      <c r="D28" s="48"/>
      <c r="E28" s="48" t="s">
        <v>5271</v>
      </c>
      <c r="F28" s="43">
        <v>41359</v>
      </c>
      <c r="G28" s="46"/>
      <c r="H28" s="46"/>
      <c r="I28" s="46" t="s">
        <v>2946</v>
      </c>
      <c r="J28" s="257" t="s">
        <v>1089</v>
      </c>
      <c r="K28" s="252"/>
      <c r="L28" s="252">
        <v>0.437</v>
      </c>
      <c r="M28" s="130"/>
      <c r="N28" s="136"/>
      <c r="O28" s="37"/>
      <c r="P28" s="37"/>
      <c r="Q28" s="37"/>
      <c r="R28" s="253">
        <f t="shared" si="0"/>
        <v>0.437</v>
      </c>
      <c r="S28" s="266" t="b">
        <v>1</v>
      </c>
      <c r="T28" s="266" t="b">
        <v>0</v>
      </c>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c r="FT28" s="255"/>
      <c r="FU28" s="255"/>
      <c r="FV28" s="255"/>
      <c r="FW28" s="255"/>
      <c r="FX28" s="255"/>
      <c r="FY28" s="255"/>
      <c r="FZ28" s="255"/>
      <c r="GA28" s="255"/>
      <c r="GB28" s="255"/>
      <c r="GC28" s="255"/>
      <c r="GD28" s="255"/>
      <c r="GE28" s="255"/>
      <c r="GF28" s="255"/>
      <c r="GG28" s="255"/>
      <c r="GH28" s="255"/>
      <c r="GI28" s="255"/>
      <c r="GJ28" s="255"/>
      <c r="GK28" s="255"/>
      <c r="GL28" s="255"/>
      <c r="GM28" s="255"/>
      <c r="GN28" s="255"/>
      <c r="GO28" s="255"/>
      <c r="GP28" s="255"/>
      <c r="GQ28" s="255"/>
      <c r="GR28" s="255"/>
      <c r="GS28" s="255"/>
      <c r="GT28" s="255"/>
      <c r="GU28" s="255"/>
      <c r="GV28" s="255"/>
      <c r="GW28" s="255"/>
      <c r="GX28" s="255"/>
      <c r="GY28" s="255"/>
      <c r="GZ28" s="255"/>
      <c r="HA28" s="255"/>
      <c r="HB28" s="255"/>
      <c r="HC28" s="255"/>
      <c r="HD28" s="255"/>
      <c r="HE28" s="255"/>
      <c r="HF28" s="255"/>
      <c r="HG28" s="255"/>
      <c r="HH28" s="255"/>
      <c r="HI28" s="255"/>
      <c r="HJ28" s="255"/>
      <c r="HK28" s="255"/>
      <c r="HL28" s="255"/>
      <c r="HM28" s="255"/>
      <c r="HN28" s="255"/>
      <c r="HO28" s="255"/>
      <c r="HP28" s="255"/>
      <c r="HQ28" s="255"/>
      <c r="HR28" s="255"/>
      <c r="HS28" s="255"/>
      <c r="HT28" s="255"/>
      <c r="HU28" s="255"/>
      <c r="HV28" s="255"/>
      <c r="HW28" s="255"/>
      <c r="HX28" s="255"/>
      <c r="HY28" s="255"/>
      <c r="HZ28" s="255"/>
      <c r="IA28" s="255"/>
      <c r="IB28" s="255"/>
      <c r="IC28" s="255"/>
      <c r="ID28" s="255"/>
      <c r="IE28" s="255"/>
      <c r="IF28" s="255"/>
      <c r="IG28" s="255"/>
      <c r="IH28" s="255"/>
      <c r="II28" s="255"/>
      <c r="IJ28" s="255"/>
      <c r="IK28" s="255"/>
      <c r="IL28" s="255"/>
      <c r="IM28" s="255"/>
      <c r="IN28" s="255"/>
      <c r="IO28" s="255"/>
      <c r="IP28" s="255"/>
      <c r="IQ28" s="255"/>
      <c r="IR28" s="255"/>
      <c r="IS28" s="255"/>
      <c r="IT28" s="255"/>
    </row>
    <row r="29" spans="1:254" s="131" customFormat="1" ht="29.25" customHeight="1">
      <c r="A29" s="254"/>
      <c r="B29" s="286" t="s">
        <v>5269</v>
      </c>
      <c r="C29" s="252"/>
      <c r="D29" s="48"/>
      <c r="E29" s="48" t="s">
        <v>4908</v>
      </c>
      <c r="F29" s="43">
        <v>39981</v>
      </c>
      <c r="G29" s="46" t="s">
        <v>4907</v>
      </c>
      <c r="H29" s="46"/>
      <c r="I29" s="46" t="s">
        <v>2946</v>
      </c>
      <c r="J29" s="257" t="s">
        <v>3</v>
      </c>
      <c r="K29" s="252">
        <v>0.3</v>
      </c>
      <c r="L29" s="252">
        <v>1.1092280000000001</v>
      </c>
      <c r="M29" s="130"/>
      <c r="N29" s="136"/>
      <c r="O29" s="37"/>
      <c r="P29" s="37"/>
      <c r="Q29" s="37"/>
      <c r="R29" s="253">
        <f t="shared" si="0"/>
        <v>1.1092280000000001</v>
      </c>
      <c r="S29" s="266" t="b">
        <v>1</v>
      </c>
      <c r="T29" s="266" t="b">
        <v>0</v>
      </c>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c r="FT29" s="255"/>
      <c r="FU29" s="255"/>
      <c r="FV29" s="255"/>
      <c r="FW29" s="255"/>
      <c r="FX29" s="255"/>
      <c r="FY29" s="255"/>
      <c r="FZ29" s="255"/>
      <c r="GA29" s="255"/>
      <c r="GB29" s="255"/>
      <c r="GC29" s="255"/>
      <c r="GD29" s="255"/>
      <c r="GE29" s="255"/>
      <c r="GF29" s="255"/>
      <c r="GG29" s="255"/>
      <c r="GH29" s="255"/>
      <c r="GI29" s="255"/>
      <c r="GJ29" s="255"/>
      <c r="GK29" s="255"/>
      <c r="GL29" s="255"/>
      <c r="GM29" s="255"/>
      <c r="GN29" s="255"/>
      <c r="GO29" s="255"/>
      <c r="GP29" s="255"/>
      <c r="GQ29" s="255"/>
      <c r="GR29" s="255"/>
      <c r="GS29" s="255"/>
      <c r="GT29" s="255"/>
      <c r="GU29" s="255"/>
      <c r="GV29" s="255"/>
      <c r="GW29" s="255"/>
      <c r="GX29" s="255"/>
      <c r="GY29" s="255"/>
      <c r="GZ29" s="255"/>
      <c r="HA29" s="255"/>
      <c r="HB29" s="255"/>
      <c r="HC29" s="255"/>
      <c r="HD29" s="255"/>
      <c r="HE29" s="255"/>
      <c r="HF29" s="255"/>
      <c r="HG29" s="255"/>
      <c r="HH29" s="255"/>
      <c r="HI29" s="255"/>
      <c r="HJ29" s="255"/>
      <c r="HK29" s="255"/>
      <c r="HL29" s="255"/>
      <c r="HM29" s="255"/>
      <c r="HN29" s="255"/>
      <c r="HO29" s="255"/>
      <c r="HP29" s="255"/>
      <c r="HQ29" s="255"/>
      <c r="HR29" s="255"/>
      <c r="HS29" s="255"/>
      <c r="HT29" s="255"/>
      <c r="HU29" s="255"/>
      <c r="HV29" s="255"/>
      <c r="HW29" s="255"/>
      <c r="HX29" s="255"/>
      <c r="HY29" s="255"/>
      <c r="HZ29" s="255"/>
      <c r="IA29" s="255"/>
      <c r="IB29" s="255"/>
      <c r="IC29" s="255"/>
      <c r="ID29" s="255"/>
      <c r="IE29" s="255"/>
      <c r="IF29" s="255"/>
      <c r="IG29" s="255"/>
      <c r="IH29" s="255"/>
      <c r="II29" s="255"/>
      <c r="IJ29" s="255"/>
      <c r="IK29" s="255"/>
      <c r="IL29" s="255"/>
      <c r="IM29" s="255"/>
      <c r="IN29" s="255"/>
      <c r="IO29" s="255"/>
      <c r="IP29" s="255"/>
      <c r="IQ29" s="255"/>
      <c r="IR29" s="255"/>
      <c r="IS29" s="255"/>
      <c r="IT29" s="255"/>
    </row>
    <row r="30" spans="1:254" s="131" customFormat="1" ht="29.25" customHeight="1">
      <c r="A30" s="254" t="s">
        <v>1933</v>
      </c>
      <c r="B30" s="286" t="s">
        <v>2896</v>
      </c>
      <c r="C30" s="252"/>
      <c r="D30" s="48"/>
      <c r="E30" s="48"/>
      <c r="F30" s="43">
        <v>41530</v>
      </c>
      <c r="G30" s="46"/>
      <c r="H30" s="46"/>
      <c r="I30" s="46" t="s">
        <v>2983</v>
      </c>
      <c r="J30" s="257" t="s">
        <v>1089</v>
      </c>
      <c r="K30" s="252">
        <v>0.5</v>
      </c>
      <c r="L30" s="252">
        <v>0.29599999999999999</v>
      </c>
      <c r="M30" s="130">
        <f>K30*0.275*8.76</f>
        <v>1.2045000000000001</v>
      </c>
      <c r="N30" s="136"/>
      <c r="O30" s="37"/>
      <c r="P30" s="37"/>
      <c r="Q30" s="37"/>
      <c r="R30" s="253">
        <f t="shared" si="0"/>
        <v>0.75025000000000008</v>
      </c>
      <c r="S30" s="266" t="b">
        <v>1</v>
      </c>
      <c r="T30" s="266" t="b">
        <v>0</v>
      </c>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55"/>
      <c r="CO30" s="255"/>
      <c r="CP30" s="255"/>
      <c r="CQ30" s="255"/>
      <c r="CR30" s="255"/>
      <c r="CS30" s="255"/>
      <c r="CT30" s="255"/>
      <c r="CU30" s="255"/>
      <c r="CV30" s="255"/>
      <c r="CW30" s="255"/>
      <c r="CX30" s="255"/>
      <c r="CY30" s="255"/>
      <c r="CZ30" s="255"/>
      <c r="DA30" s="255"/>
      <c r="DB30" s="255"/>
      <c r="DC30" s="255"/>
      <c r="DD30" s="255"/>
      <c r="DE30" s="255"/>
      <c r="DF30" s="255"/>
      <c r="DG30" s="255"/>
      <c r="DH30" s="255"/>
      <c r="DI30" s="255"/>
      <c r="DJ30" s="255"/>
      <c r="DK30" s="255"/>
      <c r="DL30" s="255"/>
      <c r="DM30" s="255"/>
      <c r="DN30" s="255"/>
      <c r="DO30" s="255"/>
      <c r="DP30" s="255"/>
      <c r="DQ30" s="255"/>
      <c r="DR30" s="255"/>
      <c r="DS30" s="255"/>
      <c r="DT30" s="255"/>
      <c r="DU30" s="255"/>
      <c r="DV30" s="255"/>
      <c r="DW30" s="255"/>
      <c r="DX30" s="255"/>
      <c r="DY30" s="255"/>
      <c r="DZ30" s="255"/>
      <c r="EA30" s="255"/>
      <c r="EB30" s="255"/>
      <c r="EC30" s="255"/>
      <c r="ED30" s="255"/>
      <c r="EE30" s="255"/>
      <c r="EF30" s="255"/>
      <c r="EG30" s="255"/>
      <c r="EH30" s="255"/>
      <c r="EI30" s="255"/>
      <c r="EJ30" s="255"/>
      <c r="EK30" s="255"/>
      <c r="EL30" s="255"/>
      <c r="EM30" s="255"/>
      <c r="EN30" s="255"/>
      <c r="EO30" s="255"/>
      <c r="EP30" s="255"/>
      <c r="EQ30" s="255"/>
      <c r="ER30" s="255"/>
      <c r="ES30" s="255"/>
      <c r="ET30" s="255"/>
      <c r="EU30" s="255"/>
      <c r="EV30" s="255"/>
      <c r="EW30" s="255"/>
      <c r="EX30" s="255"/>
      <c r="EY30" s="255"/>
      <c r="EZ30" s="255"/>
      <c r="FA30" s="255"/>
      <c r="FB30" s="255"/>
      <c r="FC30" s="255"/>
      <c r="FD30" s="255"/>
      <c r="FE30" s="255"/>
      <c r="FF30" s="255"/>
      <c r="FG30" s="255"/>
      <c r="FH30" s="255"/>
      <c r="FI30" s="255"/>
      <c r="FJ30" s="255"/>
      <c r="FK30" s="255"/>
      <c r="FL30" s="255"/>
      <c r="FM30" s="255"/>
      <c r="FN30" s="255"/>
      <c r="FO30" s="255"/>
      <c r="FP30" s="255"/>
      <c r="FQ30" s="255"/>
      <c r="FR30" s="255"/>
      <c r="FS30" s="255"/>
      <c r="FT30" s="255"/>
      <c r="FU30" s="255"/>
      <c r="FV30" s="255"/>
      <c r="FW30" s="255"/>
      <c r="FX30" s="255"/>
      <c r="FY30" s="255"/>
      <c r="FZ30" s="255"/>
      <c r="GA30" s="255"/>
      <c r="GB30" s="255"/>
      <c r="GC30" s="255"/>
      <c r="GD30" s="255"/>
      <c r="GE30" s="255"/>
      <c r="GF30" s="255"/>
      <c r="GG30" s="255"/>
      <c r="GH30" s="255"/>
      <c r="GI30" s="255"/>
      <c r="GJ30" s="255"/>
      <c r="GK30" s="255"/>
      <c r="GL30" s="255"/>
      <c r="GM30" s="255"/>
      <c r="GN30" s="255"/>
      <c r="GO30" s="255"/>
      <c r="GP30" s="255"/>
      <c r="GQ30" s="255"/>
      <c r="GR30" s="255"/>
      <c r="GS30" s="255"/>
      <c r="GT30" s="255"/>
      <c r="GU30" s="255"/>
      <c r="GV30" s="255"/>
      <c r="GW30" s="255"/>
      <c r="GX30" s="255"/>
      <c r="GY30" s="255"/>
      <c r="GZ30" s="255"/>
      <c r="HA30" s="255"/>
      <c r="HB30" s="255"/>
      <c r="HC30" s="255"/>
      <c r="HD30" s="255"/>
      <c r="HE30" s="255"/>
      <c r="HF30" s="255"/>
      <c r="HG30" s="255"/>
      <c r="HH30" s="255"/>
      <c r="HI30" s="255"/>
      <c r="HJ30" s="255"/>
      <c r="HK30" s="255"/>
      <c r="HL30" s="255"/>
      <c r="HM30" s="255"/>
      <c r="HN30" s="255"/>
      <c r="HO30" s="255"/>
      <c r="HP30" s="255"/>
      <c r="HQ30" s="255"/>
      <c r="HR30" s="255"/>
      <c r="HS30" s="255"/>
      <c r="HT30" s="255"/>
      <c r="HU30" s="255"/>
      <c r="HV30" s="255"/>
      <c r="HW30" s="255"/>
      <c r="HX30" s="255"/>
      <c r="HY30" s="255"/>
      <c r="HZ30" s="255"/>
      <c r="IA30" s="255"/>
      <c r="IB30" s="255"/>
      <c r="IC30" s="255"/>
      <c r="ID30" s="255"/>
      <c r="IE30" s="255"/>
      <c r="IF30" s="255"/>
      <c r="IG30" s="255"/>
      <c r="IH30" s="255"/>
      <c r="II30" s="255"/>
      <c r="IJ30" s="255"/>
      <c r="IK30" s="255"/>
      <c r="IL30" s="255"/>
      <c r="IM30" s="255"/>
      <c r="IN30" s="255"/>
      <c r="IO30" s="255"/>
      <c r="IP30" s="255"/>
      <c r="IQ30" s="255"/>
      <c r="IR30" s="255"/>
      <c r="IS30" s="255"/>
      <c r="IT30" s="255"/>
    </row>
    <row r="31" spans="1:254" s="131" customFormat="1" ht="29.25" customHeight="1">
      <c r="A31" s="254"/>
      <c r="B31" s="286" t="s">
        <v>5243</v>
      </c>
      <c r="C31" s="263"/>
      <c r="D31" s="257"/>
      <c r="E31" s="209" t="s">
        <v>5242</v>
      </c>
      <c r="F31" s="151">
        <v>41010</v>
      </c>
      <c r="G31" s="46" t="s">
        <v>5274</v>
      </c>
      <c r="H31" s="46"/>
      <c r="I31" s="27" t="s">
        <v>2946</v>
      </c>
      <c r="J31" s="257" t="s">
        <v>1089</v>
      </c>
      <c r="K31" s="195">
        <v>2.4E-2</v>
      </c>
      <c r="L31" s="130">
        <v>2.9447000000000001E-2</v>
      </c>
      <c r="M31" s="130"/>
      <c r="N31" s="136"/>
      <c r="O31" s="37"/>
      <c r="P31" s="37"/>
      <c r="Q31" s="37"/>
      <c r="R31" s="253">
        <f t="shared" si="0"/>
        <v>2.9447000000000001E-2</v>
      </c>
      <c r="S31" s="266" t="b">
        <v>1</v>
      </c>
      <c r="T31" s="266" t="b">
        <v>0</v>
      </c>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c r="EI31" s="240"/>
      <c r="EJ31" s="240"/>
      <c r="EK31" s="240"/>
      <c r="EL31" s="240"/>
      <c r="EM31" s="240"/>
      <c r="EN31" s="240"/>
      <c r="EO31" s="240"/>
      <c r="EP31" s="240"/>
      <c r="EQ31" s="240"/>
      <c r="ER31" s="240"/>
      <c r="ES31" s="240"/>
      <c r="ET31" s="240"/>
      <c r="EU31" s="240"/>
      <c r="EV31" s="240"/>
      <c r="EW31" s="240"/>
      <c r="EX31" s="240"/>
      <c r="EY31" s="240"/>
      <c r="EZ31" s="240"/>
      <c r="FA31" s="240"/>
      <c r="FB31" s="240"/>
      <c r="FC31" s="240"/>
      <c r="FD31" s="240"/>
      <c r="FE31" s="240"/>
      <c r="FF31" s="240"/>
      <c r="FG31" s="240"/>
      <c r="FH31" s="240"/>
      <c r="FI31" s="240"/>
      <c r="FJ31" s="240"/>
      <c r="FK31" s="240"/>
      <c r="FL31" s="240"/>
      <c r="FM31" s="240"/>
      <c r="FN31" s="240"/>
      <c r="FO31" s="240"/>
      <c r="FP31" s="240"/>
      <c r="FQ31" s="240"/>
      <c r="FR31" s="240"/>
      <c r="FS31" s="240"/>
      <c r="FT31" s="240"/>
      <c r="FU31" s="240"/>
      <c r="FV31" s="240"/>
      <c r="FW31" s="240"/>
      <c r="FX31" s="240"/>
      <c r="FY31" s="240"/>
      <c r="FZ31" s="240"/>
      <c r="GA31" s="240"/>
      <c r="GB31" s="240"/>
      <c r="GC31" s="240"/>
      <c r="GD31" s="240"/>
      <c r="GE31" s="240"/>
      <c r="GF31" s="240"/>
      <c r="GG31" s="240"/>
      <c r="GH31" s="240"/>
      <c r="GI31" s="240"/>
      <c r="GJ31" s="240"/>
      <c r="GK31" s="240"/>
      <c r="GL31" s="240"/>
      <c r="GM31" s="240"/>
      <c r="GN31" s="240"/>
      <c r="GO31" s="240"/>
      <c r="GP31" s="240"/>
      <c r="GQ31" s="240"/>
      <c r="GR31" s="240"/>
      <c r="GS31" s="240"/>
      <c r="GT31" s="240"/>
      <c r="GU31" s="240"/>
      <c r="GV31" s="240"/>
      <c r="GW31" s="240"/>
      <c r="GX31" s="240"/>
      <c r="GY31" s="240"/>
      <c r="GZ31" s="240"/>
      <c r="HA31" s="240"/>
      <c r="HB31" s="240"/>
      <c r="HC31" s="240"/>
      <c r="HD31" s="240"/>
      <c r="HE31" s="240"/>
      <c r="HF31" s="240"/>
      <c r="HG31" s="240"/>
      <c r="HH31" s="240"/>
      <c r="HI31" s="240"/>
      <c r="HJ31" s="240"/>
      <c r="HK31" s="240"/>
      <c r="HL31" s="240"/>
      <c r="HM31" s="240"/>
      <c r="HN31" s="240"/>
      <c r="HO31" s="240"/>
      <c r="HP31" s="240"/>
      <c r="HQ31" s="240"/>
      <c r="HR31" s="240"/>
      <c r="HS31" s="240"/>
      <c r="HT31" s="240"/>
      <c r="HU31" s="240"/>
      <c r="HV31" s="240"/>
      <c r="HW31" s="240"/>
      <c r="HX31" s="240"/>
      <c r="HY31" s="240"/>
      <c r="HZ31" s="240"/>
      <c r="IA31" s="240"/>
      <c r="IB31" s="240"/>
      <c r="IC31" s="240"/>
      <c r="ID31" s="240"/>
      <c r="IE31" s="240"/>
      <c r="IF31" s="240"/>
      <c r="IG31" s="240"/>
      <c r="IH31" s="240"/>
      <c r="II31" s="240"/>
      <c r="IJ31" s="240"/>
      <c r="IK31" s="240"/>
      <c r="IL31" s="240"/>
      <c r="IM31" s="240"/>
      <c r="IN31" s="240"/>
      <c r="IO31" s="240"/>
      <c r="IP31" s="240"/>
      <c r="IQ31" s="240"/>
      <c r="IR31" s="240"/>
      <c r="IS31" s="240"/>
      <c r="IT31" s="240"/>
    </row>
    <row r="32" spans="1:254" s="131" customFormat="1" ht="29.25" customHeight="1">
      <c r="A32" s="254"/>
      <c r="B32" s="286" t="s">
        <v>5272</v>
      </c>
      <c r="C32" s="263"/>
      <c r="D32" s="257"/>
      <c r="E32" s="209" t="s">
        <v>5273</v>
      </c>
      <c r="F32" s="151"/>
      <c r="G32" s="46" t="s">
        <v>5274</v>
      </c>
      <c r="H32" s="46"/>
      <c r="I32" s="27" t="s">
        <v>2946</v>
      </c>
      <c r="J32" s="257" t="s">
        <v>1089</v>
      </c>
      <c r="K32" s="195">
        <v>1.2E-2</v>
      </c>
      <c r="L32" s="130">
        <v>1.4291E-2</v>
      </c>
      <c r="M32" s="130"/>
      <c r="N32" s="136"/>
      <c r="O32" s="37"/>
      <c r="P32" s="37"/>
      <c r="Q32" s="37"/>
      <c r="R32" s="253">
        <f t="shared" si="0"/>
        <v>1.4291E-2</v>
      </c>
      <c r="S32" s="266" t="b">
        <v>1</v>
      </c>
      <c r="T32" s="266" t="b">
        <v>0</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0"/>
      <c r="CO32" s="240"/>
      <c r="CP32" s="240"/>
      <c r="CQ32" s="240"/>
      <c r="CR32" s="240"/>
      <c r="CS32" s="240"/>
      <c r="CT32" s="240"/>
      <c r="CU32" s="240"/>
      <c r="CV32" s="240"/>
      <c r="CW32" s="240"/>
      <c r="CX32" s="240"/>
      <c r="CY32" s="240"/>
      <c r="CZ32" s="240"/>
      <c r="DA32" s="240"/>
      <c r="DB32" s="240"/>
      <c r="DC32" s="240"/>
      <c r="DD32" s="240"/>
      <c r="DE32" s="240"/>
      <c r="DF32" s="240"/>
      <c r="DG32" s="240"/>
      <c r="DH32" s="240"/>
      <c r="DI32" s="240"/>
      <c r="DJ32" s="240"/>
      <c r="DK32" s="240"/>
      <c r="DL32" s="240"/>
      <c r="DM32" s="240"/>
      <c r="DN32" s="240"/>
      <c r="DO32" s="240"/>
      <c r="DP32" s="240"/>
      <c r="DQ32" s="240"/>
      <c r="DR32" s="240"/>
      <c r="DS32" s="240"/>
      <c r="DT32" s="240"/>
      <c r="DU32" s="240"/>
      <c r="DV32" s="240"/>
      <c r="DW32" s="240"/>
      <c r="DX32" s="240"/>
      <c r="DY32" s="240"/>
      <c r="DZ32" s="240"/>
      <c r="EA32" s="240"/>
      <c r="EB32" s="240"/>
      <c r="EC32" s="240"/>
      <c r="ED32" s="240"/>
      <c r="EE32" s="240"/>
      <c r="EF32" s="240"/>
      <c r="EG32" s="240"/>
      <c r="EH32" s="240"/>
      <c r="EI32" s="240"/>
      <c r="EJ32" s="240"/>
      <c r="EK32" s="240"/>
      <c r="EL32" s="240"/>
      <c r="EM32" s="240"/>
      <c r="EN32" s="240"/>
      <c r="EO32" s="240"/>
      <c r="EP32" s="240"/>
      <c r="EQ32" s="240"/>
      <c r="ER32" s="240"/>
      <c r="ES32" s="240"/>
      <c r="ET32" s="240"/>
      <c r="EU32" s="240"/>
      <c r="EV32" s="240"/>
      <c r="EW32" s="240"/>
      <c r="EX32" s="240"/>
      <c r="EY32" s="240"/>
      <c r="EZ32" s="240"/>
      <c r="FA32" s="240"/>
      <c r="FB32" s="240"/>
      <c r="FC32" s="240"/>
      <c r="FD32" s="240"/>
      <c r="FE32" s="240"/>
      <c r="FF32" s="240"/>
      <c r="FG32" s="240"/>
      <c r="FH32" s="240"/>
      <c r="FI32" s="240"/>
      <c r="FJ32" s="240"/>
      <c r="FK32" s="240"/>
      <c r="FL32" s="240"/>
      <c r="FM32" s="240"/>
      <c r="FN32" s="240"/>
      <c r="FO32" s="240"/>
      <c r="FP32" s="240"/>
      <c r="FQ32" s="240"/>
      <c r="FR32" s="240"/>
      <c r="FS32" s="240"/>
      <c r="FT32" s="240"/>
      <c r="FU32" s="240"/>
      <c r="FV32" s="240"/>
      <c r="FW32" s="240"/>
      <c r="FX32" s="240"/>
      <c r="FY32" s="240"/>
      <c r="FZ32" s="240"/>
      <c r="GA32" s="240"/>
      <c r="GB32" s="240"/>
      <c r="GC32" s="240"/>
      <c r="GD32" s="240"/>
      <c r="GE32" s="240"/>
      <c r="GF32" s="240"/>
      <c r="GG32" s="240"/>
      <c r="GH32" s="240"/>
      <c r="GI32" s="240"/>
      <c r="GJ32" s="240"/>
      <c r="GK32" s="240"/>
      <c r="GL32" s="240"/>
      <c r="GM32" s="240"/>
      <c r="GN32" s="240"/>
      <c r="GO32" s="240"/>
      <c r="GP32" s="240"/>
      <c r="GQ32" s="240"/>
      <c r="GR32" s="240"/>
      <c r="GS32" s="240"/>
      <c r="GT32" s="240"/>
      <c r="GU32" s="240"/>
      <c r="GV32" s="240"/>
      <c r="GW32" s="240"/>
      <c r="GX32" s="240"/>
      <c r="GY32" s="240"/>
      <c r="GZ32" s="240"/>
      <c r="HA32" s="240"/>
      <c r="HB32" s="240"/>
      <c r="HC32" s="240"/>
      <c r="HD32" s="240"/>
      <c r="HE32" s="240"/>
      <c r="HF32" s="240"/>
      <c r="HG32" s="240"/>
      <c r="HH32" s="240"/>
      <c r="HI32" s="240"/>
      <c r="HJ32" s="240"/>
      <c r="HK32" s="240"/>
      <c r="HL32" s="240"/>
      <c r="HM32" s="240"/>
      <c r="HN32" s="240"/>
      <c r="HO32" s="240"/>
      <c r="HP32" s="240"/>
      <c r="HQ32" s="240"/>
      <c r="HR32" s="240"/>
      <c r="HS32" s="240"/>
      <c r="HT32" s="240"/>
      <c r="HU32" s="240"/>
      <c r="HV32" s="240"/>
      <c r="HW32" s="240"/>
      <c r="HX32" s="240"/>
      <c r="HY32" s="240"/>
      <c r="HZ32" s="240"/>
      <c r="IA32" s="240"/>
      <c r="IB32" s="240"/>
      <c r="IC32" s="240"/>
      <c r="ID32" s="240"/>
      <c r="IE32" s="240"/>
      <c r="IF32" s="240"/>
      <c r="IG32" s="240"/>
      <c r="IH32" s="240"/>
      <c r="II32" s="240"/>
      <c r="IJ32" s="240"/>
      <c r="IK32" s="240"/>
      <c r="IL32" s="240"/>
      <c r="IM32" s="240"/>
      <c r="IN32" s="240"/>
      <c r="IO32" s="240"/>
      <c r="IP32" s="240"/>
      <c r="IQ32" s="240"/>
      <c r="IR32" s="240"/>
      <c r="IS32" s="240"/>
      <c r="IT32" s="240"/>
    </row>
    <row r="33" spans="1:254" s="131" customFormat="1" ht="29.25" customHeight="1">
      <c r="A33" s="254" t="s">
        <v>5274</v>
      </c>
      <c r="B33" s="286" t="s">
        <v>5275</v>
      </c>
      <c r="C33" s="263"/>
      <c r="D33" s="257"/>
      <c r="E33" s="209" t="s">
        <v>5276</v>
      </c>
      <c r="F33" s="151"/>
      <c r="G33" s="46" t="s">
        <v>5274</v>
      </c>
      <c r="H33" s="46"/>
      <c r="I33" s="27" t="s">
        <v>2946</v>
      </c>
      <c r="J33" s="257" t="s">
        <v>1089</v>
      </c>
      <c r="K33" s="195">
        <v>0.13500000000000001</v>
      </c>
      <c r="L33" s="130">
        <v>0.13003400000000001</v>
      </c>
      <c r="M33" s="130"/>
      <c r="N33" s="136"/>
      <c r="O33" s="37"/>
      <c r="P33" s="37"/>
      <c r="Q33" s="37"/>
      <c r="R33" s="253">
        <f t="shared" si="0"/>
        <v>0.13003400000000001</v>
      </c>
      <c r="S33" s="266" t="b">
        <v>1</v>
      </c>
      <c r="T33" s="266" t="b">
        <v>0</v>
      </c>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40"/>
      <c r="DS33" s="240"/>
      <c r="DT33" s="240"/>
      <c r="DU33" s="240"/>
      <c r="DV33" s="240"/>
      <c r="DW33" s="240"/>
      <c r="DX33" s="240"/>
      <c r="DY33" s="240"/>
      <c r="DZ33" s="240"/>
      <c r="EA33" s="240"/>
      <c r="EB33" s="240"/>
      <c r="EC33" s="240"/>
      <c r="ED33" s="240"/>
      <c r="EE33" s="240"/>
      <c r="EF33" s="240"/>
      <c r="EG33" s="240"/>
      <c r="EH33" s="240"/>
      <c r="EI33" s="240"/>
      <c r="EJ33" s="240"/>
      <c r="EK33" s="240"/>
      <c r="EL33" s="240"/>
      <c r="EM33" s="240"/>
      <c r="EN33" s="240"/>
      <c r="EO33" s="240"/>
      <c r="EP33" s="240"/>
      <c r="EQ33" s="240"/>
      <c r="ER33" s="240"/>
      <c r="ES33" s="240"/>
      <c r="ET33" s="240"/>
      <c r="EU33" s="240"/>
      <c r="EV33" s="240"/>
      <c r="EW33" s="240"/>
      <c r="EX33" s="240"/>
      <c r="EY33" s="240"/>
      <c r="EZ33" s="240"/>
      <c r="FA33" s="240"/>
      <c r="FB33" s="240"/>
      <c r="FC33" s="240"/>
      <c r="FD33" s="240"/>
      <c r="FE33" s="240"/>
      <c r="FF33" s="240"/>
      <c r="FG33" s="240"/>
      <c r="FH33" s="240"/>
      <c r="FI33" s="240"/>
      <c r="FJ33" s="240"/>
      <c r="FK33" s="240"/>
      <c r="FL33" s="240"/>
      <c r="FM33" s="240"/>
      <c r="FN33" s="240"/>
      <c r="FO33" s="240"/>
      <c r="FP33" s="240"/>
      <c r="FQ33" s="240"/>
      <c r="FR33" s="240"/>
      <c r="FS33" s="240"/>
      <c r="FT33" s="240"/>
      <c r="FU33" s="240"/>
      <c r="FV33" s="240"/>
      <c r="FW33" s="240"/>
      <c r="FX33" s="240"/>
      <c r="FY33" s="240"/>
      <c r="FZ33" s="240"/>
      <c r="GA33" s="240"/>
      <c r="GB33" s="240"/>
      <c r="GC33" s="240"/>
      <c r="GD33" s="240"/>
      <c r="GE33" s="240"/>
      <c r="GF33" s="240"/>
      <c r="GG33" s="240"/>
      <c r="GH33" s="240"/>
      <c r="GI33" s="240"/>
      <c r="GJ33" s="240"/>
      <c r="GK33" s="240"/>
      <c r="GL33" s="240"/>
      <c r="GM33" s="240"/>
      <c r="GN33" s="240"/>
      <c r="GO33" s="240"/>
      <c r="GP33" s="240"/>
      <c r="GQ33" s="240"/>
      <c r="GR33" s="240"/>
      <c r="GS33" s="240"/>
      <c r="GT33" s="240"/>
      <c r="GU33" s="240"/>
      <c r="GV33" s="240"/>
      <c r="GW33" s="240"/>
      <c r="GX33" s="240"/>
      <c r="GY33" s="240"/>
      <c r="GZ33" s="240"/>
      <c r="HA33" s="240"/>
      <c r="HB33" s="240"/>
      <c r="HC33" s="240"/>
      <c r="HD33" s="240"/>
      <c r="HE33" s="240"/>
      <c r="HF33" s="240"/>
      <c r="HG33" s="240"/>
      <c r="HH33" s="240"/>
      <c r="HI33" s="240"/>
      <c r="HJ33" s="240"/>
      <c r="HK33" s="240"/>
      <c r="HL33" s="240"/>
      <c r="HM33" s="240"/>
      <c r="HN33" s="240"/>
      <c r="HO33" s="240"/>
      <c r="HP33" s="240"/>
      <c r="HQ33" s="240"/>
      <c r="HR33" s="240"/>
      <c r="HS33" s="240"/>
      <c r="HT33" s="240"/>
      <c r="HU33" s="240"/>
      <c r="HV33" s="240"/>
      <c r="HW33" s="240"/>
      <c r="HX33" s="240"/>
      <c r="HY33" s="240"/>
      <c r="HZ33" s="240"/>
      <c r="IA33" s="240"/>
      <c r="IB33" s="240"/>
      <c r="IC33" s="240"/>
      <c r="ID33" s="240"/>
      <c r="IE33" s="240"/>
      <c r="IF33" s="240"/>
      <c r="IG33" s="240"/>
      <c r="IH33" s="240"/>
      <c r="II33" s="240"/>
      <c r="IJ33" s="240"/>
      <c r="IK33" s="240"/>
      <c r="IL33" s="240"/>
      <c r="IM33" s="240"/>
      <c r="IN33" s="240"/>
      <c r="IO33" s="240"/>
      <c r="IP33" s="240"/>
      <c r="IQ33" s="240"/>
      <c r="IR33" s="240"/>
      <c r="IS33" s="240"/>
      <c r="IT33" s="240"/>
    </row>
    <row r="34" spans="1:254" s="131" customFormat="1" ht="29.25" customHeight="1">
      <c r="A34" s="254"/>
      <c r="B34" s="286" t="s">
        <v>5248</v>
      </c>
      <c r="C34" s="252"/>
      <c r="D34" s="48"/>
      <c r="E34" s="181" t="s">
        <v>5247</v>
      </c>
      <c r="F34" s="43"/>
      <c r="G34" s="27"/>
      <c r="H34" s="27"/>
      <c r="I34" s="27" t="s">
        <v>2983</v>
      </c>
      <c r="J34" s="257" t="s">
        <v>1089</v>
      </c>
      <c r="K34" s="192">
        <v>0.112</v>
      </c>
      <c r="L34" s="130">
        <f>K34*0.2*8760/1000</f>
        <v>0.19622400000000001</v>
      </c>
      <c r="M34" s="130">
        <v>1.9503249999999999</v>
      </c>
      <c r="N34" s="28"/>
      <c r="O34" s="29"/>
      <c r="P34" s="28"/>
      <c r="Q34" s="28"/>
      <c r="R34" s="253">
        <f t="shared" si="0"/>
        <v>1.0732744999999999</v>
      </c>
      <c r="S34" s="266" t="b">
        <v>1</v>
      </c>
      <c r="T34" s="266" t="b">
        <v>0</v>
      </c>
    </row>
    <row r="35" spans="1:254" s="131" customFormat="1" ht="29.25" customHeight="1">
      <c r="A35" s="254"/>
      <c r="B35" s="286" t="s">
        <v>5277</v>
      </c>
      <c r="C35" s="252"/>
      <c r="D35" s="48"/>
      <c r="E35" s="181" t="s">
        <v>4910</v>
      </c>
      <c r="F35" s="43">
        <v>33992</v>
      </c>
      <c r="G35" s="27" t="s">
        <v>4909</v>
      </c>
      <c r="H35" s="27"/>
      <c r="I35" s="27" t="s">
        <v>2946</v>
      </c>
      <c r="J35" s="257" t="s">
        <v>3</v>
      </c>
      <c r="K35" s="192">
        <v>0.55000000000000004</v>
      </c>
      <c r="L35" s="130">
        <v>9.3629999999999998E-3</v>
      </c>
      <c r="M35" s="130"/>
      <c r="N35" s="28"/>
      <c r="O35" s="29"/>
      <c r="P35" s="28"/>
      <c r="Q35" s="28"/>
      <c r="R35" s="253">
        <f t="shared" si="0"/>
        <v>9.3629999999999998E-3</v>
      </c>
      <c r="S35" s="266" t="b">
        <v>1</v>
      </c>
      <c r="T35" s="266" t="b">
        <v>0</v>
      </c>
    </row>
    <row r="36" spans="1:254" s="131" customFormat="1" ht="29.25" customHeight="1">
      <c r="A36" s="254"/>
      <c r="B36" s="286" t="s">
        <v>2139</v>
      </c>
      <c r="C36" s="252" t="s">
        <v>1734</v>
      </c>
      <c r="D36" s="48"/>
      <c r="E36" s="48" t="s">
        <v>2141</v>
      </c>
      <c r="F36" s="43">
        <v>41815</v>
      </c>
      <c r="G36" s="46" t="s">
        <v>2140</v>
      </c>
      <c r="H36" s="46"/>
      <c r="I36" s="46" t="s">
        <v>2946</v>
      </c>
      <c r="J36" s="257" t="s">
        <v>1733</v>
      </c>
      <c r="K36" s="195">
        <v>0.9</v>
      </c>
      <c r="L36" s="195">
        <v>4.7300769999999996</v>
      </c>
      <c r="M36" s="130">
        <v>1.698</v>
      </c>
      <c r="N36" s="136"/>
      <c r="O36" s="37"/>
      <c r="P36" s="37"/>
      <c r="Q36" s="37"/>
      <c r="R36" s="253">
        <f t="shared" si="0"/>
        <v>3.2140385</v>
      </c>
      <c r="S36" s="266" t="b">
        <v>1</v>
      </c>
      <c r="T36" s="266" t="b">
        <v>0</v>
      </c>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5"/>
      <c r="DL36" s="255"/>
      <c r="DM36" s="255"/>
      <c r="DN36" s="255"/>
      <c r="DO36" s="255"/>
      <c r="DP36" s="255"/>
      <c r="DQ36" s="255"/>
      <c r="DR36" s="255"/>
      <c r="DS36" s="255"/>
      <c r="DT36" s="255"/>
      <c r="DU36" s="255"/>
      <c r="DV36" s="255"/>
      <c r="DW36" s="255"/>
      <c r="DX36" s="255"/>
      <c r="DY36" s="255"/>
      <c r="DZ36" s="255"/>
      <c r="EA36" s="255"/>
      <c r="EB36" s="255"/>
      <c r="EC36" s="255"/>
      <c r="ED36" s="255"/>
      <c r="EE36" s="255"/>
      <c r="EF36" s="255"/>
      <c r="EG36" s="255"/>
      <c r="EH36" s="255"/>
      <c r="EI36" s="255"/>
      <c r="EJ36" s="255"/>
      <c r="EK36" s="255"/>
      <c r="EL36" s="255"/>
      <c r="EM36" s="255"/>
      <c r="EN36" s="255"/>
      <c r="EO36" s="255"/>
      <c r="EP36" s="255"/>
      <c r="EQ36" s="255"/>
      <c r="ER36" s="255"/>
      <c r="ES36" s="255"/>
      <c r="ET36" s="255"/>
      <c r="EU36" s="255"/>
      <c r="EV36" s="255"/>
      <c r="EW36" s="255"/>
      <c r="EX36" s="255"/>
      <c r="EY36" s="255"/>
      <c r="EZ36" s="255"/>
      <c r="FA36" s="255"/>
      <c r="FB36" s="255"/>
      <c r="FC36" s="255"/>
      <c r="FD36" s="255"/>
      <c r="FE36" s="255"/>
      <c r="FF36" s="255"/>
      <c r="FG36" s="255"/>
      <c r="FH36" s="255"/>
      <c r="FI36" s="255"/>
      <c r="FJ36" s="255"/>
      <c r="FK36" s="255"/>
      <c r="FL36" s="255"/>
      <c r="FM36" s="255"/>
      <c r="FN36" s="255"/>
      <c r="FO36" s="255"/>
      <c r="FP36" s="255"/>
      <c r="FQ36" s="255"/>
      <c r="FR36" s="255"/>
      <c r="FS36" s="255"/>
      <c r="FT36" s="255"/>
      <c r="FU36" s="255"/>
      <c r="FV36" s="255"/>
      <c r="FW36" s="255"/>
      <c r="FX36" s="255"/>
      <c r="FY36" s="255"/>
      <c r="FZ36" s="255"/>
      <c r="GA36" s="255"/>
      <c r="GB36" s="255"/>
      <c r="GC36" s="255"/>
      <c r="GD36" s="255"/>
      <c r="GE36" s="255"/>
      <c r="GF36" s="255"/>
      <c r="GG36" s="255"/>
      <c r="GH36" s="255"/>
      <c r="GI36" s="255"/>
      <c r="GJ36" s="255"/>
      <c r="GK36" s="255"/>
      <c r="GL36" s="255"/>
      <c r="GM36" s="255"/>
      <c r="GN36" s="255"/>
      <c r="GO36" s="255"/>
      <c r="GP36" s="255"/>
      <c r="GQ36" s="255"/>
      <c r="GR36" s="255"/>
      <c r="GS36" s="255"/>
      <c r="GT36" s="255"/>
      <c r="GU36" s="255"/>
      <c r="GV36" s="255"/>
      <c r="GW36" s="255"/>
      <c r="GX36" s="255"/>
      <c r="GY36" s="255"/>
      <c r="GZ36" s="255"/>
      <c r="HA36" s="255"/>
      <c r="HB36" s="255"/>
      <c r="HC36" s="255"/>
      <c r="HD36" s="255"/>
      <c r="HE36" s="255"/>
      <c r="HF36" s="255"/>
      <c r="HG36" s="255"/>
      <c r="HH36" s="255"/>
      <c r="HI36" s="255"/>
      <c r="HJ36" s="255"/>
      <c r="HK36" s="255"/>
      <c r="HL36" s="255"/>
      <c r="HM36" s="255"/>
      <c r="HN36" s="255"/>
      <c r="HO36" s="255"/>
      <c r="HP36" s="255"/>
      <c r="HQ36" s="255"/>
      <c r="HR36" s="255"/>
      <c r="HS36" s="255"/>
      <c r="HT36" s="255"/>
      <c r="HU36" s="255"/>
      <c r="HV36" s="255"/>
      <c r="HW36" s="255"/>
      <c r="HX36" s="255"/>
      <c r="HY36" s="255"/>
      <c r="HZ36" s="255"/>
      <c r="IA36" s="255"/>
      <c r="IB36" s="255"/>
      <c r="IC36" s="255"/>
      <c r="ID36" s="255"/>
      <c r="IE36" s="255"/>
      <c r="IF36" s="255"/>
      <c r="IG36" s="255"/>
      <c r="IH36" s="255"/>
      <c r="II36" s="255"/>
      <c r="IJ36" s="255"/>
      <c r="IK36" s="255"/>
      <c r="IL36" s="255"/>
      <c r="IM36" s="255"/>
      <c r="IN36" s="255"/>
      <c r="IO36" s="255"/>
      <c r="IP36" s="255"/>
      <c r="IQ36" s="255"/>
      <c r="IR36" s="255"/>
      <c r="IS36" s="255"/>
      <c r="IT36" s="255"/>
    </row>
    <row r="37" spans="1:254" s="131" customFormat="1" ht="29.25" customHeight="1">
      <c r="A37" s="254" t="s">
        <v>1181</v>
      </c>
      <c r="B37" s="286" t="s">
        <v>2493</v>
      </c>
      <c r="C37" s="48"/>
      <c r="D37" s="48"/>
      <c r="E37" s="48">
        <v>61735</v>
      </c>
      <c r="F37" s="39">
        <v>41379</v>
      </c>
      <c r="G37" s="48" t="s">
        <v>2494</v>
      </c>
      <c r="H37" s="48"/>
      <c r="I37" s="48" t="s">
        <v>2946</v>
      </c>
      <c r="J37" s="257" t="s">
        <v>1089</v>
      </c>
      <c r="K37" s="195">
        <v>0.99</v>
      </c>
      <c r="L37" s="193">
        <f>M37</f>
        <v>1.85</v>
      </c>
      <c r="M37" s="130">
        <v>1.85</v>
      </c>
      <c r="N37" s="136"/>
      <c r="O37" s="37"/>
      <c r="P37" s="37"/>
      <c r="Q37" s="37"/>
      <c r="R37" s="253">
        <f t="shared" si="0"/>
        <v>1.85</v>
      </c>
      <c r="S37" s="266" t="b">
        <v>1</v>
      </c>
      <c r="T37" s="266" t="b">
        <v>0</v>
      </c>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c r="CN37" s="255"/>
      <c r="CO37" s="255"/>
      <c r="CP37" s="255"/>
      <c r="CQ37" s="255"/>
      <c r="CR37" s="255"/>
      <c r="CS37" s="255"/>
      <c r="CT37" s="255"/>
      <c r="CU37" s="255"/>
      <c r="CV37" s="255"/>
      <c r="CW37" s="255"/>
      <c r="CX37" s="255"/>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255"/>
      <c r="ED37" s="255"/>
      <c r="EE37" s="255"/>
      <c r="EF37" s="255"/>
      <c r="EG37" s="255"/>
      <c r="EH37" s="255"/>
      <c r="EI37" s="255"/>
      <c r="EJ37" s="255"/>
      <c r="EK37" s="255"/>
      <c r="EL37" s="255"/>
      <c r="EM37" s="255"/>
      <c r="EN37" s="255"/>
      <c r="EO37" s="255"/>
      <c r="EP37" s="255"/>
      <c r="EQ37" s="255"/>
      <c r="ER37" s="255"/>
      <c r="ES37" s="255"/>
      <c r="ET37" s="255"/>
      <c r="EU37" s="255"/>
      <c r="EV37" s="255"/>
      <c r="EW37" s="255"/>
      <c r="EX37" s="255"/>
      <c r="EY37" s="255"/>
      <c r="EZ37" s="255"/>
      <c r="FA37" s="255"/>
      <c r="FB37" s="255"/>
      <c r="FC37" s="255"/>
      <c r="FD37" s="255"/>
      <c r="FE37" s="255"/>
      <c r="FF37" s="255"/>
      <c r="FG37" s="255"/>
      <c r="FH37" s="255"/>
      <c r="FI37" s="255"/>
      <c r="FJ37" s="255"/>
      <c r="FK37" s="255"/>
      <c r="FL37" s="255"/>
      <c r="FM37" s="255"/>
      <c r="FN37" s="255"/>
      <c r="FO37" s="255"/>
      <c r="FP37" s="255"/>
      <c r="FQ37" s="255"/>
      <c r="FR37" s="255"/>
      <c r="FS37" s="255"/>
      <c r="FT37" s="255"/>
      <c r="FU37" s="255"/>
      <c r="FV37" s="255"/>
      <c r="FW37" s="255"/>
      <c r="FX37" s="255"/>
      <c r="FY37" s="255"/>
      <c r="FZ37" s="255"/>
      <c r="GA37" s="255"/>
      <c r="GB37" s="255"/>
      <c r="GC37" s="255"/>
      <c r="GD37" s="255"/>
      <c r="GE37" s="255"/>
      <c r="GF37" s="255"/>
      <c r="GG37" s="255"/>
      <c r="GH37" s="255"/>
      <c r="GI37" s="255"/>
      <c r="GJ37" s="255"/>
      <c r="GK37" s="255"/>
      <c r="GL37" s="255"/>
      <c r="GM37" s="255"/>
      <c r="GN37" s="255"/>
      <c r="GO37" s="255"/>
      <c r="GP37" s="255"/>
      <c r="GQ37" s="255"/>
      <c r="GR37" s="255"/>
      <c r="GS37" s="255"/>
      <c r="GT37" s="255"/>
      <c r="GU37" s="255"/>
      <c r="GV37" s="255"/>
      <c r="GW37" s="255"/>
      <c r="GX37" s="255"/>
      <c r="GY37" s="255"/>
      <c r="GZ37" s="255"/>
      <c r="HA37" s="255"/>
      <c r="HB37" s="255"/>
      <c r="HC37" s="255"/>
      <c r="HD37" s="255"/>
      <c r="HE37" s="255"/>
      <c r="HF37" s="255"/>
      <c r="HG37" s="255"/>
      <c r="HH37" s="255"/>
      <c r="HI37" s="255"/>
      <c r="HJ37" s="255"/>
      <c r="HK37" s="255"/>
      <c r="HL37" s="255"/>
      <c r="HM37" s="255"/>
      <c r="HN37" s="255"/>
      <c r="HO37" s="255"/>
      <c r="HP37" s="255"/>
      <c r="HQ37" s="255"/>
      <c r="HR37" s="255"/>
      <c r="HS37" s="255"/>
      <c r="HT37" s="255"/>
      <c r="HU37" s="255"/>
      <c r="HV37" s="255"/>
      <c r="HW37" s="255"/>
      <c r="HX37" s="255"/>
      <c r="HY37" s="255"/>
      <c r="HZ37" s="255"/>
      <c r="IA37" s="255"/>
      <c r="IB37" s="255"/>
      <c r="IC37" s="255"/>
      <c r="ID37" s="255"/>
      <c r="IE37" s="255"/>
      <c r="IF37" s="255"/>
      <c r="IG37" s="255"/>
      <c r="IH37" s="255"/>
      <c r="II37" s="255"/>
      <c r="IJ37" s="255"/>
      <c r="IK37" s="255"/>
      <c r="IL37" s="255"/>
      <c r="IM37" s="255"/>
      <c r="IN37" s="255"/>
      <c r="IO37" s="255"/>
      <c r="IP37" s="255"/>
      <c r="IQ37" s="255"/>
      <c r="IR37" s="255"/>
      <c r="IS37" s="255"/>
      <c r="IT37" s="255"/>
    </row>
    <row r="38" spans="1:254" s="131" customFormat="1" ht="29.25" customHeight="1">
      <c r="A38" s="254"/>
      <c r="B38" s="254" t="s">
        <v>2009</v>
      </c>
      <c r="C38" s="257"/>
      <c r="D38" s="48"/>
      <c r="E38" s="48" t="s">
        <v>2010</v>
      </c>
      <c r="F38" s="172">
        <v>40899</v>
      </c>
      <c r="G38" s="252"/>
      <c r="H38" s="252"/>
      <c r="I38" s="252" t="s">
        <v>2983</v>
      </c>
      <c r="J38" s="252" t="s">
        <v>1089</v>
      </c>
      <c r="K38" s="467">
        <v>0.94</v>
      </c>
      <c r="L38" s="193">
        <f>M38</f>
        <v>2.2644600000000001</v>
      </c>
      <c r="M38" s="130">
        <f>K38*8.76*0.275</f>
        <v>2.2644600000000001</v>
      </c>
      <c r="N38" s="32"/>
      <c r="O38" s="32"/>
      <c r="P38" s="253"/>
      <c r="Q38" s="253"/>
      <c r="R38" s="253">
        <f t="shared" si="0"/>
        <v>2.2644600000000001</v>
      </c>
      <c r="S38" s="266" t="b">
        <v>1</v>
      </c>
      <c r="T38" s="266" t="b">
        <v>0</v>
      </c>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465"/>
      <c r="CM38" s="465"/>
      <c r="CN38" s="465"/>
      <c r="CO38" s="465"/>
      <c r="CP38" s="465"/>
      <c r="CQ38" s="465"/>
      <c r="CR38" s="465"/>
      <c r="CS38" s="465"/>
      <c r="CT38" s="465"/>
      <c r="CU38" s="465"/>
      <c r="CV38" s="465"/>
      <c r="CW38" s="465"/>
      <c r="CX38" s="465"/>
      <c r="CY38" s="465"/>
      <c r="CZ38" s="465"/>
      <c r="DA38" s="465"/>
      <c r="DB38" s="465"/>
      <c r="DC38" s="465"/>
      <c r="DD38" s="465"/>
      <c r="DE38" s="465"/>
      <c r="DF38" s="465"/>
      <c r="DG38" s="465"/>
      <c r="DH38" s="465"/>
      <c r="DI38" s="465"/>
      <c r="DJ38" s="465"/>
      <c r="DK38" s="465"/>
      <c r="DL38" s="465"/>
      <c r="DM38" s="465"/>
      <c r="DN38" s="465"/>
      <c r="DO38" s="465"/>
      <c r="DP38" s="465"/>
      <c r="DQ38" s="465"/>
      <c r="DR38" s="465"/>
      <c r="DS38" s="465"/>
      <c r="DT38" s="465"/>
      <c r="DU38" s="465"/>
      <c r="DV38" s="465"/>
      <c r="DW38" s="465"/>
      <c r="DX38" s="465"/>
      <c r="DY38" s="465"/>
      <c r="DZ38" s="465"/>
      <c r="EA38" s="465"/>
      <c r="EB38" s="465"/>
      <c r="EC38" s="465"/>
      <c r="ED38" s="465"/>
      <c r="EE38" s="465"/>
      <c r="EF38" s="465"/>
      <c r="EG38" s="465"/>
      <c r="EH38" s="465"/>
      <c r="EI38" s="465"/>
      <c r="EJ38" s="465"/>
      <c r="EK38" s="465"/>
      <c r="EL38" s="465"/>
      <c r="EM38" s="465"/>
      <c r="EN38" s="465"/>
      <c r="EO38" s="465"/>
      <c r="EP38" s="465"/>
      <c r="EQ38" s="465"/>
      <c r="ER38" s="465"/>
      <c r="ES38" s="465"/>
      <c r="ET38" s="465"/>
      <c r="EU38" s="465"/>
      <c r="EV38" s="465"/>
      <c r="EW38" s="465"/>
      <c r="EX38" s="465"/>
      <c r="EY38" s="465"/>
      <c r="EZ38" s="465"/>
      <c r="FA38" s="465"/>
      <c r="FB38" s="465"/>
      <c r="FC38" s="465"/>
      <c r="FD38" s="465"/>
      <c r="FE38" s="465"/>
      <c r="FF38" s="465"/>
      <c r="FG38" s="465"/>
      <c r="FH38" s="465"/>
      <c r="FI38" s="465"/>
      <c r="FJ38" s="465"/>
      <c r="FK38" s="465"/>
      <c r="FL38" s="465"/>
      <c r="FM38" s="465"/>
      <c r="FN38" s="465"/>
      <c r="FO38" s="465"/>
      <c r="FP38" s="465"/>
      <c r="FQ38" s="465"/>
      <c r="FR38" s="465"/>
      <c r="FS38" s="465"/>
      <c r="FT38" s="465"/>
      <c r="FU38" s="465"/>
      <c r="FV38" s="465"/>
      <c r="FW38" s="465"/>
      <c r="FX38" s="465"/>
      <c r="FY38" s="465"/>
      <c r="FZ38" s="465"/>
      <c r="GA38" s="465"/>
      <c r="GB38" s="465"/>
      <c r="GC38" s="465"/>
      <c r="GD38" s="465"/>
      <c r="GE38" s="465"/>
      <c r="GF38" s="465"/>
      <c r="GG38" s="465"/>
      <c r="GH38" s="465"/>
      <c r="GI38" s="465"/>
      <c r="GJ38" s="465"/>
      <c r="GK38" s="465"/>
      <c r="GL38" s="465"/>
      <c r="GM38" s="465"/>
      <c r="GN38" s="465"/>
      <c r="GO38" s="465"/>
      <c r="GP38" s="465"/>
      <c r="GQ38" s="465"/>
      <c r="GR38" s="465"/>
      <c r="GS38" s="465"/>
      <c r="GT38" s="465"/>
      <c r="GU38" s="465"/>
      <c r="GV38" s="465"/>
      <c r="GW38" s="465"/>
      <c r="GX38" s="465"/>
      <c r="GY38" s="465"/>
      <c r="GZ38" s="465"/>
      <c r="HA38" s="465"/>
      <c r="HB38" s="465"/>
      <c r="HC38" s="465"/>
      <c r="HD38" s="465"/>
      <c r="HE38" s="465"/>
      <c r="HF38" s="465"/>
      <c r="HG38" s="465"/>
      <c r="HH38" s="465"/>
      <c r="HI38" s="465"/>
      <c r="HJ38" s="465"/>
      <c r="HK38" s="465"/>
      <c r="HL38" s="465"/>
      <c r="HM38" s="465"/>
      <c r="HN38" s="465"/>
      <c r="HO38" s="465"/>
      <c r="HP38" s="465"/>
      <c r="HQ38" s="465"/>
      <c r="HR38" s="465"/>
      <c r="HS38" s="465"/>
      <c r="HT38" s="465"/>
      <c r="HU38" s="465"/>
      <c r="HV38" s="465"/>
      <c r="HW38" s="465"/>
      <c r="HX38" s="465"/>
      <c r="HY38" s="465"/>
      <c r="HZ38" s="465"/>
      <c r="IA38" s="465"/>
      <c r="IB38" s="465"/>
      <c r="IC38" s="465"/>
      <c r="ID38" s="465"/>
      <c r="IE38" s="465"/>
      <c r="IF38" s="465"/>
      <c r="IG38" s="465"/>
      <c r="IH38" s="465"/>
      <c r="II38" s="465"/>
      <c r="IJ38" s="465"/>
      <c r="IK38" s="465"/>
      <c r="IL38" s="465"/>
      <c r="IM38" s="465"/>
      <c r="IN38" s="465"/>
      <c r="IO38" s="465"/>
      <c r="IP38" s="465"/>
      <c r="IQ38" s="465"/>
      <c r="IR38" s="465"/>
      <c r="IS38" s="465"/>
      <c r="IT38" s="465"/>
    </row>
    <row r="39" spans="1:254" s="131" customFormat="1" ht="29.25" customHeight="1">
      <c r="A39" s="254" t="s">
        <v>5274</v>
      </c>
      <c r="B39" s="254" t="s">
        <v>5278</v>
      </c>
      <c r="C39" s="257"/>
      <c r="D39" s="48"/>
      <c r="E39" s="48" t="s">
        <v>5279</v>
      </c>
      <c r="F39" s="172"/>
      <c r="G39" s="252"/>
      <c r="H39" s="252"/>
      <c r="I39" s="27" t="s">
        <v>2946</v>
      </c>
      <c r="J39" s="252" t="s">
        <v>1089</v>
      </c>
      <c r="K39" s="467">
        <v>0.16600000000000001</v>
      </c>
      <c r="L39" s="467">
        <v>0.214228</v>
      </c>
      <c r="M39" s="130"/>
      <c r="N39" s="32"/>
      <c r="O39" s="32"/>
      <c r="P39" s="253"/>
      <c r="Q39" s="253"/>
      <c r="R39" s="253">
        <f t="shared" si="0"/>
        <v>0.214228</v>
      </c>
      <c r="S39" s="266" t="b">
        <v>1</v>
      </c>
      <c r="T39" s="266" t="b">
        <v>0</v>
      </c>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465"/>
      <c r="BK39" s="465"/>
      <c r="BL39" s="465"/>
      <c r="BM39" s="465"/>
      <c r="BN39" s="465"/>
      <c r="BO39" s="465"/>
      <c r="BP39" s="465"/>
      <c r="BQ39" s="465"/>
      <c r="BR39" s="465"/>
      <c r="BS39" s="465"/>
      <c r="BT39" s="465"/>
      <c r="BU39" s="465"/>
      <c r="BV39" s="465"/>
      <c r="BW39" s="465"/>
      <c r="BX39" s="465"/>
      <c r="BY39" s="465"/>
      <c r="BZ39" s="465"/>
      <c r="CA39" s="465"/>
      <c r="CB39" s="465"/>
      <c r="CC39" s="465"/>
      <c r="CD39" s="465"/>
      <c r="CE39" s="465"/>
      <c r="CF39" s="465"/>
      <c r="CG39" s="465"/>
      <c r="CH39" s="465"/>
      <c r="CI39" s="465"/>
      <c r="CJ39" s="465"/>
      <c r="CK39" s="465"/>
      <c r="CL39" s="465"/>
      <c r="CM39" s="465"/>
      <c r="CN39" s="465"/>
      <c r="CO39" s="465"/>
      <c r="CP39" s="465"/>
      <c r="CQ39" s="465"/>
      <c r="CR39" s="465"/>
      <c r="CS39" s="465"/>
      <c r="CT39" s="465"/>
      <c r="CU39" s="465"/>
      <c r="CV39" s="465"/>
      <c r="CW39" s="465"/>
      <c r="CX39" s="465"/>
      <c r="CY39" s="465"/>
      <c r="CZ39" s="465"/>
      <c r="DA39" s="465"/>
      <c r="DB39" s="465"/>
      <c r="DC39" s="465"/>
      <c r="DD39" s="465"/>
      <c r="DE39" s="465"/>
      <c r="DF39" s="465"/>
      <c r="DG39" s="465"/>
      <c r="DH39" s="465"/>
      <c r="DI39" s="465"/>
      <c r="DJ39" s="465"/>
      <c r="DK39" s="465"/>
      <c r="DL39" s="465"/>
      <c r="DM39" s="465"/>
      <c r="DN39" s="465"/>
      <c r="DO39" s="465"/>
      <c r="DP39" s="465"/>
      <c r="DQ39" s="465"/>
      <c r="DR39" s="465"/>
      <c r="DS39" s="465"/>
      <c r="DT39" s="465"/>
      <c r="DU39" s="465"/>
      <c r="DV39" s="465"/>
      <c r="DW39" s="465"/>
      <c r="DX39" s="465"/>
      <c r="DY39" s="465"/>
      <c r="DZ39" s="465"/>
      <c r="EA39" s="465"/>
      <c r="EB39" s="465"/>
      <c r="EC39" s="465"/>
      <c r="ED39" s="465"/>
      <c r="EE39" s="465"/>
      <c r="EF39" s="465"/>
      <c r="EG39" s="465"/>
      <c r="EH39" s="465"/>
      <c r="EI39" s="465"/>
      <c r="EJ39" s="465"/>
      <c r="EK39" s="465"/>
      <c r="EL39" s="465"/>
      <c r="EM39" s="465"/>
      <c r="EN39" s="465"/>
      <c r="EO39" s="465"/>
      <c r="EP39" s="465"/>
      <c r="EQ39" s="465"/>
      <c r="ER39" s="465"/>
      <c r="ES39" s="465"/>
      <c r="ET39" s="465"/>
      <c r="EU39" s="465"/>
      <c r="EV39" s="465"/>
      <c r="EW39" s="465"/>
      <c r="EX39" s="465"/>
      <c r="EY39" s="465"/>
      <c r="EZ39" s="465"/>
      <c r="FA39" s="465"/>
      <c r="FB39" s="465"/>
      <c r="FC39" s="465"/>
      <c r="FD39" s="465"/>
      <c r="FE39" s="465"/>
      <c r="FF39" s="465"/>
      <c r="FG39" s="465"/>
      <c r="FH39" s="465"/>
      <c r="FI39" s="465"/>
      <c r="FJ39" s="465"/>
      <c r="FK39" s="465"/>
      <c r="FL39" s="465"/>
      <c r="FM39" s="465"/>
      <c r="FN39" s="465"/>
      <c r="FO39" s="465"/>
      <c r="FP39" s="465"/>
      <c r="FQ39" s="465"/>
      <c r="FR39" s="465"/>
      <c r="FS39" s="465"/>
      <c r="FT39" s="465"/>
      <c r="FU39" s="465"/>
      <c r="FV39" s="465"/>
      <c r="FW39" s="465"/>
      <c r="FX39" s="465"/>
      <c r="FY39" s="465"/>
      <c r="FZ39" s="465"/>
      <c r="GA39" s="465"/>
      <c r="GB39" s="465"/>
      <c r="GC39" s="465"/>
      <c r="GD39" s="465"/>
      <c r="GE39" s="465"/>
      <c r="GF39" s="465"/>
      <c r="GG39" s="465"/>
      <c r="GH39" s="465"/>
      <c r="GI39" s="465"/>
      <c r="GJ39" s="465"/>
      <c r="GK39" s="465"/>
      <c r="GL39" s="465"/>
      <c r="GM39" s="465"/>
      <c r="GN39" s="465"/>
      <c r="GO39" s="465"/>
      <c r="GP39" s="465"/>
      <c r="GQ39" s="465"/>
      <c r="GR39" s="465"/>
      <c r="GS39" s="465"/>
      <c r="GT39" s="465"/>
      <c r="GU39" s="465"/>
      <c r="GV39" s="465"/>
      <c r="GW39" s="465"/>
      <c r="GX39" s="465"/>
      <c r="GY39" s="465"/>
      <c r="GZ39" s="465"/>
      <c r="HA39" s="465"/>
      <c r="HB39" s="465"/>
      <c r="HC39" s="465"/>
      <c r="HD39" s="465"/>
      <c r="HE39" s="465"/>
      <c r="HF39" s="465"/>
      <c r="HG39" s="465"/>
      <c r="HH39" s="465"/>
      <c r="HI39" s="465"/>
      <c r="HJ39" s="465"/>
      <c r="HK39" s="465"/>
      <c r="HL39" s="465"/>
      <c r="HM39" s="465"/>
      <c r="HN39" s="465"/>
      <c r="HO39" s="465"/>
      <c r="HP39" s="465"/>
      <c r="HQ39" s="465"/>
      <c r="HR39" s="465"/>
      <c r="HS39" s="465"/>
      <c r="HT39" s="465"/>
      <c r="HU39" s="465"/>
      <c r="HV39" s="465"/>
      <c r="HW39" s="465"/>
      <c r="HX39" s="465"/>
      <c r="HY39" s="465"/>
      <c r="HZ39" s="465"/>
      <c r="IA39" s="465"/>
      <c r="IB39" s="465"/>
      <c r="IC39" s="465"/>
      <c r="ID39" s="465"/>
      <c r="IE39" s="465"/>
      <c r="IF39" s="465"/>
      <c r="IG39" s="465"/>
      <c r="IH39" s="465"/>
      <c r="II39" s="465"/>
      <c r="IJ39" s="465"/>
      <c r="IK39" s="465"/>
      <c r="IL39" s="465"/>
      <c r="IM39" s="465"/>
      <c r="IN39" s="465"/>
      <c r="IO39" s="465"/>
      <c r="IP39" s="465"/>
      <c r="IQ39" s="465"/>
      <c r="IR39" s="465"/>
      <c r="IS39" s="465"/>
      <c r="IT39" s="465"/>
    </row>
    <row r="40" spans="1:254" s="131" customFormat="1" ht="29.25" customHeight="1">
      <c r="A40" s="254" t="s">
        <v>1565</v>
      </c>
      <c r="B40" s="254" t="s">
        <v>4251</v>
      </c>
      <c r="C40" s="257"/>
      <c r="D40" s="48" t="s">
        <v>4250</v>
      </c>
      <c r="E40" s="48" t="s">
        <v>5205</v>
      </c>
      <c r="F40" s="172">
        <v>39696</v>
      </c>
      <c r="G40" s="252" t="s">
        <v>5129</v>
      </c>
      <c r="H40" s="252"/>
      <c r="I40" s="27" t="s">
        <v>2946</v>
      </c>
      <c r="J40" s="252" t="s">
        <v>1089</v>
      </c>
      <c r="K40" s="467">
        <v>4.1000000000000002E-2</v>
      </c>
      <c r="L40" s="467">
        <v>5.6124E-2</v>
      </c>
      <c r="M40" s="130"/>
      <c r="N40" s="32"/>
      <c r="O40" s="32"/>
      <c r="P40" s="253"/>
      <c r="Q40" s="253"/>
      <c r="R40" s="253">
        <f t="shared" si="0"/>
        <v>5.6124E-2</v>
      </c>
      <c r="S40" s="266" t="b">
        <v>1</v>
      </c>
      <c r="T40" s="266" t="b">
        <v>0</v>
      </c>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65"/>
      <c r="BJ40" s="465"/>
      <c r="BK40" s="465"/>
      <c r="BL40" s="465"/>
      <c r="BM40" s="465"/>
      <c r="BN40" s="465"/>
      <c r="BO40" s="465"/>
      <c r="BP40" s="465"/>
      <c r="BQ40" s="465"/>
      <c r="BR40" s="465"/>
      <c r="BS40" s="465"/>
      <c r="BT40" s="465"/>
      <c r="BU40" s="465"/>
      <c r="BV40" s="465"/>
      <c r="BW40" s="465"/>
      <c r="BX40" s="465"/>
      <c r="BY40" s="465"/>
      <c r="BZ40" s="465"/>
      <c r="CA40" s="465"/>
      <c r="CB40" s="465"/>
      <c r="CC40" s="465"/>
      <c r="CD40" s="465"/>
      <c r="CE40" s="465"/>
      <c r="CF40" s="465"/>
      <c r="CG40" s="465"/>
      <c r="CH40" s="465"/>
      <c r="CI40" s="465"/>
      <c r="CJ40" s="465"/>
      <c r="CK40" s="465"/>
      <c r="CL40" s="465"/>
      <c r="CM40" s="465"/>
      <c r="CN40" s="465"/>
      <c r="CO40" s="465"/>
      <c r="CP40" s="465"/>
      <c r="CQ40" s="465"/>
      <c r="CR40" s="465"/>
      <c r="CS40" s="465"/>
      <c r="CT40" s="465"/>
      <c r="CU40" s="465"/>
      <c r="CV40" s="465"/>
      <c r="CW40" s="465"/>
      <c r="CX40" s="465"/>
      <c r="CY40" s="465"/>
      <c r="CZ40" s="465"/>
      <c r="DA40" s="465"/>
      <c r="DB40" s="465"/>
      <c r="DC40" s="465"/>
      <c r="DD40" s="465"/>
      <c r="DE40" s="465"/>
      <c r="DF40" s="465"/>
      <c r="DG40" s="465"/>
      <c r="DH40" s="465"/>
      <c r="DI40" s="465"/>
      <c r="DJ40" s="465"/>
      <c r="DK40" s="465"/>
      <c r="DL40" s="465"/>
      <c r="DM40" s="465"/>
      <c r="DN40" s="465"/>
      <c r="DO40" s="465"/>
      <c r="DP40" s="465"/>
      <c r="DQ40" s="465"/>
      <c r="DR40" s="465"/>
      <c r="DS40" s="465"/>
      <c r="DT40" s="465"/>
      <c r="DU40" s="465"/>
      <c r="DV40" s="465"/>
      <c r="DW40" s="465"/>
      <c r="DX40" s="465"/>
      <c r="DY40" s="465"/>
      <c r="DZ40" s="465"/>
      <c r="EA40" s="465"/>
      <c r="EB40" s="465"/>
      <c r="EC40" s="465"/>
      <c r="ED40" s="465"/>
      <c r="EE40" s="465"/>
      <c r="EF40" s="465"/>
      <c r="EG40" s="465"/>
      <c r="EH40" s="465"/>
      <c r="EI40" s="465"/>
      <c r="EJ40" s="465"/>
      <c r="EK40" s="465"/>
      <c r="EL40" s="465"/>
      <c r="EM40" s="465"/>
      <c r="EN40" s="465"/>
      <c r="EO40" s="465"/>
      <c r="EP40" s="465"/>
      <c r="EQ40" s="465"/>
      <c r="ER40" s="465"/>
      <c r="ES40" s="465"/>
      <c r="ET40" s="465"/>
      <c r="EU40" s="465"/>
      <c r="EV40" s="465"/>
      <c r="EW40" s="465"/>
      <c r="EX40" s="465"/>
      <c r="EY40" s="465"/>
      <c r="EZ40" s="465"/>
      <c r="FA40" s="465"/>
      <c r="FB40" s="465"/>
      <c r="FC40" s="465"/>
      <c r="FD40" s="465"/>
      <c r="FE40" s="465"/>
      <c r="FF40" s="465"/>
      <c r="FG40" s="465"/>
      <c r="FH40" s="465"/>
      <c r="FI40" s="465"/>
      <c r="FJ40" s="465"/>
      <c r="FK40" s="465"/>
      <c r="FL40" s="465"/>
      <c r="FM40" s="465"/>
      <c r="FN40" s="465"/>
      <c r="FO40" s="465"/>
      <c r="FP40" s="465"/>
      <c r="FQ40" s="465"/>
      <c r="FR40" s="465"/>
      <c r="FS40" s="465"/>
      <c r="FT40" s="465"/>
      <c r="FU40" s="465"/>
      <c r="FV40" s="465"/>
      <c r="FW40" s="465"/>
      <c r="FX40" s="465"/>
      <c r="FY40" s="465"/>
      <c r="FZ40" s="465"/>
      <c r="GA40" s="465"/>
      <c r="GB40" s="465"/>
      <c r="GC40" s="465"/>
      <c r="GD40" s="465"/>
      <c r="GE40" s="465"/>
      <c r="GF40" s="465"/>
      <c r="GG40" s="465"/>
      <c r="GH40" s="465"/>
      <c r="GI40" s="465"/>
      <c r="GJ40" s="465"/>
      <c r="GK40" s="465"/>
      <c r="GL40" s="465"/>
      <c r="GM40" s="465"/>
      <c r="GN40" s="465"/>
      <c r="GO40" s="465"/>
      <c r="GP40" s="465"/>
      <c r="GQ40" s="465"/>
      <c r="GR40" s="465"/>
      <c r="GS40" s="465"/>
      <c r="GT40" s="465"/>
      <c r="GU40" s="465"/>
      <c r="GV40" s="465"/>
      <c r="GW40" s="465"/>
      <c r="GX40" s="465"/>
      <c r="GY40" s="465"/>
      <c r="GZ40" s="465"/>
      <c r="HA40" s="465"/>
      <c r="HB40" s="465"/>
      <c r="HC40" s="465"/>
      <c r="HD40" s="465"/>
      <c r="HE40" s="465"/>
      <c r="HF40" s="465"/>
      <c r="HG40" s="465"/>
      <c r="HH40" s="465"/>
      <c r="HI40" s="465"/>
      <c r="HJ40" s="465"/>
      <c r="HK40" s="465"/>
      <c r="HL40" s="465"/>
      <c r="HM40" s="465"/>
      <c r="HN40" s="465"/>
      <c r="HO40" s="465"/>
      <c r="HP40" s="465"/>
      <c r="HQ40" s="465"/>
      <c r="HR40" s="465"/>
      <c r="HS40" s="465"/>
      <c r="HT40" s="465"/>
      <c r="HU40" s="465"/>
      <c r="HV40" s="465"/>
      <c r="HW40" s="465"/>
      <c r="HX40" s="465"/>
      <c r="HY40" s="465"/>
      <c r="HZ40" s="465"/>
      <c r="IA40" s="465"/>
      <c r="IB40" s="465"/>
      <c r="IC40" s="465"/>
      <c r="ID40" s="465"/>
      <c r="IE40" s="465"/>
      <c r="IF40" s="465"/>
      <c r="IG40" s="465"/>
      <c r="IH40" s="465"/>
      <c r="II40" s="465"/>
      <c r="IJ40" s="465"/>
      <c r="IK40" s="465"/>
      <c r="IL40" s="465"/>
      <c r="IM40" s="465"/>
      <c r="IN40" s="465"/>
      <c r="IO40" s="465"/>
      <c r="IP40" s="465"/>
      <c r="IQ40" s="465"/>
      <c r="IR40" s="465"/>
      <c r="IS40" s="465"/>
      <c r="IT40" s="465"/>
    </row>
    <row r="41" spans="1:254" s="131" customFormat="1" ht="29.25" customHeight="1">
      <c r="A41" s="254" t="s">
        <v>5244</v>
      </c>
      <c r="B41" s="254" t="s">
        <v>5280</v>
      </c>
      <c r="C41" s="257"/>
      <c r="D41" s="48"/>
      <c r="E41" s="48" t="s">
        <v>5281</v>
      </c>
      <c r="F41" s="172"/>
      <c r="G41" s="252"/>
      <c r="H41" s="252"/>
      <c r="I41" s="27" t="s">
        <v>2946</v>
      </c>
      <c r="J41" s="252" t="s">
        <v>1089</v>
      </c>
      <c r="K41" s="467">
        <v>4.7E-2</v>
      </c>
      <c r="L41" s="467">
        <v>2.0389999999999998E-2</v>
      </c>
      <c r="M41" s="130"/>
      <c r="N41" s="32"/>
      <c r="O41" s="32"/>
      <c r="P41" s="253"/>
      <c r="Q41" s="253"/>
      <c r="R41" s="253">
        <f t="shared" si="0"/>
        <v>2.0389999999999998E-2</v>
      </c>
      <c r="S41" s="266" t="b">
        <v>1</v>
      </c>
      <c r="T41" s="266" t="b">
        <v>0</v>
      </c>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c r="BC41" s="465"/>
      <c r="BD41" s="465"/>
      <c r="BE41" s="465"/>
      <c r="BF41" s="465"/>
      <c r="BG41" s="465"/>
      <c r="BH41" s="465"/>
      <c r="BI41" s="465"/>
      <c r="BJ41" s="465"/>
      <c r="BK41" s="465"/>
      <c r="BL41" s="465"/>
      <c r="BM41" s="465"/>
      <c r="BN41" s="465"/>
      <c r="BO41" s="465"/>
      <c r="BP41" s="465"/>
      <c r="BQ41" s="465"/>
      <c r="BR41" s="465"/>
      <c r="BS41" s="465"/>
      <c r="BT41" s="465"/>
      <c r="BU41" s="465"/>
      <c r="BV41" s="465"/>
      <c r="BW41" s="465"/>
      <c r="BX41" s="465"/>
      <c r="BY41" s="465"/>
      <c r="BZ41" s="465"/>
      <c r="CA41" s="465"/>
      <c r="CB41" s="465"/>
      <c r="CC41" s="465"/>
      <c r="CD41" s="465"/>
      <c r="CE41" s="465"/>
      <c r="CF41" s="465"/>
      <c r="CG41" s="465"/>
      <c r="CH41" s="465"/>
      <c r="CI41" s="465"/>
      <c r="CJ41" s="465"/>
      <c r="CK41" s="465"/>
      <c r="CL41" s="465"/>
      <c r="CM41" s="465"/>
      <c r="CN41" s="465"/>
      <c r="CO41" s="465"/>
      <c r="CP41" s="465"/>
      <c r="CQ41" s="465"/>
      <c r="CR41" s="465"/>
      <c r="CS41" s="465"/>
      <c r="CT41" s="465"/>
      <c r="CU41" s="465"/>
      <c r="CV41" s="465"/>
      <c r="CW41" s="465"/>
      <c r="CX41" s="465"/>
      <c r="CY41" s="465"/>
      <c r="CZ41" s="465"/>
      <c r="DA41" s="465"/>
      <c r="DB41" s="465"/>
      <c r="DC41" s="465"/>
      <c r="DD41" s="465"/>
      <c r="DE41" s="465"/>
      <c r="DF41" s="465"/>
      <c r="DG41" s="465"/>
      <c r="DH41" s="465"/>
      <c r="DI41" s="465"/>
      <c r="DJ41" s="465"/>
      <c r="DK41" s="465"/>
      <c r="DL41" s="465"/>
      <c r="DM41" s="465"/>
      <c r="DN41" s="465"/>
      <c r="DO41" s="465"/>
      <c r="DP41" s="465"/>
      <c r="DQ41" s="465"/>
      <c r="DR41" s="465"/>
      <c r="DS41" s="465"/>
      <c r="DT41" s="465"/>
      <c r="DU41" s="465"/>
      <c r="DV41" s="465"/>
      <c r="DW41" s="465"/>
      <c r="DX41" s="465"/>
      <c r="DY41" s="465"/>
      <c r="DZ41" s="465"/>
      <c r="EA41" s="465"/>
      <c r="EB41" s="465"/>
      <c r="EC41" s="465"/>
      <c r="ED41" s="465"/>
      <c r="EE41" s="465"/>
      <c r="EF41" s="465"/>
      <c r="EG41" s="465"/>
      <c r="EH41" s="465"/>
      <c r="EI41" s="465"/>
      <c r="EJ41" s="465"/>
      <c r="EK41" s="465"/>
      <c r="EL41" s="465"/>
      <c r="EM41" s="465"/>
      <c r="EN41" s="465"/>
      <c r="EO41" s="465"/>
      <c r="EP41" s="465"/>
      <c r="EQ41" s="465"/>
      <c r="ER41" s="465"/>
      <c r="ES41" s="465"/>
      <c r="ET41" s="465"/>
      <c r="EU41" s="465"/>
      <c r="EV41" s="465"/>
      <c r="EW41" s="465"/>
      <c r="EX41" s="465"/>
      <c r="EY41" s="465"/>
      <c r="EZ41" s="465"/>
      <c r="FA41" s="465"/>
      <c r="FB41" s="465"/>
      <c r="FC41" s="465"/>
      <c r="FD41" s="465"/>
      <c r="FE41" s="465"/>
      <c r="FF41" s="465"/>
      <c r="FG41" s="465"/>
      <c r="FH41" s="465"/>
      <c r="FI41" s="465"/>
      <c r="FJ41" s="465"/>
      <c r="FK41" s="465"/>
      <c r="FL41" s="465"/>
      <c r="FM41" s="465"/>
      <c r="FN41" s="465"/>
      <c r="FO41" s="465"/>
      <c r="FP41" s="465"/>
      <c r="FQ41" s="465"/>
      <c r="FR41" s="465"/>
      <c r="FS41" s="465"/>
      <c r="FT41" s="465"/>
      <c r="FU41" s="465"/>
      <c r="FV41" s="465"/>
      <c r="FW41" s="465"/>
      <c r="FX41" s="465"/>
      <c r="FY41" s="465"/>
      <c r="FZ41" s="465"/>
      <c r="GA41" s="465"/>
      <c r="GB41" s="465"/>
      <c r="GC41" s="465"/>
      <c r="GD41" s="465"/>
      <c r="GE41" s="465"/>
      <c r="GF41" s="465"/>
      <c r="GG41" s="465"/>
      <c r="GH41" s="465"/>
      <c r="GI41" s="465"/>
      <c r="GJ41" s="465"/>
      <c r="GK41" s="465"/>
      <c r="GL41" s="465"/>
      <c r="GM41" s="465"/>
      <c r="GN41" s="465"/>
      <c r="GO41" s="465"/>
      <c r="GP41" s="465"/>
      <c r="GQ41" s="465"/>
      <c r="GR41" s="465"/>
      <c r="GS41" s="465"/>
      <c r="GT41" s="465"/>
      <c r="GU41" s="465"/>
      <c r="GV41" s="465"/>
      <c r="GW41" s="465"/>
      <c r="GX41" s="465"/>
      <c r="GY41" s="465"/>
      <c r="GZ41" s="465"/>
      <c r="HA41" s="465"/>
      <c r="HB41" s="465"/>
      <c r="HC41" s="465"/>
      <c r="HD41" s="465"/>
      <c r="HE41" s="465"/>
      <c r="HF41" s="465"/>
      <c r="HG41" s="465"/>
      <c r="HH41" s="465"/>
      <c r="HI41" s="465"/>
      <c r="HJ41" s="465"/>
      <c r="HK41" s="465"/>
      <c r="HL41" s="465"/>
      <c r="HM41" s="465"/>
      <c r="HN41" s="465"/>
      <c r="HO41" s="465"/>
      <c r="HP41" s="465"/>
      <c r="HQ41" s="465"/>
      <c r="HR41" s="465"/>
      <c r="HS41" s="465"/>
      <c r="HT41" s="465"/>
      <c r="HU41" s="465"/>
      <c r="HV41" s="465"/>
      <c r="HW41" s="465"/>
      <c r="HX41" s="465"/>
      <c r="HY41" s="465"/>
      <c r="HZ41" s="465"/>
      <c r="IA41" s="465"/>
      <c r="IB41" s="465"/>
      <c r="IC41" s="465"/>
      <c r="ID41" s="465"/>
      <c r="IE41" s="465"/>
      <c r="IF41" s="465"/>
      <c r="IG41" s="465"/>
      <c r="IH41" s="465"/>
      <c r="II41" s="465"/>
      <c r="IJ41" s="465"/>
      <c r="IK41" s="465"/>
      <c r="IL41" s="465"/>
      <c r="IM41" s="465"/>
      <c r="IN41" s="465"/>
      <c r="IO41" s="465"/>
      <c r="IP41" s="465"/>
      <c r="IQ41" s="465"/>
      <c r="IR41" s="465"/>
      <c r="IS41" s="465"/>
      <c r="IT41" s="465"/>
    </row>
    <row r="42" spans="1:254" s="131" customFormat="1" ht="29.25" customHeight="1">
      <c r="A42" s="254" t="s">
        <v>2984</v>
      </c>
      <c r="B42" s="286" t="s">
        <v>2985</v>
      </c>
      <c r="C42" s="252"/>
      <c r="D42" s="48"/>
      <c r="E42" s="48" t="s">
        <v>2055</v>
      </c>
      <c r="F42" s="43">
        <v>41317</v>
      </c>
      <c r="G42" s="46"/>
      <c r="H42" s="46"/>
      <c r="I42" s="46" t="s">
        <v>2983</v>
      </c>
      <c r="J42" s="257" t="s">
        <v>1089</v>
      </c>
      <c r="K42" s="193">
        <v>0.92500000000000004</v>
      </c>
      <c r="L42" s="193">
        <f>M42</f>
        <v>2.2283250000000003</v>
      </c>
      <c r="M42" s="130">
        <f>K42*8.76*0.275</f>
        <v>2.2283250000000003</v>
      </c>
      <c r="N42" s="28"/>
      <c r="O42" s="37"/>
      <c r="P42" s="37"/>
      <c r="Q42" s="37"/>
      <c r="R42" s="253">
        <f t="shared" si="0"/>
        <v>2.2283250000000003</v>
      </c>
      <c r="S42" s="266" t="b">
        <v>1</v>
      </c>
      <c r="T42" s="266" t="b">
        <v>0</v>
      </c>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5"/>
      <c r="BW42" s="465"/>
      <c r="BX42" s="465"/>
      <c r="BY42" s="465"/>
      <c r="BZ42" s="465"/>
      <c r="CA42" s="465"/>
      <c r="CB42" s="465"/>
      <c r="CC42" s="465"/>
      <c r="CD42" s="465"/>
      <c r="CE42" s="465"/>
      <c r="CF42" s="465"/>
      <c r="CG42" s="465"/>
      <c r="CH42" s="465"/>
      <c r="CI42" s="465"/>
      <c r="CJ42" s="465"/>
      <c r="CK42" s="465"/>
      <c r="CL42" s="465"/>
      <c r="CM42" s="465"/>
      <c r="CN42" s="465"/>
      <c r="CO42" s="465"/>
      <c r="CP42" s="465"/>
      <c r="CQ42" s="465"/>
      <c r="CR42" s="465"/>
      <c r="CS42" s="465"/>
      <c r="CT42" s="465"/>
      <c r="CU42" s="465"/>
      <c r="CV42" s="465"/>
      <c r="CW42" s="465"/>
      <c r="CX42" s="465"/>
      <c r="CY42" s="465"/>
      <c r="CZ42" s="465"/>
      <c r="DA42" s="465"/>
      <c r="DB42" s="465"/>
      <c r="DC42" s="465"/>
      <c r="DD42" s="465"/>
      <c r="DE42" s="465"/>
      <c r="DF42" s="465"/>
      <c r="DG42" s="465"/>
      <c r="DH42" s="465"/>
      <c r="DI42" s="465"/>
      <c r="DJ42" s="465"/>
      <c r="DK42" s="465"/>
      <c r="DL42" s="465"/>
      <c r="DM42" s="465"/>
      <c r="DN42" s="465"/>
      <c r="DO42" s="465"/>
      <c r="DP42" s="465"/>
      <c r="DQ42" s="465"/>
      <c r="DR42" s="465"/>
      <c r="DS42" s="465"/>
      <c r="DT42" s="465"/>
      <c r="DU42" s="465"/>
      <c r="DV42" s="465"/>
      <c r="DW42" s="465"/>
      <c r="DX42" s="465"/>
      <c r="DY42" s="465"/>
      <c r="DZ42" s="465"/>
      <c r="EA42" s="465"/>
      <c r="EB42" s="465"/>
      <c r="EC42" s="465"/>
      <c r="ED42" s="465"/>
      <c r="EE42" s="465"/>
      <c r="EF42" s="465"/>
      <c r="EG42" s="465"/>
      <c r="EH42" s="465"/>
      <c r="EI42" s="465"/>
      <c r="EJ42" s="465"/>
      <c r="EK42" s="465"/>
      <c r="EL42" s="465"/>
      <c r="EM42" s="465"/>
      <c r="EN42" s="465"/>
      <c r="EO42" s="465"/>
      <c r="EP42" s="465"/>
      <c r="EQ42" s="465"/>
      <c r="ER42" s="465"/>
      <c r="ES42" s="465"/>
      <c r="ET42" s="465"/>
      <c r="EU42" s="465"/>
      <c r="EV42" s="465"/>
      <c r="EW42" s="465"/>
      <c r="EX42" s="465"/>
      <c r="EY42" s="465"/>
      <c r="EZ42" s="465"/>
      <c r="FA42" s="465"/>
      <c r="FB42" s="465"/>
      <c r="FC42" s="465"/>
      <c r="FD42" s="465"/>
      <c r="FE42" s="465"/>
      <c r="FF42" s="465"/>
      <c r="FG42" s="465"/>
      <c r="FH42" s="465"/>
      <c r="FI42" s="465"/>
      <c r="FJ42" s="465"/>
      <c r="FK42" s="465"/>
      <c r="FL42" s="465"/>
      <c r="FM42" s="465"/>
      <c r="FN42" s="465"/>
      <c r="FO42" s="465"/>
      <c r="FP42" s="465"/>
      <c r="FQ42" s="465"/>
      <c r="FR42" s="465"/>
      <c r="FS42" s="465"/>
      <c r="FT42" s="465"/>
      <c r="FU42" s="465"/>
      <c r="FV42" s="465"/>
      <c r="FW42" s="465"/>
      <c r="FX42" s="465"/>
      <c r="FY42" s="465"/>
      <c r="FZ42" s="465"/>
      <c r="GA42" s="465"/>
      <c r="GB42" s="465"/>
      <c r="GC42" s="465"/>
      <c r="GD42" s="465"/>
      <c r="GE42" s="465"/>
      <c r="GF42" s="465"/>
      <c r="GG42" s="465"/>
      <c r="GH42" s="465"/>
      <c r="GI42" s="465"/>
      <c r="GJ42" s="465"/>
      <c r="GK42" s="465"/>
      <c r="GL42" s="465"/>
      <c r="GM42" s="465"/>
      <c r="GN42" s="465"/>
      <c r="GO42" s="465"/>
      <c r="GP42" s="465"/>
      <c r="GQ42" s="465"/>
      <c r="GR42" s="465"/>
      <c r="GS42" s="465"/>
      <c r="GT42" s="465"/>
      <c r="GU42" s="465"/>
      <c r="GV42" s="465"/>
      <c r="GW42" s="465"/>
      <c r="GX42" s="465"/>
      <c r="GY42" s="465"/>
      <c r="GZ42" s="465"/>
      <c r="HA42" s="465"/>
      <c r="HB42" s="465"/>
      <c r="HC42" s="465"/>
      <c r="HD42" s="465"/>
      <c r="HE42" s="465"/>
      <c r="HF42" s="465"/>
      <c r="HG42" s="465"/>
      <c r="HH42" s="465"/>
      <c r="HI42" s="465"/>
      <c r="HJ42" s="465"/>
      <c r="HK42" s="465"/>
      <c r="HL42" s="465"/>
      <c r="HM42" s="465"/>
      <c r="HN42" s="465"/>
      <c r="HO42" s="465"/>
      <c r="HP42" s="465"/>
      <c r="HQ42" s="465"/>
      <c r="HR42" s="465"/>
      <c r="HS42" s="465"/>
      <c r="HT42" s="465"/>
      <c r="HU42" s="465"/>
      <c r="HV42" s="465"/>
      <c r="HW42" s="465"/>
      <c r="HX42" s="465"/>
      <c r="HY42" s="465"/>
      <c r="HZ42" s="465"/>
      <c r="IA42" s="465"/>
      <c r="IB42" s="465"/>
      <c r="IC42" s="465"/>
      <c r="ID42" s="465"/>
      <c r="IE42" s="465"/>
      <c r="IF42" s="465"/>
      <c r="IG42" s="465"/>
      <c r="IH42" s="465"/>
      <c r="II42" s="465"/>
      <c r="IJ42" s="465"/>
      <c r="IK42" s="465"/>
      <c r="IL42" s="465"/>
      <c r="IM42" s="465"/>
      <c r="IN42" s="465"/>
      <c r="IO42" s="465"/>
      <c r="IP42" s="465"/>
      <c r="IQ42" s="465"/>
      <c r="IR42" s="465"/>
      <c r="IS42" s="465"/>
      <c r="IT42" s="465"/>
    </row>
    <row r="43" spans="1:254" s="131" customFormat="1" ht="29.25" customHeight="1">
      <c r="A43" s="469" t="s">
        <v>548</v>
      </c>
      <c r="B43" s="145" t="s">
        <v>466</v>
      </c>
      <c r="C43" s="252"/>
      <c r="D43" s="29" t="s">
        <v>749</v>
      </c>
      <c r="E43" s="29" t="s">
        <v>2986</v>
      </c>
      <c r="F43" s="251">
        <v>39853</v>
      </c>
      <c r="G43" s="27"/>
      <c r="H43" s="27"/>
      <c r="I43" s="27" t="s">
        <v>2946</v>
      </c>
      <c r="J43" s="27" t="s">
        <v>3</v>
      </c>
      <c r="K43" s="192">
        <v>0.7</v>
      </c>
      <c r="L43" s="193">
        <f>M43</f>
        <v>2.5289999999999999</v>
      </c>
      <c r="M43" s="28">
        <v>2.5289999999999999</v>
      </c>
      <c r="N43" s="28">
        <v>4.9055999999999997</v>
      </c>
      <c r="O43" s="28">
        <v>4.9055999999999997</v>
      </c>
      <c r="P43" s="28">
        <v>5.3</v>
      </c>
      <c r="Q43" s="28">
        <v>5.3</v>
      </c>
      <c r="R43" s="253">
        <f t="shared" si="0"/>
        <v>4.2448666666666668</v>
      </c>
      <c r="S43" s="266" t="b">
        <v>1</v>
      </c>
      <c r="T43" s="266" t="b">
        <v>0</v>
      </c>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255"/>
      <c r="DS43" s="255"/>
      <c r="DT43" s="255"/>
      <c r="DU43" s="255"/>
      <c r="DV43" s="255"/>
      <c r="DW43" s="255"/>
      <c r="DX43" s="255"/>
      <c r="DY43" s="255"/>
      <c r="DZ43" s="255"/>
      <c r="EA43" s="255"/>
      <c r="EB43" s="255"/>
      <c r="EC43" s="255"/>
      <c r="ED43" s="255"/>
      <c r="EE43" s="255"/>
      <c r="EF43" s="255"/>
      <c r="EG43" s="255"/>
      <c r="EH43" s="255"/>
      <c r="EI43" s="255"/>
      <c r="EJ43" s="255"/>
      <c r="EK43" s="255"/>
      <c r="EL43" s="255"/>
      <c r="EM43" s="255"/>
      <c r="EN43" s="255"/>
      <c r="EO43" s="255"/>
      <c r="EP43" s="255"/>
      <c r="EQ43" s="255"/>
      <c r="ER43" s="255"/>
      <c r="ES43" s="255"/>
      <c r="ET43" s="255"/>
      <c r="EU43" s="255"/>
      <c r="EV43" s="255"/>
      <c r="EW43" s="255"/>
      <c r="EX43" s="255"/>
      <c r="EY43" s="255"/>
      <c r="EZ43" s="255"/>
      <c r="FA43" s="255"/>
      <c r="FB43" s="255"/>
      <c r="FC43" s="255"/>
      <c r="FD43" s="255"/>
      <c r="FE43" s="255"/>
      <c r="FF43" s="255"/>
      <c r="FG43" s="255"/>
      <c r="FH43" s="255"/>
      <c r="FI43" s="255"/>
      <c r="FJ43" s="255"/>
      <c r="FK43" s="255"/>
      <c r="FL43" s="255"/>
      <c r="FM43" s="255"/>
      <c r="FN43" s="255"/>
      <c r="FO43" s="255"/>
      <c r="FP43" s="255"/>
      <c r="FQ43" s="255"/>
      <c r="FR43" s="255"/>
      <c r="FS43" s="255"/>
      <c r="FT43" s="255"/>
      <c r="FU43" s="255"/>
      <c r="FV43" s="255"/>
      <c r="FW43" s="255"/>
      <c r="FX43" s="255"/>
      <c r="FY43" s="255"/>
      <c r="FZ43" s="255"/>
      <c r="GA43" s="255"/>
      <c r="GB43" s="255"/>
      <c r="GC43" s="255"/>
      <c r="GD43" s="255"/>
      <c r="GE43" s="255"/>
      <c r="GF43" s="255"/>
      <c r="GG43" s="255"/>
      <c r="GH43" s="255"/>
      <c r="GI43" s="255"/>
      <c r="GJ43" s="255"/>
      <c r="GK43" s="255"/>
      <c r="GL43" s="255"/>
      <c r="GM43" s="255"/>
      <c r="GN43" s="255"/>
      <c r="GO43" s="255"/>
      <c r="GP43" s="255"/>
      <c r="GQ43" s="255"/>
      <c r="GR43" s="255"/>
      <c r="GS43" s="255"/>
      <c r="GT43" s="255"/>
      <c r="GU43" s="255"/>
      <c r="GV43" s="255"/>
      <c r="GW43" s="255"/>
      <c r="GX43" s="255"/>
      <c r="GY43" s="255"/>
      <c r="GZ43" s="255"/>
      <c r="HA43" s="255"/>
      <c r="HB43" s="255"/>
      <c r="HC43" s="255"/>
      <c r="HD43" s="255"/>
      <c r="HE43" s="255"/>
      <c r="HF43" s="255"/>
      <c r="HG43" s="255"/>
      <c r="HH43" s="255"/>
      <c r="HI43" s="255"/>
      <c r="HJ43" s="255"/>
      <c r="HK43" s="255"/>
      <c r="HL43" s="255"/>
      <c r="HM43" s="255"/>
      <c r="HN43" s="255"/>
      <c r="HO43" s="255"/>
      <c r="HP43" s="255"/>
      <c r="HQ43" s="255"/>
      <c r="HR43" s="255"/>
      <c r="HS43" s="255"/>
      <c r="HT43" s="255"/>
      <c r="HU43" s="255"/>
      <c r="HV43" s="255"/>
      <c r="HW43" s="255"/>
      <c r="HX43" s="255"/>
      <c r="HY43" s="255"/>
      <c r="HZ43" s="255"/>
      <c r="IA43" s="255"/>
      <c r="IB43" s="255"/>
      <c r="IC43" s="255"/>
      <c r="ID43" s="255"/>
      <c r="IE43" s="255"/>
      <c r="IF43" s="255"/>
      <c r="IG43" s="255"/>
      <c r="IH43" s="255"/>
      <c r="II43" s="255"/>
      <c r="IJ43" s="255"/>
      <c r="IK43" s="255"/>
      <c r="IL43" s="255"/>
      <c r="IM43" s="255"/>
      <c r="IN43" s="255"/>
      <c r="IO43" s="255"/>
      <c r="IP43" s="255"/>
      <c r="IQ43" s="255"/>
      <c r="IR43" s="255"/>
      <c r="IS43" s="255"/>
      <c r="IT43" s="255"/>
    </row>
    <row r="44" spans="1:254" s="131" customFormat="1" ht="29.25" customHeight="1">
      <c r="A44" s="254"/>
      <c r="B44" s="286" t="s">
        <v>2005</v>
      </c>
      <c r="C44" s="252"/>
      <c r="D44" s="48"/>
      <c r="E44" s="48" t="s">
        <v>2006</v>
      </c>
      <c r="F44" s="43">
        <v>40360</v>
      </c>
      <c r="G44" s="46"/>
      <c r="H44" s="46"/>
      <c r="I44" s="46" t="s">
        <v>2983</v>
      </c>
      <c r="J44" s="257" t="s">
        <v>1089</v>
      </c>
      <c r="K44" s="195">
        <v>0.95099999999999996</v>
      </c>
      <c r="L44" s="193">
        <f>M44</f>
        <v>2.2992897600000002</v>
      </c>
      <c r="M44" s="130">
        <f>K44*8.76*0.276</f>
        <v>2.2992897600000002</v>
      </c>
      <c r="N44" s="136"/>
      <c r="O44" s="37"/>
      <c r="P44" s="37"/>
      <c r="Q44" s="37"/>
      <c r="R44" s="253">
        <f t="shared" si="0"/>
        <v>2.2992897600000002</v>
      </c>
      <c r="S44" s="266" t="b">
        <v>1</v>
      </c>
      <c r="T44" s="266" t="b">
        <v>0</v>
      </c>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c r="CH44" s="465"/>
      <c r="CI44" s="465"/>
      <c r="CJ44" s="465"/>
      <c r="CK44" s="465"/>
      <c r="CL44" s="465"/>
      <c r="CM44" s="465"/>
      <c r="CN44" s="465"/>
      <c r="CO44" s="465"/>
      <c r="CP44" s="465"/>
      <c r="CQ44" s="465"/>
      <c r="CR44" s="465"/>
      <c r="CS44" s="465"/>
      <c r="CT44" s="465"/>
      <c r="CU44" s="465"/>
      <c r="CV44" s="465"/>
      <c r="CW44" s="465"/>
      <c r="CX44" s="465"/>
      <c r="CY44" s="465"/>
      <c r="CZ44" s="465"/>
      <c r="DA44" s="465"/>
      <c r="DB44" s="465"/>
      <c r="DC44" s="465"/>
      <c r="DD44" s="465"/>
      <c r="DE44" s="465"/>
      <c r="DF44" s="465"/>
      <c r="DG44" s="465"/>
      <c r="DH44" s="465"/>
      <c r="DI44" s="465"/>
      <c r="DJ44" s="465"/>
      <c r="DK44" s="465"/>
      <c r="DL44" s="465"/>
      <c r="DM44" s="465"/>
      <c r="DN44" s="465"/>
      <c r="DO44" s="465"/>
      <c r="DP44" s="465"/>
      <c r="DQ44" s="465"/>
      <c r="DR44" s="465"/>
      <c r="DS44" s="465"/>
      <c r="DT44" s="465"/>
      <c r="DU44" s="465"/>
      <c r="DV44" s="465"/>
      <c r="DW44" s="465"/>
      <c r="DX44" s="465"/>
      <c r="DY44" s="465"/>
      <c r="DZ44" s="465"/>
      <c r="EA44" s="465"/>
      <c r="EB44" s="465"/>
      <c r="EC44" s="465"/>
      <c r="ED44" s="465"/>
      <c r="EE44" s="465"/>
      <c r="EF44" s="465"/>
      <c r="EG44" s="465"/>
      <c r="EH44" s="465"/>
      <c r="EI44" s="465"/>
      <c r="EJ44" s="465"/>
      <c r="EK44" s="465"/>
      <c r="EL44" s="465"/>
      <c r="EM44" s="465"/>
      <c r="EN44" s="465"/>
      <c r="EO44" s="465"/>
      <c r="EP44" s="465"/>
      <c r="EQ44" s="465"/>
      <c r="ER44" s="465"/>
      <c r="ES44" s="465"/>
      <c r="ET44" s="465"/>
      <c r="EU44" s="465"/>
      <c r="EV44" s="465"/>
      <c r="EW44" s="465"/>
      <c r="EX44" s="465"/>
      <c r="EY44" s="465"/>
      <c r="EZ44" s="465"/>
      <c r="FA44" s="465"/>
      <c r="FB44" s="465"/>
      <c r="FC44" s="465"/>
      <c r="FD44" s="465"/>
      <c r="FE44" s="465"/>
      <c r="FF44" s="465"/>
      <c r="FG44" s="465"/>
      <c r="FH44" s="465"/>
      <c r="FI44" s="465"/>
      <c r="FJ44" s="465"/>
      <c r="FK44" s="465"/>
      <c r="FL44" s="465"/>
      <c r="FM44" s="465"/>
      <c r="FN44" s="465"/>
      <c r="FO44" s="465"/>
      <c r="FP44" s="465"/>
      <c r="FQ44" s="465"/>
      <c r="FR44" s="465"/>
      <c r="FS44" s="465"/>
      <c r="FT44" s="465"/>
      <c r="FU44" s="465"/>
      <c r="FV44" s="465"/>
      <c r="FW44" s="465"/>
      <c r="FX44" s="465"/>
      <c r="FY44" s="465"/>
      <c r="FZ44" s="465"/>
      <c r="GA44" s="465"/>
      <c r="GB44" s="465"/>
      <c r="GC44" s="465"/>
      <c r="GD44" s="465"/>
      <c r="GE44" s="465"/>
      <c r="GF44" s="465"/>
      <c r="GG44" s="465"/>
      <c r="GH44" s="465"/>
      <c r="GI44" s="465"/>
      <c r="GJ44" s="465"/>
      <c r="GK44" s="465"/>
      <c r="GL44" s="465"/>
      <c r="GM44" s="465"/>
      <c r="GN44" s="465"/>
      <c r="GO44" s="465"/>
      <c r="GP44" s="465"/>
      <c r="GQ44" s="465"/>
      <c r="GR44" s="465"/>
      <c r="GS44" s="465"/>
      <c r="GT44" s="465"/>
      <c r="GU44" s="465"/>
      <c r="GV44" s="465"/>
      <c r="GW44" s="465"/>
      <c r="GX44" s="465"/>
      <c r="GY44" s="465"/>
      <c r="GZ44" s="465"/>
      <c r="HA44" s="465"/>
      <c r="HB44" s="465"/>
      <c r="HC44" s="465"/>
      <c r="HD44" s="465"/>
      <c r="HE44" s="465"/>
      <c r="HF44" s="465"/>
      <c r="HG44" s="465"/>
      <c r="HH44" s="465"/>
      <c r="HI44" s="465"/>
      <c r="HJ44" s="465"/>
      <c r="HK44" s="465"/>
      <c r="HL44" s="465"/>
      <c r="HM44" s="465"/>
      <c r="HN44" s="465"/>
      <c r="HO44" s="465"/>
      <c r="HP44" s="465"/>
      <c r="HQ44" s="465"/>
      <c r="HR44" s="465"/>
      <c r="HS44" s="465"/>
      <c r="HT44" s="465"/>
      <c r="HU44" s="465"/>
      <c r="HV44" s="465"/>
      <c r="HW44" s="465"/>
      <c r="HX44" s="465"/>
      <c r="HY44" s="465"/>
      <c r="HZ44" s="465"/>
      <c r="IA44" s="465"/>
      <c r="IB44" s="465"/>
      <c r="IC44" s="465"/>
      <c r="ID44" s="465"/>
      <c r="IE44" s="465"/>
      <c r="IF44" s="465"/>
      <c r="IG44" s="465"/>
      <c r="IH44" s="465"/>
      <c r="II44" s="465"/>
      <c r="IJ44" s="465"/>
      <c r="IK44" s="465"/>
      <c r="IL44" s="465"/>
      <c r="IM44" s="465"/>
      <c r="IN44" s="465"/>
      <c r="IO44" s="465"/>
      <c r="IP44" s="465"/>
      <c r="IQ44" s="465"/>
      <c r="IR44" s="465"/>
      <c r="IS44" s="465"/>
      <c r="IT44" s="465"/>
    </row>
    <row r="45" spans="1:254" s="131" customFormat="1" ht="29.25" customHeight="1">
      <c r="A45" s="254"/>
      <c r="B45" s="286" t="s">
        <v>2198</v>
      </c>
      <c r="C45" s="252"/>
      <c r="D45" s="48"/>
      <c r="E45" s="48" t="s">
        <v>2011</v>
      </c>
      <c r="F45" s="43">
        <v>40360</v>
      </c>
      <c r="G45" s="46"/>
      <c r="H45" s="46"/>
      <c r="I45" s="46" t="s">
        <v>2983</v>
      </c>
      <c r="J45" s="257" t="s">
        <v>1089</v>
      </c>
      <c r="K45" s="193">
        <v>0.95699999999999996</v>
      </c>
      <c r="L45" s="193">
        <f>M45</f>
        <v>2.3137963200000002</v>
      </c>
      <c r="M45" s="130">
        <f>K45*8.76*0.276</f>
        <v>2.3137963200000002</v>
      </c>
      <c r="N45" s="28"/>
      <c r="O45" s="37"/>
      <c r="P45" s="37"/>
      <c r="Q45" s="37"/>
      <c r="R45" s="253">
        <f t="shared" si="0"/>
        <v>2.3137963200000002</v>
      </c>
      <c r="S45" s="266" t="b">
        <v>1</v>
      </c>
      <c r="T45" s="266" t="b">
        <v>0</v>
      </c>
      <c r="U45" s="259"/>
      <c r="V45" s="259"/>
      <c r="W45" s="259"/>
      <c r="X45" s="259"/>
      <c r="Y45" s="259"/>
      <c r="Z45" s="259"/>
      <c r="AA45" s="259"/>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c r="CW45" s="255"/>
      <c r="CX45" s="255"/>
      <c r="CY45" s="255"/>
      <c r="CZ45" s="255"/>
      <c r="DA45" s="255"/>
      <c r="DB45" s="255"/>
      <c r="DC45" s="255"/>
      <c r="DD45" s="255"/>
      <c r="DE45" s="255"/>
      <c r="DF45" s="255"/>
      <c r="DG45" s="255"/>
      <c r="DH45" s="255"/>
      <c r="DI45" s="255"/>
      <c r="DJ45" s="255"/>
      <c r="DK45" s="255"/>
      <c r="DL45" s="255"/>
      <c r="DM45" s="255"/>
      <c r="DN45" s="255"/>
      <c r="DO45" s="255"/>
      <c r="DP45" s="255"/>
      <c r="DQ45" s="255"/>
      <c r="DR45" s="255"/>
      <c r="DS45" s="255"/>
      <c r="DT45" s="255"/>
      <c r="DU45" s="255"/>
      <c r="DV45" s="255"/>
      <c r="DW45" s="255"/>
      <c r="DX45" s="255"/>
      <c r="DY45" s="255"/>
      <c r="DZ45" s="255"/>
      <c r="EA45" s="255"/>
      <c r="EB45" s="255"/>
      <c r="EC45" s="255"/>
      <c r="ED45" s="255"/>
      <c r="EE45" s="255"/>
      <c r="EF45" s="255"/>
      <c r="EG45" s="255"/>
      <c r="EH45" s="255"/>
      <c r="EI45" s="255"/>
      <c r="EJ45" s="255"/>
      <c r="EK45" s="255"/>
      <c r="EL45" s="255"/>
      <c r="EM45" s="255"/>
      <c r="EN45" s="255"/>
      <c r="EO45" s="255"/>
      <c r="EP45" s="255"/>
      <c r="EQ45" s="255"/>
      <c r="ER45" s="255"/>
      <c r="ES45" s="255"/>
      <c r="ET45" s="255"/>
      <c r="EU45" s="255"/>
      <c r="EV45" s="255"/>
      <c r="EW45" s="255"/>
      <c r="EX45" s="255"/>
      <c r="EY45" s="255"/>
      <c r="EZ45" s="255"/>
      <c r="FA45" s="255"/>
      <c r="FB45" s="255"/>
      <c r="FC45" s="255"/>
      <c r="FD45" s="255"/>
      <c r="FE45" s="255"/>
      <c r="FF45" s="255"/>
      <c r="FG45" s="255"/>
      <c r="FH45" s="255"/>
      <c r="FI45" s="255"/>
      <c r="FJ45" s="255"/>
      <c r="FK45" s="255"/>
      <c r="FL45" s="255"/>
      <c r="FM45" s="255"/>
      <c r="FN45" s="255"/>
      <c r="FO45" s="255"/>
      <c r="FP45" s="255"/>
      <c r="FQ45" s="255"/>
      <c r="FR45" s="255"/>
      <c r="FS45" s="255"/>
      <c r="FT45" s="255"/>
      <c r="FU45" s="255"/>
      <c r="FV45" s="255"/>
      <c r="FW45" s="255"/>
      <c r="FX45" s="255"/>
      <c r="FY45" s="255"/>
      <c r="FZ45" s="255"/>
      <c r="GA45" s="255"/>
      <c r="GB45" s="255"/>
      <c r="GC45" s="255"/>
      <c r="GD45" s="255"/>
      <c r="GE45" s="255"/>
      <c r="GF45" s="255"/>
      <c r="GG45" s="255"/>
      <c r="GH45" s="255"/>
      <c r="GI45" s="255"/>
      <c r="GJ45" s="255"/>
      <c r="GK45" s="255"/>
      <c r="GL45" s="255"/>
      <c r="GM45" s="255"/>
      <c r="GN45" s="255"/>
      <c r="GO45" s="255"/>
      <c r="GP45" s="255"/>
      <c r="GQ45" s="255"/>
      <c r="GR45" s="255"/>
      <c r="GS45" s="255"/>
      <c r="GT45" s="255"/>
      <c r="GU45" s="255"/>
      <c r="GV45" s="255"/>
      <c r="GW45" s="255"/>
      <c r="GX45" s="255"/>
      <c r="GY45" s="255"/>
      <c r="GZ45" s="255"/>
      <c r="HA45" s="255"/>
      <c r="HB45" s="255"/>
      <c r="HC45" s="255"/>
      <c r="HD45" s="255"/>
      <c r="HE45" s="255"/>
      <c r="HF45" s="255"/>
      <c r="HG45" s="255"/>
      <c r="HH45" s="255"/>
      <c r="HI45" s="255"/>
      <c r="HJ45" s="255"/>
      <c r="HK45" s="255"/>
      <c r="HL45" s="255"/>
      <c r="HM45" s="255"/>
      <c r="HN45" s="255"/>
      <c r="HO45" s="255"/>
      <c r="HP45" s="255"/>
      <c r="HQ45" s="255"/>
      <c r="HR45" s="255"/>
      <c r="HS45" s="255"/>
      <c r="HT45" s="255"/>
      <c r="HU45" s="255"/>
      <c r="HV45" s="255"/>
      <c r="HW45" s="255"/>
      <c r="HX45" s="255"/>
      <c r="HY45" s="255"/>
      <c r="HZ45" s="255"/>
      <c r="IA45" s="255"/>
      <c r="IB45" s="255"/>
      <c r="IC45" s="255"/>
      <c r="ID45" s="255"/>
      <c r="IE45" s="255"/>
      <c r="IF45" s="255"/>
      <c r="IG45" s="255"/>
      <c r="IH45" s="255"/>
      <c r="II45" s="255"/>
      <c r="IJ45" s="255"/>
      <c r="IK45" s="255"/>
      <c r="IL45" s="255"/>
      <c r="IM45" s="255"/>
      <c r="IN45" s="255"/>
      <c r="IO45" s="255"/>
      <c r="IP45" s="255"/>
      <c r="IQ45" s="255"/>
      <c r="IR45" s="255"/>
      <c r="IS45" s="255"/>
      <c r="IT45" s="255"/>
    </row>
    <row r="46" spans="1:254" s="131" customFormat="1" ht="29.25" customHeight="1">
      <c r="A46" s="145" t="s">
        <v>98</v>
      </c>
      <c r="B46" s="145" t="s">
        <v>1948</v>
      </c>
      <c r="C46" s="252"/>
      <c r="D46" s="29"/>
      <c r="E46" s="29" t="s">
        <v>1950</v>
      </c>
      <c r="F46" s="43">
        <v>39801</v>
      </c>
      <c r="G46" s="27" t="s">
        <v>5149</v>
      </c>
      <c r="H46" s="27"/>
      <c r="I46" s="27" t="s">
        <v>2946</v>
      </c>
      <c r="J46" s="257" t="s">
        <v>1089</v>
      </c>
      <c r="K46" s="192">
        <v>0.97499999999999998</v>
      </c>
      <c r="L46" s="192">
        <v>0.59287000000000001</v>
      </c>
      <c r="M46" s="130">
        <v>1.9503249999999999</v>
      </c>
      <c r="N46" s="28"/>
      <c r="O46" s="29"/>
      <c r="P46" s="28"/>
      <c r="Q46" s="28"/>
      <c r="R46" s="253">
        <f t="shared" si="0"/>
        <v>1.2715974999999999</v>
      </c>
      <c r="S46" s="266" t="b">
        <v>1</v>
      </c>
      <c r="T46" s="266" t="b">
        <v>0</v>
      </c>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P46" s="255"/>
      <c r="CQ46" s="255"/>
      <c r="CR46" s="255"/>
      <c r="CS46" s="255"/>
      <c r="CT46" s="255"/>
      <c r="CU46" s="255"/>
      <c r="CV46" s="255"/>
      <c r="CW46" s="255"/>
      <c r="CX46" s="255"/>
      <c r="CY46" s="255"/>
      <c r="CZ46" s="255"/>
      <c r="DA46" s="255"/>
      <c r="DB46" s="255"/>
      <c r="DC46" s="255"/>
      <c r="DD46" s="255"/>
      <c r="DE46" s="255"/>
      <c r="DF46" s="255"/>
      <c r="DG46" s="255"/>
      <c r="DH46" s="255"/>
      <c r="DI46" s="255"/>
      <c r="DJ46" s="255"/>
      <c r="DK46" s="255"/>
      <c r="DL46" s="255"/>
      <c r="DM46" s="255"/>
      <c r="DN46" s="255"/>
      <c r="DO46" s="255"/>
      <c r="DP46" s="255"/>
      <c r="DQ46" s="255"/>
      <c r="DR46" s="255"/>
      <c r="DS46" s="255"/>
      <c r="DT46" s="255"/>
      <c r="DU46" s="255"/>
      <c r="DV46" s="255"/>
      <c r="DW46" s="255"/>
      <c r="DX46" s="255"/>
      <c r="DY46" s="255"/>
      <c r="DZ46" s="255"/>
      <c r="EA46" s="255"/>
      <c r="EB46" s="255"/>
      <c r="EC46" s="255"/>
      <c r="ED46" s="255"/>
      <c r="EE46" s="255"/>
      <c r="EF46" s="255"/>
      <c r="EG46" s="255"/>
      <c r="EH46" s="255"/>
      <c r="EI46" s="255"/>
      <c r="EJ46" s="255"/>
      <c r="EK46" s="255"/>
      <c r="EL46" s="255"/>
      <c r="EM46" s="255"/>
      <c r="EN46" s="255"/>
      <c r="EO46" s="255"/>
      <c r="EP46" s="255"/>
      <c r="EQ46" s="255"/>
      <c r="ER46" s="255"/>
      <c r="ES46" s="255"/>
      <c r="ET46" s="255"/>
      <c r="EU46" s="255"/>
      <c r="EV46" s="255"/>
      <c r="EW46" s="255"/>
      <c r="EX46" s="255"/>
      <c r="EY46" s="255"/>
      <c r="EZ46" s="255"/>
      <c r="FA46" s="255"/>
      <c r="FB46" s="255"/>
      <c r="FC46" s="255"/>
      <c r="FD46" s="255"/>
      <c r="FE46" s="255"/>
      <c r="FF46" s="255"/>
      <c r="FG46" s="255"/>
      <c r="FH46" s="255"/>
      <c r="FI46" s="255"/>
      <c r="FJ46" s="255"/>
      <c r="FK46" s="255"/>
      <c r="FL46" s="255"/>
      <c r="FM46" s="255"/>
      <c r="FN46" s="255"/>
      <c r="FO46" s="255"/>
      <c r="FP46" s="255"/>
      <c r="FQ46" s="255"/>
      <c r="FR46" s="255"/>
      <c r="FS46" s="255"/>
      <c r="FT46" s="255"/>
      <c r="FU46" s="255"/>
      <c r="FV46" s="255"/>
      <c r="FW46" s="255"/>
      <c r="FX46" s="255"/>
      <c r="FY46" s="255"/>
      <c r="FZ46" s="255"/>
      <c r="GA46" s="255"/>
      <c r="GB46" s="255"/>
      <c r="GC46" s="255"/>
      <c r="GD46" s="255"/>
      <c r="GE46" s="255"/>
      <c r="GF46" s="255"/>
      <c r="GG46" s="255"/>
      <c r="GH46" s="255"/>
      <c r="GI46" s="255"/>
      <c r="GJ46" s="255"/>
      <c r="GK46" s="255"/>
      <c r="GL46" s="255"/>
      <c r="GM46" s="255"/>
      <c r="GN46" s="255"/>
      <c r="GO46" s="255"/>
      <c r="GP46" s="255"/>
      <c r="GQ46" s="255"/>
      <c r="GR46" s="255"/>
      <c r="GS46" s="255"/>
      <c r="GT46" s="255"/>
      <c r="GU46" s="255"/>
      <c r="GV46" s="255"/>
      <c r="GW46" s="255"/>
      <c r="GX46" s="255"/>
      <c r="GY46" s="255"/>
      <c r="GZ46" s="255"/>
      <c r="HA46" s="255"/>
      <c r="HB46" s="255"/>
      <c r="HC46" s="255"/>
      <c r="HD46" s="255"/>
      <c r="HE46" s="255"/>
      <c r="HF46" s="255"/>
      <c r="HG46" s="255"/>
      <c r="HH46" s="255"/>
      <c r="HI46" s="255"/>
      <c r="HJ46" s="255"/>
      <c r="HK46" s="255"/>
      <c r="HL46" s="255"/>
      <c r="HM46" s="255"/>
      <c r="HN46" s="255"/>
      <c r="HO46" s="255"/>
      <c r="HP46" s="255"/>
      <c r="HQ46" s="255"/>
      <c r="HR46" s="255"/>
      <c r="HS46" s="255"/>
      <c r="HT46" s="255"/>
      <c r="HU46" s="255"/>
      <c r="HV46" s="255"/>
      <c r="HW46" s="255"/>
      <c r="HX46" s="255"/>
      <c r="HY46" s="255"/>
      <c r="HZ46" s="255"/>
      <c r="IA46" s="255"/>
      <c r="IB46" s="255"/>
      <c r="IC46" s="255"/>
      <c r="ID46" s="255"/>
      <c r="IE46" s="255"/>
      <c r="IF46" s="255"/>
      <c r="IG46" s="255"/>
      <c r="IH46" s="255"/>
      <c r="II46" s="255"/>
      <c r="IJ46" s="255"/>
      <c r="IK46" s="255"/>
      <c r="IL46" s="255"/>
      <c r="IM46" s="255"/>
      <c r="IN46" s="255"/>
      <c r="IO46" s="255"/>
      <c r="IP46" s="255"/>
      <c r="IQ46" s="255"/>
      <c r="IR46" s="255"/>
      <c r="IS46" s="255"/>
      <c r="IT46" s="255"/>
    </row>
    <row r="47" spans="1:254" s="131" customFormat="1" ht="29.25" customHeight="1">
      <c r="A47" s="145" t="s">
        <v>98</v>
      </c>
      <c r="B47" s="145" t="s">
        <v>1949</v>
      </c>
      <c r="C47" s="252"/>
      <c r="D47" s="29"/>
      <c r="E47" s="29" t="s">
        <v>1951</v>
      </c>
      <c r="F47" s="43">
        <v>40177</v>
      </c>
      <c r="G47" s="27" t="s">
        <v>5149</v>
      </c>
      <c r="H47" s="27"/>
      <c r="I47" s="27" t="s">
        <v>2946</v>
      </c>
      <c r="J47" s="257" t="s">
        <v>1089</v>
      </c>
      <c r="K47" s="192">
        <v>0.99950000000000006</v>
      </c>
      <c r="L47" s="192">
        <v>0.59287000000000001</v>
      </c>
      <c r="M47" s="130">
        <v>1.9723249999999999</v>
      </c>
      <c r="N47" s="28"/>
      <c r="O47" s="29"/>
      <c r="P47" s="28"/>
      <c r="Q47" s="28"/>
      <c r="R47" s="253">
        <f t="shared" si="0"/>
        <v>1.2825975000000001</v>
      </c>
      <c r="S47" s="266" t="b">
        <v>1</v>
      </c>
      <c r="T47" s="266" t="b">
        <v>0</v>
      </c>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EK47" s="255"/>
      <c r="EL47" s="255"/>
      <c r="EM47" s="255"/>
      <c r="EN47" s="255"/>
      <c r="EO47" s="255"/>
      <c r="EP47" s="255"/>
      <c r="EQ47" s="255"/>
      <c r="ER47" s="255"/>
      <c r="ES47" s="255"/>
      <c r="ET47" s="255"/>
      <c r="EU47" s="255"/>
      <c r="EV47" s="255"/>
      <c r="EW47" s="255"/>
      <c r="EX47" s="255"/>
      <c r="EY47" s="255"/>
      <c r="EZ47" s="255"/>
      <c r="FA47" s="255"/>
      <c r="FB47" s="255"/>
      <c r="FC47" s="255"/>
      <c r="FD47" s="255"/>
      <c r="FE47" s="255"/>
      <c r="FF47" s="255"/>
      <c r="FG47" s="255"/>
      <c r="FH47" s="255"/>
      <c r="FI47" s="255"/>
      <c r="FJ47" s="255"/>
      <c r="FK47" s="255"/>
      <c r="FL47" s="255"/>
      <c r="FM47" s="255"/>
      <c r="FN47" s="255"/>
      <c r="FO47" s="255"/>
      <c r="FP47" s="255"/>
      <c r="FQ47" s="255"/>
      <c r="FR47" s="255"/>
      <c r="FS47" s="255"/>
      <c r="FT47" s="255"/>
      <c r="FU47" s="255"/>
      <c r="FV47" s="255"/>
      <c r="FW47" s="255"/>
      <c r="FX47" s="255"/>
      <c r="FY47" s="255"/>
      <c r="FZ47" s="255"/>
      <c r="GA47" s="255"/>
      <c r="GB47" s="255"/>
      <c r="GC47" s="255"/>
      <c r="GD47" s="255"/>
      <c r="GE47" s="255"/>
      <c r="GF47" s="255"/>
      <c r="GG47" s="255"/>
      <c r="GH47" s="255"/>
      <c r="GI47" s="255"/>
      <c r="GJ47" s="255"/>
      <c r="GK47" s="255"/>
      <c r="GL47" s="255"/>
      <c r="GM47" s="255"/>
      <c r="GN47" s="255"/>
      <c r="GO47" s="255"/>
      <c r="GP47" s="255"/>
      <c r="GQ47" s="255"/>
      <c r="GR47" s="255"/>
      <c r="GS47" s="255"/>
      <c r="GT47" s="255"/>
      <c r="GU47" s="255"/>
      <c r="GV47" s="255"/>
      <c r="GW47" s="255"/>
      <c r="GX47" s="255"/>
      <c r="GY47" s="255"/>
      <c r="GZ47" s="255"/>
      <c r="HA47" s="255"/>
      <c r="HB47" s="255"/>
      <c r="HC47" s="255"/>
      <c r="HD47" s="255"/>
      <c r="HE47" s="255"/>
      <c r="HF47" s="255"/>
      <c r="HG47" s="255"/>
      <c r="HH47" s="255"/>
      <c r="HI47" s="255"/>
      <c r="HJ47" s="255"/>
      <c r="HK47" s="255"/>
      <c r="HL47" s="255"/>
      <c r="HM47" s="255"/>
      <c r="HN47" s="255"/>
      <c r="HO47" s="255"/>
      <c r="HP47" s="255"/>
      <c r="HQ47" s="255"/>
      <c r="HR47" s="255"/>
      <c r="HS47" s="255"/>
      <c r="HT47" s="255"/>
      <c r="HU47" s="255"/>
      <c r="HV47" s="255"/>
      <c r="HW47" s="255"/>
      <c r="HX47" s="255"/>
      <c r="HY47" s="255"/>
      <c r="HZ47" s="255"/>
      <c r="IA47" s="255"/>
      <c r="IB47" s="255"/>
      <c r="IC47" s="255"/>
      <c r="ID47" s="255"/>
      <c r="IE47" s="255"/>
      <c r="IF47" s="255"/>
      <c r="IG47" s="255"/>
      <c r="IH47" s="255"/>
      <c r="II47" s="255"/>
      <c r="IJ47" s="255"/>
      <c r="IK47" s="255"/>
      <c r="IL47" s="255"/>
      <c r="IM47" s="255"/>
      <c r="IN47" s="255"/>
      <c r="IO47" s="255"/>
      <c r="IP47" s="255"/>
      <c r="IQ47" s="255"/>
      <c r="IR47" s="255"/>
      <c r="IS47" s="255"/>
      <c r="IT47" s="255"/>
    </row>
    <row r="48" spans="1:254" s="131" customFormat="1" ht="29.25" customHeight="1">
      <c r="A48" s="145"/>
      <c r="B48" s="145" t="s">
        <v>5311</v>
      </c>
      <c r="C48" s="252"/>
      <c r="D48" s="29"/>
      <c r="E48" s="29" t="s">
        <v>5312</v>
      </c>
      <c r="F48" s="43"/>
      <c r="G48" s="27"/>
      <c r="H48" s="27"/>
      <c r="I48" s="27" t="s">
        <v>2946</v>
      </c>
      <c r="J48" s="257" t="s">
        <v>1089</v>
      </c>
      <c r="K48" s="192">
        <v>0.22500000000000001</v>
      </c>
      <c r="L48" s="192">
        <v>0.34399999999999997</v>
      </c>
      <c r="M48" s="130"/>
      <c r="N48" s="28"/>
      <c r="O48" s="29"/>
      <c r="P48" s="28"/>
      <c r="Q48" s="28"/>
      <c r="R48" s="253">
        <f t="shared" si="0"/>
        <v>0.34399999999999997</v>
      </c>
      <c r="S48" s="266" t="b">
        <v>1</v>
      </c>
      <c r="T48" s="266" t="b">
        <v>0</v>
      </c>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c r="FT48" s="255"/>
      <c r="FU48" s="255"/>
      <c r="FV48" s="255"/>
      <c r="FW48" s="255"/>
      <c r="FX48" s="255"/>
      <c r="FY48" s="255"/>
      <c r="FZ48" s="255"/>
      <c r="GA48" s="255"/>
      <c r="GB48" s="255"/>
      <c r="GC48" s="255"/>
      <c r="GD48" s="255"/>
      <c r="GE48" s="255"/>
      <c r="GF48" s="255"/>
      <c r="GG48" s="255"/>
      <c r="GH48" s="255"/>
      <c r="GI48" s="255"/>
      <c r="GJ48" s="255"/>
      <c r="GK48" s="255"/>
      <c r="GL48" s="255"/>
      <c r="GM48" s="255"/>
      <c r="GN48" s="255"/>
      <c r="GO48" s="255"/>
      <c r="GP48" s="255"/>
      <c r="GQ48" s="255"/>
      <c r="GR48" s="255"/>
      <c r="GS48" s="255"/>
      <c r="GT48" s="255"/>
      <c r="GU48" s="255"/>
      <c r="GV48" s="255"/>
      <c r="GW48" s="255"/>
      <c r="GX48" s="255"/>
      <c r="GY48" s="255"/>
      <c r="GZ48" s="255"/>
      <c r="HA48" s="255"/>
      <c r="HB48" s="255"/>
      <c r="HC48" s="255"/>
      <c r="HD48" s="255"/>
      <c r="HE48" s="255"/>
      <c r="HF48" s="255"/>
      <c r="HG48" s="255"/>
      <c r="HH48" s="255"/>
      <c r="HI48" s="255"/>
      <c r="HJ48" s="255"/>
      <c r="HK48" s="255"/>
      <c r="HL48" s="255"/>
      <c r="HM48" s="255"/>
      <c r="HN48" s="255"/>
      <c r="HO48" s="255"/>
      <c r="HP48" s="255"/>
      <c r="HQ48" s="255"/>
      <c r="HR48" s="255"/>
      <c r="HS48" s="255"/>
      <c r="HT48" s="255"/>
      <c r="HU48" s="255"/>
      <c r="HV48" s="255"/>
      <c r="HW48" s="255"/>
      <c r="HX48" s="255"/>
      <c r="HY48" s="255"/>
      <c r="HZ48" s="255"/>
      <c r="IA48" s="255"/>
      <c r="IB48" s="255"/>
      <c r="IC48" s="255"/>
      <c r="ID48" s="255"/>
      <c r="IE48" s="255"/>
      <c r="IF48" s="255"/>
      <c r="IG48" s="255"/>
      <c r="IH48" s="255"/>
      <c r="II48" s="255"/>
      <c r="IJ48" s="255"/>
      <c r="IK48" s="255"/>
      <c r="IL48" s="255"/>
      <c r="IM48" s="255"/>
      <c r="IN48" s="255"/>
      <c r="IO48" s="255"/>
      <c r="IP48" s="255"/>
      <c r="IQ48" s="255"/>
      <c r="IR48" s="255"/>
      <c r="IS48" s="255"/>
      <c r="IT48" s="255"/>
    </row>
    <row r="49" spans="1:254" s="131" customFormat="1" ht="29.25" customHeight="1">
      <c r="A49" s="145" t="s">
        <v>1565</v>
      </c>
      <c r="B49" s="145" t="s">
        <v>4277</v>
      </c>
      <c r="C49" s="252"/>
      <c r="D49" s="29" t="s">
        <v>4276</v>
      </c>
      <c r="E49" s="29" t="s">
        <v>5206</v>
      </c>
      <c r="F49" s="43">
        <v>40295</v>
      </c>
      <c r="G49" s="27" t="s">
        <v>5130</v>
      </c>
      <c r="H49" s="27"/>
      <c r="I49" s="27" t="s">
        <v>2946</v>
      </c>
      <c r="J49" s="257" t="s">
        <v>1089</v>
      </c>
      <c r="K49" s="192">
        <v>6.5000000000000002E-2</v>
      </c>
      <c r="L49" s="192">
        <v>0.11457199999999999</v>
      </c>
      <c r="M49" s="130"/>
      <c r="N49" s="28"/>
      <c r="O49" s="29"/>
      <c r="P49" s="28"/>
      <c r="Q49" s="28"/>
      <c r="R49" s="253">
        <f t="shared" si="0"/>
        <v>0.11457199999999999</v>
      </c>
      <c r="S49" s="266" t="b">
        <v>1</v>
      </c>
      <c r="T49" s="266" t="b">
        <v>0</v>
      </c>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EK49" s="255"/>
      <c r="EL49" s="255"/>
      <c r="EM49" s="255"/>
      <c r="EN49" s="255"/>
      <c r="EO49" s="255"/>
      <c r="EP49" s="255"/>
      <c r="EQ49" s="255"/>
      <c r="ER49" s="255"/>
      <c r="ES49" s="255"/>
      <c r="ET49" s="255"/>
      <c r="EU49" s="255"/>
      <c r="EV49" s="255"/>
      <c r="EW49" s="255"/>
      <c r="EX49" s="255"/>
      <c r="EY49" s="255"/>
      <c r="EZ49" s="255"/>
      <c r="FA49" s="255"/>
      <c r="FB49" s="255"/>
      <c r="FC49" s="255"/>
      <c r="FD49" s="255"/>
      <c r="FE49" s="255"/>
      <c r="FF49" s="255"/>
      <c r="FG49" s="255"/>
      <c r="FH49" s="255"/>
      <c r="FI49" s="255"/>
      <c r="FJ49" s="255"/>
      <c r="FK49" s="255"/>
      <c r="FL49" s="255"/>
      <c r="FM49" s="255"/>
      <c r="FN49" s="255"/>
      <c r="FO49" s="255"/>
      <c r="FP49" s="255"/>
      <c r="FQ49" s="255"/>
      <c r="FR49" s="255"/>
      <c r="FS49" s="255"/>
      <c r="FT49" s="255"/>
      <c r="FU49" s="255"/>
      <c r="FV49" s="255"/>
      <c r="FW49" s="255"/>
      <c r="FX49" s="255"/>
      <c r="FY49" s="255"/>
      <c r="FZ49" s="255"/>
      <c r="GA49" s="255"/>
      <c r="GB49" s="255"/>
      <c r="GC49" s="255"/>
      <c r="GD49" s="255"/>
      <c r="GE49" s="255"/>
      <c r="GF49" s="255"/>
      <c r="GG49" s="255"/>
      <c r="GH49" s="255"/>
      <c r="GI49" s="255"/>
      <c r="GJ49" s="255"/>
      <c r="GK49" s="255"/>
      <c r="GL49" s="255"/>
      <c r="GM49" s="255"/>
      <c r="GN49" s="255"/>
      <c r="GO49" s="255"/>
      <c r="GP49" s="255"/>
      <c r="GQ49" s="255"/>
      <c r="GR49" s="255"/>
      <c r="GS49" s="255"/>
      <c r="GT49" s="255"/>
      <c r="GU49" s="255"/>
      <c r="GV49" s="255"/>
      <c r="GW49" s="255"/>
      <c r="GX49" s="255"/>
      <c r="GY49" s="255"/>
      <c r="GZ49" s="255"/>
      <c r="HA49" s="255"/>
      <c r="HB49" s="255"/>
      <c r="HC49" s="255"/>
      <c r="HD49" s="255"/>
      <c r="HE49" s="255"/>
      <c r="HF49" s="255"/>
      <c r="HG49" s="255"/>
      <c r="HH49" s="255"/>
      <c r="HI49" s="255"/>
      <c r="HJ49" s="255"/>
      <c r="HK49" s="255"/>
      <c r="HL49" s="255"/>
      <c r="HM49" s="255"/>
      <c r="HN49" s="255"/>
      <c r="HO49" s="255"/>
      <c r="HP49" s="255"/>
      <c r="HQ49" s="255"/>
      <c r="HR49" s="255"/>
      <c r="HS49" s="255"/>
      <c r="HT49" s="255"/>
      <c r="HU49" s="255"/>
      <c r="HV49" s="255"/>
      <c r="HW49" s="255"/>
      <c r="HX49" s="255"/>
      <c r="HY49" s="255"/>
      <c r="HZ49" s="255"/>
      <c r="IA49" s="255"/>
      <c r="IB49" s="255"/>
      <c r="IC49" s="255"/>
      <c r="ID49" s="255"/>
      <c r="IE49" s="255"/>
      <c r="IF49" s="255"/>
      <c r="IG49" s="255"/>
      <c r="IH49" s="255"/>
      <c r="II49" s="255"/>
      <c r="IJ49" s="255"/>
      <c r="IK49" s="255"/>
      <c r="IL49" s="255"/>
      <c r="IM49" s="255"/>
      <c r="IN49" s="255"/>
      <c r="IO49" s="255"/>
      <c r="IP49" s="255"/>
      <c r="IQ49" s="255"/>
      <c r="IR49" s="255"/>
      <c r="IS49" s="255"/>
      <c r="IT49" s="255"/>
    </row>
    <row r="50" spans="1:254" s="131" customFormat="1" ht="29.25" customHeight="1">
      <c r="A50" s="145" t="s">
        <v>65</v>
      </c>
      <c r="B50" s="145" t="s">
        <v>77</v>
      </c>
      <c r="C50" s="252"/>
      <c r="D50" s="250" t="s">
        <v>741</v>
      </c>
      <c r="E50" s="250" t="s">
        <v>2987</v>
      </c>
      <c r="F50" s="251"/>
      <c r="G50" s="27"/>
      <c r="H50" s="27"/>
      <c r="I50" s="27" t="s">
        <v>2946</v>
      </c>
      <c r="J50" s="27" t="s">
        <v>1089</v>
      </c>
      <c r="K50" s="192">
        <v>0.2</v>
      </c>
      <c r="L50" s="192">
        <v>0.48</v>
      </c>
      <c r="M50" s="130">
        <v>0.36199999999999999</v>
      </c>
      <c r="N50" s="28">
        <v>4.4999999999999998E-2</v>
      </c>
      <c r="O50" s="29">
        <v>0.126</v>
      </c>
      <c r="P50" s="28">
        <v>0.34300000000000003</v>
      </c>
      <c r="Q50" s="28">
        <v>0.27100000000000002</v>
      </c>
      <c r="R50" s="253">
        <f t="shared" si="0"/>
        <v>0.27116666666666661</v>
      </c>
      <c r="S50" s="266" t="b">
        <v>1</v>
      </c>
      <c r="T50" s="266" t="b">
        <v>0</v>
      </c>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P50" s="255"/>
      <c r="CQ50" s="255"/>
      <c r="CR50" s="255"/>
      <c r="CS50" s="255"/>
      <c r="CT50" s="255"/>
      <c r="CU50" s="255"/>
      <c r="CV50" s="255"/>
      <c r="CW50" s="255"/>
      <c r="CX50" s="255"/>
      <c r="CY50" s="255"/>
      <c r="CZ50" s="255"/>
      <c r="DA50" s="255"/>
      <c r="DB50" s="255"/>
      <c r="DC50" s="255"/>
      <c r="DD50" s="255"/>
      <c r="DE50" s="255"/>
      <c r="DF50" s="255"/>
      <c r="DG50" s="255"/>
      <c r="DH50" s="255"/>
      <c r="DI50" s="255"/>
      <c r="DJ50" s="255"/>
      <c r="DK50" s="255"/>
      <c r="DL50" s="255"/>
      <c r="DM50" s="255"/>
      <c r="DN50" s="255"/>
      <c r="DO50" s="255"/>
      <c r="DP50" s="255"/>
      <c r="DQ50" s="255"/>
      <c r="DR50" s="255"/>
      <c r="DS50" s="255"/>
      <c r="DT50" s="255"/>
      <c r="DU50" s="255"/>
      <c r="DV50" s="255"/>
      <c r="DW50" s="255"/>
      <c r="DX50" s="255"/>
      <c r="DY50" s="255"/>
      <c r="DZ50" s="255"/>
      <c r="EA50" s="255"/>
      <c r="EB50" s="255"/>
      <c r="EC50" s="255"/>
      <c r="ED50" s="255"/>
      <c r="EE50" s="255"/>
      <c r="EF50" s="255"/>
      <c r="EG50" s="255"/>
      <c r="EH50" s="255"/>
      <c r="EI50" s="255"/>
      <c r="EJ50" s="255"/>
      <c r="EK50" s="255"/>
      <c r="EL50" s="255"/>
      <c r="EM50" s="255"/>
      <c r="EN50" s="255"/>
      <c r="EO50" s="255"/>
      <c r="EP50" s="255"/>
      <c r="EQ50" s="255"/>
      <c r="ER50" s="255"/>
      <c r="ES50" s="255"/>
      <c r="ET50" s="255"/>
      <c r="EU50" s="255"/>
      <c r="EV50" s="255"/>
      <c r="EW50" s="255"/>
      <c r="EX50" s="255"/>
      <c r="EY50" s="255"/>
      <c r="EZ50" s="255"/>
      <c r="FA50" s="255"/>
      <c r="FB50" s="255"/>
      <c r="FC50" s="255"/>
      <c r="FD50" s="255"/>
      <c r="FE50" s="255"/>
      <c r="FF50" s="255"/>
      <c r="FG50" s="255"/>
      <c r="FH50" s="255"/>
      <c r="FI50" s="255"/>
      <c r="FJ50" s="255"/>
      <c r="FK50" s="255"/>
      <c r="FL50" s="255"/>
      <c r="FM50" s="255"/>
      <c r="FN50" s="255"/>
      <c r="FO50" s="255"/>
      <c r="FP50" s="255"/>
      <c r="FQ50" s="255"/>
      <c r="FR50" s="255"/>
      <c r="FS50" s="255"/>
      <c r="FT50" s="255"/>
      <c r="FU50" s="255"/>
      <c r="FV50" s="255"/>
      <c r="FW50" s="255"/>
      <c r="FX50" s="255"/>
      <c r="FY50" s="255"/>
      <c r="FZ50" s="255"/>
      <c r="GA50" s="255"/>
      <c r="GB50" s="255"/>
      <c r="GC50" s="255"/>
      <c r="GD50" s="255"/>
      <c r="GE50" s="255"/>
      <c r="GF50" s="255"/>
      <c r="GG50" s="255"/>
      <c r="GH50" s="255"/>
      <c r="GI50" s="255"/>
      <c r="GJ50" s="255"/>
      <c r="GK50" s="255"/>
      <c r="GL50" s="255"/>
      <c r="GM50" s="255"/>
      <c r="GN50" s="255"/>
      <c r="GO50" s="255"/>
      <c r="GP50" s="255"/>
      <c r="GQ50" s="255"/>
      <c r="GR50" s="255"/>
      <c r="GS50" s="255"/>
      <c r="GT50" s="255"/>
      <c r="GU50" s="255"/>
      <c r="GV50" s="255"/>
      <c r="GW50" s="255"/>
      <c r="GX50" s="255"/>
      <c r="GY50" s="255"/>
      <c r="GZ50" s="255"/>
      <c r="HA50" s="255"/>
      <c r="HB50" s="255"/>
      <c r="HC50" s="255"/>
      <c r="HD50" s="255"/>
      <c r="HE50" s="255"/>
      <c r="HF50" s="255"/>
      <c r="HG50" s="255"/>
      <c r="HH50" s="255"/>
      <c r="HI50" s="255"/>
      <c r="HJ50" s="255"/>
      <c r="HK50" s="255"/>
      <c r="HL50" s="255"/>
      <c r="HM50" s="255"/>
      <c r="HN50" s="255"/>
      <c r="HO50" s="255"/>
      <c r="HP50" s="255"/>
      <c r="HQ50" s="255"/>
      <c r="HR50" s="255"/>
      <c r="HS50" s="255"/>
      <c r="HT50" s="255"/>
      <c r="HU50" s="255"/>
      <c r="HV50" s="255"/>
      <c r="HW50" s="255"/>
      <c r="HX50" s="255"/>
      <c r="HY50" s="255"/>
      <c r="HZ50" s="255"/>
      <c r="IA50" s="255"/>
      <c r="IB50" s="255"/>
      <c r="IC50" s="255"/>
      <c r="ID50" s="255"/>
      <c r="IE50" s="255"/>
      <c r="IF50" s="255"/>
      <c r="IG50" s="255"/>
      <c r="IH50" s="255"/>
      <c r="II50" s="255"/>
      <c r="IJ50" s="255"/>
      <c r="IK50" s="255"/>
      <c r="IL50" s="255"/>
      <c r="IM50" s="255"/>
      <c r="IN50" s="255"/>
      <c r="IO50" s="255"/>
      <c r="IP50" s="255"/>
      <c r="IQ50" s="255"/>
      <c r="IR50" s="255"/>
      <c r="IS50" s="255"/>
      <c r="IT50" s="255"/>
    </row>
    <row r="51" spans="1:254" s="131" customFormat="1" ht="29.25" customHeight="1">
      <c r="A51" s="145" t="s">
        <v>1565</v>
      </c>
      <c r="B51" s="145" t="s">
        <v>4345</v>
      </c>
      <c r="C51" s="252"/>
      <c r="D51" s="250" t="s">
        <v>4344</v>
      </c>
      <c r="E51" s="250" t="s">
        <v>5207</v>
      </c>
      <c r="F51" s="251">
        <v>39420</v>
      </c>
      <c r="G51" s="27" t="s">
        <v>5131</v>
      </c>
      <c r="H51" s="27"/>
      <c r="I51" s="27" t="s">
        <v>2946</v>
      </c>
      <c r="J51" s="27" t="s">
        <v>1089</v>
      </c>
      <c r="K51" s="192">
        <v>0.10199999999999999</v>
      </c>
      <c r="L51" s="192">
        <v>0.18381800000000001</v>
      </c>
      <c r="M51" s="130"/>
      <c r="N51" s="28"/>
      <c r="O51" s="29"/>
      <c r="P51" s="28"/>
      <c r="Q51" s="28"/>
      <c r="R51" s="253">
        <f t="shared" si="0"/>
        <v>0.18381800000000001</v>
      </c>
      <c r="S51" s="266" t="b">
        <v>1</v>
      </c>
      <c r="T51" s="266" t="b">
        <v>0</v>
      </c>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P51" s="255"/>
      <c r="CQ51" s="255"/>
      <c r="CR51" s="255"/>
      <c r="CS51" s="255"/>
      <c r="CT51" s="255"/>
      <c r="CU51" s="255"/>
      <c r="CV51" s="255"/>
      <c r="CW51" s="255"/>
      <c r="CX51" s="255"/>
      <c r="CY51" s="255"/>
      <c r="CZ51" s="255"/>
      <c r="DA51" s="255"/>
      <c r="DB51" s="255"/>
      <c r="DC51" s="255"/>
      <c r="DD51" s="255"/>
      <c r="DE51" s="255"/>
      <c r="DF51" s="255"/>
      <c r="DG51" s="255"/>
      <c r="DH51" s="255"/>
      <c r="DI51" s="255"/>
      <c r="DJ51" s="255"/>
      <c r="DK51" s="255"/>
      <c r="DL51" s="255"/>
      <c r="DM51" s="255"/>
      <c r="DN51" s="255"/>
      <c r="DO51" s="255"/>
      <c r="DP51" s="255"/>
      <c r="DQ51" s="255"/>
      <c r="DR51" s="255"/>
      <c r="DS51" s="255"/>
      <c r="DT51" s="255"/>
      <c r="DU51" s="255"/>
      <c r="DV51" s="255"/>
      <c r="DW51" s="255"/>
      <c r="DX51" s="255"/>
      <c r="DY51" s="255"/>
      <c r="DZ51" s="255"/>
      <c r="EA51" s="255"/>
      <c r="EB51" s="255"/>
      <c r="EC51" s="255"/>
      <c r="ED51" s="255"/>
      <c r="EE51" s="255"/>
      <c r="EF51" s="255"/>
      <c r="EG51" s="255"/>
      <c r="EH51" s="255"/>
      <c r="EI51" s="255"/>
      <c r="EJ51" s="255"/>
      <c r="EK51" s="255"/>
      <c r="EL51" s="255"/>
      <c r="EM51" s="255"/>
      <c r="EN51" s="255"/>
      <c r="EO51" s="255"/>
      <c r="EP51" s="255"/>
      <c r="EQ51" s="255"/>
      <c r="ER51" s="255"/>
      <c r="ES51" s="255"/>
      <c r="ET51" s="255"/>
      <c r="EU51" s="255"/>
      <c r="EV51" s="255"/>
      <c r="EW51" s="255"/>
      <c r="EX51" s="255"/>
      <c r="EY51" s="255"/>
      <c r="EZ51" s="255"/>
      <c r="FA51" s="255"/>
      <c r="FB51" s="255"/>
      <c r="FC51" s="255"/>
      <c r="FD51" s="255"/>
      <c r="FE51" s="255"/>
      <c r="FF51" s="255"/>
      <c r="FG51" s="255"/>
      <c r="FH51" s="255"/>
      <c r="FI51" s="255"/>
      <c r="FJ51" s="255"/>
      <c r="FK51" s="255"/>
      <c r="FL51" s="255"/>
      <c r="FM51" s="255"/>
      <c r="FN51" s="255"/>
      <c r="FO51" s="255"/>
      <c r="FP51" s="255"/>
      <c r="FQ51" s="255"/>
      <c r="FR51" s="255"/>
      <c r="FS51" s="255"/>
      <c r="FT51" s="255"/>
      <c r="FU51" s="255"/>
      <c r="FV51" s="255"/>
      <c r="FW51" s="255"/>
      <c r="FX51" s="255"/>
      <c r="FY51" s="255"/>
      <c r="FZ51" s="255"/>
      <c r="GA51" s="255"/>
      <c r="GB51" s="255"/>
      <c r="GC51" s="255"/>
      <c r="GD51" s="255"/>
      <c r="GE51" s="255"/>
      <c r="GF51" s="255"/>
      <c r="GG51" s="255"/>
      <c r="GH51" s="255"/>
      <c r="GI51" s="255"/>
      <c r="GJ51" s="255"/>
      <c r="GK51" s="255"/>
      <c r="GL51" s="255"/>
      <c r="GM51" s="255"/>
      <c r="GN51" s="255"/>
      <c r="GO51" s="255"/>
      <c r="GP51" s="255"/>
      <c r="GQ51" s="255"/>
      <c r="GR51" s="255"/>
      <c r="GS51" s="255"/>
      <c r="GT51" s="255"/>
      <c r="GU51" s="255"/>
      <c r="GV51" s="255"/>
      <c r="GW51" s="255"/>
      <c r="GX51" s="255"/>
      <c r="GY51" s="255"/>
      <c r="GZ51" s="255"/>
      <c r="HA51" s="255"/>
      <c r="HB51" s="255"/>
      <c r="HC51" s="255"/>
      <c r="HD51" s="255"/>
      <c r="HE51" s="255"/>
      <c r="HF51" s="255"/>
      <c r="HG51" s="255"/>
      <c r="HH51" s="255"/>
      <c r="HI51" s="255"/>
      <c r="HJ51" s="255"/>
      <c r="HK51" s="255"/>
      <c r="HL51" s="255"/>
      <c r="HM51" s="255"/>
      <c r="HN51" s="255"/>
      <c r="HO51" s="255"/>
      <c r="HP51" s="255"/>
      <c r="HQ51" s="255"/>
      <c r="HR51" s="255"/>
      <c r="HS51" s="255"/>
      <c r="HT51" s="255"/>
      <c r="HU51" s="255"/>
      <c r="HV51" s="255"/>
      <c r="HW51" s="255"/>
      <c r="HX51" s="255"/>
      <c r="HY51" s="255"/>
      <c r="HZ51" s="255"/>
      <c r="IA51" s="255"/>
      <c r="IB51" s="255"/>
      <c r="IC51" s="255"/>
      <c r="ID51" s="255"/>
      <c r="IE51" s="255"/>
      <c r="IF51" s="255"/>
      <c r="IG51" s="255"/>
      <c r="IH51" s="255"/>
      <c r="II51" s="255"/>
      <c r="IJ51" s="255"/>
      <c r="IK51" s="255"/>
      <c r="IL51" s="255"/>
      <c r="IM51" s="255"/>
      <c r="IN51" s="255"/>
      <c r="IO51" s="255"/>
      <c r="IP51" s="255"/>
      <c r="IQ51" s="255"/>
      <c r="IR51" s="255"/>
      <c r="IS51" s="255"/>
      <c r="IT51" s="255"/>
    </row>
    <row r="52" spans="1:254" s="131" customFormat="1" ht="29.25" customHeight="1">
      <c r="A52" s="145" t="s">
        <v>5149</v>
      </c>
      <c r="B52" s="145" t="s">
        <v>5313</v>
      </c>
      <c r="C52" s="252"/>
      <c r="D52" s="250"/>
      <c r="E52" s="250" t="s">
        <v>5314</v>
      </c>
      <c r="F52" s="251">
        <v>39778</v>
      </c>
      <c r="G52" s="27"/>
      <c r="H52" s="27"/>
      <c r="I52" s="27" t="s">
        <v>2946</v>
      </c>
      <c r="J52" s="27" t="s">
        <v>1089</v>
      </c>
      <c r="K52" s="192">
        <v>2.5999999999999999E-2</v>
      </c>
      <c r="L52" s="192">
        <v>5.0000000000000001E-3</v>
      </c>
      <c r="M52" s="130"/>
      <c r="N52" s="28"/>
      <c r="O52" s="29"/>
      <c r="P52" s="28"/>
      <c r="Q52" s="28"/>
      <c r="R52" s="253">
        <f t="shared" si="0"/>
        <v>5.0000000000000001E-3</v>
      </c>
      <c r="S52" s="266" t="b">
        <v>1</v>
      </c>
      <c r="T52" s="266" t="b">
        <v>0</v>
      </c>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c r="CP52" s="255"/>
      <c r="CQ52" s="255"/>
      <c r="CR52" s="255"/>
      <c r="CS52" s="255"/>
      <c r="CT52" s="255"/>
      <c r="CU52" s="255"/>
      <c r="CV52" s="255"/>
      <c r="CW52" s="255"/>
      <c r="CX52" s="255"/>
      <c r="CY52" s="255"/>
      <c r="CZ52" s="255"/>
      <c r="DA52" s="255"/>
      <c r="DB52" s="255"/>
      <c r="DC52" s="255"/>
      <c r="DD52" s="255"/>
      <c r="DE52" s="255"/>
      <c r="DF52" s="255"/>
      <c r="DG52" s="255"/>
      <c r="DH52" s="255"/>
      <c r="DI52" s="255"/>
      <c r="DJ52" s="255"/>
      <c r="DK52" s="255"/>
      <c r="DL52" s="255"/>
      <c r="DM52" s="255"/>
      <c r="DN52" s="255"/>
      <c r="DO52" s="255"/>
      <c r="DP52" s="255"/>
      <c r="DQ52" s="255"/>
      <c r="DR52" s="255"/>
      <c r="DS52" s="255"/>
      <c r="DT52" s="255"/>
      <c r="DU52" s="255"/>
      <c r="DV52" s="255"/>
      <c r="DW52" s="255"/>
      <c r="DX52" s="255"/>
      <c r="DY52" s="255"/>
      <c r="DZ52" s="255"/>
      <c r="EA52" s="255"/>
      <c r="EB52" s="255"/>
      <c r="EC52" s="255"/>
      <c r="ED52" s="255"/>
      <c r="EE52" s="255"/>
      <c r="EF52" s="255"/>
      <c r="EG52" s="255"/>
      <c r="EH52" s="255"/>
      <c r="EI52" s="255"/>
      <c r="EJ52" s="255"/>
      <c r="EK52" s="255"/>
      <c r="EL52" s="255"/>
      <c r="EM52" s="255"/>
      <c r="EN52" s="255"/>
      <c r="EO52" s="255"/>
      <c r="EP52" s="255"/>
      <c r="EQ52" s="255"/>
      <c r="ER52" s="255"/>
      <c r="ES52" s="255"/>
      <c r="ET52" s="255"/>
      <c r="EU52" s="255"/>
      <c r="EV52" s="255"/>
      <c r="EW52" s="255"/>
      <c r="EX52" s="255"/>
      <c r="EY52" s="255"/>
      <c r="EZ52" s="255"/>
      <c r="FA52" s="255"/>
      <c r="FB52" s="255"/>
      <c r="FC52" s="255"/>
      <c r="FD52" s="255"/>
      <c r="FE52" s="255"/>
      <c r="FF52" s="255"/>
      <c r="FG52" s="255"/>
      <c r="FH52" s="255"/>
      <c r="FI52" s="255"/>
      <c r="FJ52" s="255"/>
      <c r="FK52" s="255"/>
      <c r="FL52" s="255"/>
      <c r="FM52" s="255"/>
      <c r="FN52" s="255"/>
      <c r="FO52" s="255"/>
      <c r="FP52" s="255"/>
      <c r="FQ52" s="255"/>
      <c r="FR52" s="255"/>
      <c r="FS52" s="255"/>
      <c r="FT52" s="255"/>
      <c r="FU52" s="255"/>
      <c r="FV52" s="255"/>
      <c r="FW52" s="255"/>
      <c r="FX52" s="255"/>
      <c r="FY52" s="255"/>
      <c r="FZ52" s="255"/>
      <c r="GA52" s="255"/>
      <c r="GB52" s="255"/>
      <c r="GC52" s="255"/>
      <c r="GD52" s="255"/>
      <c r="GE52" s="255"/>
      <c r="GF52" s="255"/>
      <c r="GG52" s="255"/>
      <c r="GH52" s="255"/>
      <c r="GI52" s="255"/>
      <c r="GJ52" s="255"/>
      <c r="GK52" s="255"/>
      <c r="GL52" s="255"/>
      <c r="GM52" s="255"/>
      <c r="GN52" s="255"/>
      <c r="GO52" s="255"/>
      <c r="GP52" s="255"/>
      <c r="GQ52" s="255"/>
      <c r="GR52" s="255"/>
      <c r="GS52" s="255"/>
      <c r="GT52" s="255"/>
      <c r="GU52" s="255"/>
      <c r="GV52" s="255"/>
      <c r="GW52" s="255"/>
      <c r="GX52" s="255"/>
      <c r="GY52" s="255"/>
      <c r="GZ52" s="255"/>
      <c r="HA52" s="255"/>
      <c r="HB52" s="255"/>
      <c r="HC52" s="255"/>
      <c r="HD52" s="255"/>
      <c r="HE52" s="255"/>
      <c r="HF52" s="255"/>
      <c r="HG52" s="255"/>
      <c r="HH52" s="255"/>
      <c r="HI52" s="255"/>
      <c r="HJ52" s="255"/>
      <c r="HK52" s="255"/>
      <c r="HL52" s="255"/>
      <c r="HM52" s="255"/>
      <c r="HN52" s="255"/>
      <c r="HO52" s="255"/>
      <c r="HP52" s="255"/>
      <c r="HQ52" s="255"/>
      <c r="HR52" s="255"/>
      <c r="HS52" s="255"/>
      <c r="HT52" s="255"/>
      <c r="HU52" s="255"/>
      <c r="HV52" s="255"/>
      <c r="HW52" s="255"/>
      <c r="HX52" s="255"/>
      <c r="HY52" s="255"/>
      <c r="HZ52" s="255"/>
      <c r="IA52" s="255"/>
      <c r="IB52" s="255"/>
      <c r="IC52" s="255"/>
      <c r="ID52" s="255"/>
      <c r="IE52" s="255"/>
      <c r="IF52" s="255"/>
      <c r="IG52" s="255"/>
      <c r="IH52" s="255"/>
      <c r="II52" s="255"/>
      <c r="IJ52" s="255"/>
      <c r="IK52" s="255"/>
      <c r="IL52" s="255"/>
      <c r="IM52" s="255"/>
      <c r="IN52" s="255"/>
      <c r="IO52" s="255"/>
      <c r="IP52" s="255"/>
      <c r="IQ52" s="255"/>
      <c r="IR52" s="255"/>
      <c r="IS52" s="255"/>
      <c r="IT52" s="255"/>
    </row>
    <row r="53" spans="1:254" s="131" customFormat="1" ht="29.25" customHeight="1">
      <c r="A53" s="254" t="s">
        <v>2774</v>
      </c>
      <c r="B53" s="286" t="s">
        <v>2773</v>
      </c>
      <c r="C53" s="252"/>
      <c r="D53" s="48" t="s">
        <v>1126</v>
      </c>
      <c r="E53" s="48" t="s">
        <v>2772</v>
      </c>
      <c r="F53" s="43" t="s">
        <v>1121</v>
      </c>
      <c r="G53" s="46"/>
      <c r="H53" s="46"/>
      <c r="I53" s="257" t="s">
        <v>2983</v>
      </c>
      <c r="J53" s="257" t="s">
        <v>1089</v>
      </c>
      <c r="K53" s="195">
        <v>0.25</v>
      </c>
      <c r="L53" s="193">
        <f>M53</f>
        <v>0.60225000000000006</v>
      </c>
      <c r="M53" s="130">
        <f>K53*0.275*8.76</f>
        <v>0.60225000000000006</v>
      </c>
      <c r="N53" s="136"/>
      <c r="O53" s="37"/>
      <c r="P53" s="37"/>
      <c r="Q53" s="37"/>
      <c r="R53" s="253">
        <f t="shared" si="0"/>
        <v>0.60225000000000006</v>
      </c>
      <c r="S53" s="266" t="b">
        <v>1</v>
      </c>
      <c r="T53" s="266" t="b">
        <v>0</v>
      </c>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255"/>
      <c r="DC53" s="255"/>
      <c r="DD53" s="255"/>
      <c r="DE53" s="255"/>
      <c r="DF53" s="255"/>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5"/>
      <c r="EJ53" s="255"/>
      <c r="EK53" s="255"/>
      <c r="EL53" s="255"/>
      <c r="EM53" s="255"/>
      <c r="EN53" s="255"/>
      <c r="EO53" s="255"/>
      <c r="EP53" s="255"/>
      <c r="EQ53" s="255"/>
      <c r="ER53" s="255"/>
      <c r="ES53" s="255"/>
      <c r="ET53" s="255"/>
      <c r="EU53" s="255"/>
      <c r="EV53" s="255"/>
      <c r="EW53" s="255"/>
      <c r="EX53" s="255"/>
      <c r="EY53" s="255"/>
      <c r="EZ53" s="255"/>
      <c r="FA53" s="255"/>
      <c r="FB53" s="255"/>
      <c r="FC53" s="255"/>
      <c r="FD53" s="255"/>
      <c r="FE53" s="255"/>
      <c r="FF53" s="255"/>
      <c r="FG53" s="255"/>
      <c r="FH53" s="255"/>
      <c r="FI53" s="255"/>
      <c r="FJ53" s="255"/>
      <c r="FK53" s="255"/>
      <c r="FL53" s="255"/>
      <c r="FM53" s="255"/>
      <c r="FN53" s="255"/>
      <c r="FO53" s="255"/>
      <c r="FP53" s="255"/>
      <c r="FQ53" s="255"/>
      <c r="FR53" s="255"/>
      <c r="FS53" s="255"/>
      <c r="FT53" s="255"/>
      <c r="FU53" s="255"/>
      <c r="FV53" s="255"/>
      <c r="FW53" s="255"/>
      <c r="FX53" s="255"/>
      <c r="FY53" s="255"/>
      <c r="FZ53" s="255"/>
      <c r="GA53" s="255"/>
      <c r="GB53" s="255"/>
      <c r="GC53" s="255"/>
      <c r="GD53" s="255"/>
      <c r="GE53" s="255"/>
      <c r="GF53" s="255"/>
      <c r="GG53" s="255"/>
      <c r="GH53" s="255"/>
      <c r="GI53" s="255"/>
      <c r="GJ53" s="255"/>
      <c r="GK53" s="255"/>
      <c r="GL53" s="255"/>
      <c r="GM53" s="255"/>
      <c r="GN53" s="255"/>
      <c r="GO53" s="255"/>
      <c r="GP53" s="255"/>
      <c r="GQ53" s="255"/>
      <c r="GR53" s="255"/>
      <c r="GS53" s="255"/>
      <c r="GT53" s="255"/>
      <c r="GU53" s="255"/>
      <c r="GV53" s="255"/>
      <c r="GW53" s="255"/>
      <c r="GX53" s="255"/>
      <c r="GY53" s="255"/>
      <c r="GZ53" s="255"/>
      <c r="HA53" s="255"/>
      <c r="HB53" s="255"/>
      <c r="HC53" s="255"/>
      <c r="HD53" s="255"/>
      <c r="HE53" s="255"/>
      <c r="HF53" s="255"/>
      <c r="HG53" s="255"/>
      <c r="HH53" s="255"/>
      <c r="HI53" s="255"/>
      <c r="HJ53" s="255"/>
      <c r="HK53" s="255"/>
      <c r="HL53" s="255"/>
      <c r="HM53" s="255"/>
      <c r="HN53" s="255"/>
      <c r="HO53" s="255"/>
      <c r="HP53" s="255"/>
      <c r="HQ53" s="255"/>
      <c r="HR53" s="255"/>
      <c r="HS53" s="255"/>
      <c r="HT53" s="255"/>
      <c r="HU53" s="255"/>
      <c r="HV53" s="255"/>
      <c r="HW53" s="255"/>
      <c r="HX53" s="255"/>
      <c r="HY53" s="255"/>
      <c r="HZ53" s="255"/>
      <c r="IA53" s="255"/>
      <c r="IB53" s="255"/>
      <c r="IC53" s="255"/>
      <c r="ID53" s="255"/>
      <c r="IE53" s="255"/>
      <c r="IF53" s="255"/>
      <c r="IG53" s="255"/>
      <c r="IH53" s="255"/>
      <c r="II53" s="255"/>
      <c r="IJ53" s="255"/>
      <c r="IK53" s="255"/>
      <c r="IL53" s="255"/>
      <c r="IM53" s="255"/>
      <c r="IN53" s="255"/>
      <c r="IO53" s="255"/>
      <c r="IP53" s="255"/>
      <c r="IQ53" s="255"/>
      <c r="IR53" s="255"/>
      <c r="IS53" s="255"/>
      <c r="IT53" s="255"/>
    </row>
    <row r="54" spans="1:254" s="131" customFormat="1" ht="29.25" customHeight="1">
      <c r="A54" s="254"/>
      <c r="B54" s="286" t="s">
        <v>2461</v>
      </c>
      <c r="C54" s="252"/>
      <c r="D54" s="48"/>
      <c r="E54" s="48" t="s">
        <v>2462</v>
      </c>
      <c r="F54" s="43">
        <v>33966</v>
      </c>
      <c r="G54" s="46" t="s">
        <v>2463</v>
      </c>
      <c r="H54" s="46"/>
      <c r="I54" s="46" t="s">
        <v>2946</v>
      </c>
      <c r="J54" s="257" t="s">
        <v>1177</v>
      </c>
      <c r="K54" s="195">
        <v>0.57999999999999996</v>
      </c>
      <c r="L54" s="193">
        <f>M54</f>
        <v>1.5226109999999999</v>
      </c>
      <c r="M54" s="130">
        <v>1.5226109999999999</v>
      </c>
      <c r="N54" s="136"/>
      <c r="O54" s="37"/>
      <c r="P54" s="37"/>
      <c r="Q54" s="37"/>
      <c r="R54" s="253">
        <f t="shared" si="0"/>
        <v>1.5226109999999999</v>
      </c>
      <c r="S54" s="266" t="b">
        <v>1</v>
      </c>
      <c r="T54" s="266" t="b">
        <v>0</v>
      </c>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P54" s="255"/>
      <c r="CQ54" s="255"/>
      <c r="CR54" s="255"/>
      <c r="CS54" s="255"/>
      <c r="CT54" s="255"/>
      <c r="CU54" s="255"/>
      <c r="CV54" s="255"/>
      <c r="CW54" s="255"/>
      <c r="CX54" s="255"/>
      <c r="CY54" s="255"/>
      <c r="CZ54" s="255"/>
      <c r="DA54" s="255"/>
      <c r="DB54" s="255"/>
      <c r="DC54" s="255"/>
      <c r="DD54" s="255"/>
      <c r="DE54" s="255"/>
      <c r="DF54" s="255"/>
      <c r="DG54" s="255"/>
      <c r="DH54" s="255"/>
      <c r="DI54" s="255"/>
      <c r="DJ54" s="255"/>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5"/>
      <c r="EI54" s="255"/>
      <c r="EJ54" s="255"/>
      <c r="EK54" s="255"/>
      <c r="EL54" s="255"/>
      <c r="EM54" s="255"/>
      <c r="EN54" s="255"/>
      <c r="EO54" s="255"/>
      <c r="EP54" s="255"/>
      <c r="EQ54" s="255"/>
      <c r="ER54" s="255"/>
      <c r="ES54" s="255"/>
      <c r="ET54" s="255"/>
      <c r="EU54" s="255"/>
      <c r="EV54" s="255"/>
      <c r="EW54" s="255"/>
      <c r="EX54" s="255"/>
      <c r="EY54" s="255"/>
      <c r="EZ54" s="255"/>
      <c r="FA54" s="255"/>
      <c r="FB54" s="255"/>
      <c r="FC54" s="255"/>
      <c r="FD54" s="255"/>
      <c r="FE54" s="255"/>
      <c r="FF54" s="255"/>
      <c r="FG54" s="255"/>
      <c r="FH54" s="255"/>
      <c r="FI54" s="255"/>
      <c r="FJ54" s="255"/>
      <c r="FK54" s="255"/>
      <c r="FL54" s="255"/>
      <c r="FM54" s="255"/>
      <c r="FN54" s="255"/>
      <c r="FO54" s="255"/>
      <c r="FP54" s="255"/>
      <c r="FQ54" s="255"/>
      <c r="FR54" s="255"/>
      <c r="FS54" s="255"/>
      <c r="FT54" s="255"/>
      <c r="FU54" s="255"/>
      <c r="FV54" s="255"/>
      <c r="FW54" s="255"/>
      <c r="FX54" s="255"/>
      <c r="FY54" s="255"/>
      <c r="FZ54" s="255"/>
      <c r="GA54" s="255"/>
      <c r="GB54" s="255"/>
      <c r="GC54" s="255"/>
      <c r="GD54" s="255"/>
      <c r="GE54" s="255"/>
      <c r="GF54" s="255"/>
      <c r="GG54" s="255"/>
      <c r="GH54" s="255"/>
      <c r="GI54" s="255"/>
      <c r="GJ54" s="255"/>
      <c r="GK54" s="255"/>
      <c r="GL54" s="255"/>
      <c r="GM54" s="255"/>
      <c r="GN54" s="255"/>
      <c r="GO54" s="255"/>
      <c r="GP54" s="255"/>
      <c r="GQ54" s="255"/>
      <c r="GR54" s="255"/>
      <c r="GS54" s="255"/>
      <c r="GT54" s="255"/>
      <c r="GU54" s="255"/>
      <c r="GV54" s="255"/>
      <c r="GW54" s="255"/>
      <c r="GX54" s="255"/>
      <c r="GY54" s="255"/>
      <c r="GZ54" s="255"/>
      <c r="HA54" s="255"/>
      <c r="HB54" s="255"/>
      <c r="HC54" s="255"/>
      <c r="HD54" s="255"/>
      <c r="HE54" s="255"/>
      <c r="HF54" s="255"/>
      <c r="HG54" s="255"/>
      <c r="HH54" s="255"/>
      <c r="HI54" s="255"/>
      <c r="HJ54" s="255"/>
      <c r="HK54" s="255"/>
      <c r="HL54" s="255"/>
      <c r="HM54" s="255"/>
      <c r="HN54" s="255"/>
      <c r="HO54" s="255"/>
      <c r="HP54" s="255"/>
      <c r="HQ54" s="255"/>
      <c r="HR54" s="255"/>
      <c r="HS54" s="255"/>
      <c r="HT54" s="255"/>
      <c r="HU54" s="255"/>
      <c r="HV54" s="255"/>
      <c r="HW54" s="255"/>
      <c r="HX54" s="255"/>
      <c r="HY54" s="255"/>
      <c r="HZ54" s="255"/>
      <c r="IA54" s="255"/>
      <c r="IB54" s="255"/>
      <c r="IC54" s="255"/>
      <c r="ID54" s="255"/>
      <c r="IE54" s="255"/>
      <c r="IF54" s="255"/>
      <c r="IG54" s="255"/>
      <c r="IH54" s="255"/>
      <c r="II54" s="255"/>
      <c r="IJ54" s="255"/>
      <c r="IK54" s="255"/>
      <c r="IL54" s="255"/>
      <c r="IM54" s="255"/>
      <c r="IN54" s="255"/>
      <c r="IO54" s="255"/>
      <c r="IP54" s="255"/>
      <c r="IQ54" s="255"/>
      <c r="IR54" s="255"/>
      <c r="IS54" s="255"/>
      <c r="IT54" s="255"/>
    </row>
    <row r="55" spans="1:254" s="131" customFormat="1" ht="29.25" customHeight="1">
      <c r="A55" s="254" t="s">
        <v>1565</v>
      </c>
      <c r="B55" s="286" t="s">
        <v>2360</v>
      </c>
      <c r="C55" s="252"/>
      <c r="D55" s="48" t="s">
        <v>4374</v>
      </c>
      <c r="E55" s="48" t="s">
        <v>2361</v>
      </c>
      <c r="F55" s="43">
        <v>39791</v>
      </c>
      <c r="G55" s="46" t="s">
        <v>5132</v>
      </c>
      <c r="H55" s="46"/>
      <c r="I55" s="46" t="s">
        <v>2946</v>
      </c>
      <c r="J55" s="257" t="s">
        <v>1089</v>
      </c>
      <c r="K55" s="195">
        <v>0.5</v>
      </c>
      <c r="L55" s="195">
        <v>0.791412</v>
      </c>
      <c r="M55" s="130">
        <v>0.80147100000000004</v>
      </c>
      <c r="N55" s="136"/>
      <c r="O55" s="37"/>
      <c r="P55" s="37"/>
      <c r="Q55" s="37"/>
      <c r="R55" s="253">
        <f t="shared" si="0"/>
        <v>0.79644150000000002</v>
      </c>
      <c r="S55" s="266" t="b">
        <v>1</v>
      </c>
      <c r="T55" s="266" t="b">
        <v>0</v>
      </c>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5"/>
      <c r="EI55" s="255"/>
      <c r="EJ55" s="255"/>
      <c r="EK55" s="255"/>
      <c r="EL55" s="255"/>
      <c r="EM55" s="255"/>
      <c r="EN55" s="255"/>
      <c r="EO55" s="255"/>
      <c r="EP55" s="255"/>
      <c r="EQ55" s="255"/>
      <c r="ER55" s="255"/>
      <c r="ES55" s="255"/>
      <c r="ET55" s="255"/>
      <c r="EU55" s="255"/>
      <c r="EV55" s="255"/>
      <c r="EW55" s="255"/>
      <c r="EX55" s="255"/>
      <c r="EY55" s="255"/>
      <c r="EZ55" s="255"/>
      <c r="FA55" s="255"/>
      <c r="FB55" s="255"/>
      <c r="FC55" s="255"/>
      <c r="FD55" s="255"/>
      <c r="FE55" s="255"/>
      <c r="FF55" s="255"/>
      <c r="FG55" s="255"/>
      <c r="FH55" s="255"/>
      <c r="FI55" s="255"/>
      <c r="FJ55" s="255"/>
      <c r="FK55" s="255"/>
      <c r="FL55" s="255"/>
      <c r="FM55" s="255"/>
      <c r="FN55" s="255"/>
      <c r="FO55" s="255"/>
      <c r="FP55" s="255"/>
      <c r="FQ55" s="255"/>
      <c r="FR55" s="255"/>
      <c r="FS55" s="255"/>
      <c r="FT55" s="255"/>
      <c r="FU55" s="255"/>
      <c r="FV55" s="255"/>
      <c r="FW55" s="255"/>
      <c r="FX55" s="255"/>
      <c r="FY55" s="255"/>
      <c r="FZ55" s="255"/>
      <c r="GA55" s="255"/>
      <c r="GB55" s="255"/>
      <c r="GC55" s="255"/>
      <c r="GD55" s="255"/>
      <c r="GE55" s="255"/>
      <c r="GF55" s="255"/>
      <c r="GG55" s="255"/>
      <c r="GH55" s="255"/>
      <c r="GI55" s="255"/>
      <c r="GJ55" s="255"/>
      <c r="GK55" s="255"/>
      <c r="GL55" s="255"/>
      <c r="GM55" s="255"/>
      <c r="GN55" s="255"/>
      <c r="GO55" s="255"/>
      <c r="GP55" s="255"/>
      <c r="GQ55" s="255"/>
      <c r="GR55" s="255"/>
      <c r="GS55" s="255"/>
      <c r="GT55" s="255"/>
      <c r="GU55" s="255"/>
      <c r="GV55" s="255"/>
      <c r="GW55" s="255"/>
      <c r="GX55" s="255"/>
      <c r="GY55" s="255"/>
      <c r="GZ55" s="255"/>
      <c r="HA55" s="255"/>
      <c r="HB55" s="255"/>
      <c r="HC55" s="255"/>
      <c r="HD55" s="255"/>
      <c r="HE55" s="255"/>
      <c r="HF55" s="255"/>
      <c r="HG55" s="255"/>
      <c r="HH55" s="255"/>
      <c r="HI55" s="255"/>
      <c r="HJ55" s="255"/>
      <c r="HK55" s="255"/>
      <c r="HL55" s="255"/>
      <c r="HM55" s="255"/>
      <c r="HN55" s="255"/>
      <c r="HO55" s="255"/>
      <c r="HP55" s="255"/>
      <c r="HQ55" s="255"/>
      <c r="HR55" s="255"/>
      <c r="HS55" s="255"/>
      <c r="HT55" s="255"/>
      <c r="HU55" s="255"/>
      <c r="HV55" s="255"/>
      <c r="HW55" s="255"/>
      <c r="HX55" s="255"/>
      <c r="HY55" s="255"/>
      <c r="HZ55" s="255"/>
      <c r="IA55" s="255"/>
      <c r="IB55" s="255"/>
      <c r="IC55" s="255"/>
      <c r="ID55" s="255"/>
      <c r="IE55" s="255"/>
      <c r="IF55" s="255"/>
      <c r="IG55" s="255"/>
      <c r="IH55" s="255"/>
      <c r="II55" s="255"/>
      <c r="IJ55" s="255"/>
      <c r="IK55" s="255"/>
      <c r="IL55" s="255"/>
      <c r="IM55" s="255"/>
      <c r="IN55" s="255"/>
      <c r="IO55" s="255"/>
      <c r="IP55" s="255"/>
      <c r="IQ55" s="255"/>
      <c r="IR55" s="255"/>
      <c r="IS55" s="255"/>
      <c r="IT55" s="255"/>
    </row>
    <row r="56" spans="1:254" s="131" customFormat="1" ht="29.25" customHeight="1">
      <c r="A56" s="254"/>
      <c r="B56" s="286" t="s">
        <v>5181</v>
      </c>
      <c r="C56" s="252"/>
      <c r="D56" s="48" t="s">
        <v>1074</v>
      </c>
      <c r="E56" s="48" t="s">
        <v>2707</v>
      </c>
      <c r="F56" s="43">
        <v>41704</v>
      </c>
      <c r="G56" s="46" t="s">
        <v>478</v>
      </c>
      <c r="H56" s="46"/>
      <c r="I56" s="46" t="s">
        <v>2983</v>
      </c>
      <c r="J56" s="257" t="s">
        <v>1089</v>
      </c>
      <c r="K56" s="193">
        <v>0.92500000000000004</v>
      </c>
      <c r="L56" s="130">
        <f>K56*0.275*8.76</f>
        <v>2.2283249999999999</v>
      </c>
      <c r="M56" s="130">
        <f>K56*8.76*0.275</f>
        <v>2.2283250000000003</v>
      </c>
      <c r="N56" s="28"/>
      <c r="O56" s="37"/>
      <c r="P56" s="37"/>
      <c r="Q56" s="37"/>
      <c r="R56" s="253">
        <f t="shared" si="0"/>
        <v>2.2283249999999999</v>
      </c>
      <c r="S56" s="266" t="b">
        <v>1</v>
      </c>
      <c r="T56" s="266" t="b">
        <v>0</v>
      </c>
    </row>
    <row r="57" spans="1:254" s="131" customFormat="1" ht="29.25" customHeight="1">
      <c r="A57" s="254"/>
      <c r="B57" s="286" t="s">
        <v>2234</v>
      </c>
      <c r="C57" s="252"/>
      <c r="D57" s="48"/>
      <c r="E57" s="48" t="s">
        <v>2988</v>
      </c>
      <c r="F57" s="43" t="s">
        <v>1123</v>
      </c>
      <c r="G57" s="46" t="s">
        <v>2235</v>
      </c>
      <c r="H57" s="46"/>
      <c r="I57" s="46" t="s">
        <v>2946</v>
      </c>
      <c r="J57" s="257" t="s">
        <v>1089</v>
      </c>
      <c r="K57" s="193">
        <v>0.75</v>
      </c>
      <c r="L57" s="193">
        <v>1.485031</v>
      </c>
      <c r="M57" s="130">
        <v>1.474</v>
      </c>
      <c r="N57" s="28"/>
      <c r="O57" s="37"/>
      <c r="P57" s="37"/>
      <c r="Q57" s="37"/>
      <c r="R57" s="253">
        <f t="shared" si="0"/>
        <v>1.4795155</v>
      </c>
      <c r="S57" s="266" t="b">
        <v>1</v>
      </c>
      <c r="T57" s="266" t="b">
        <v>0</v>
      </c>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c r="CP57" s="255"/>
      <c r="CQ57" s="255"/>
      <c r="CR57" s="255"/>
      <c r="CS57" s="255"/>
      <c r="CT57" s="255"/>
      <c r="CU57" s="255"/>
      <c r="CV57" s="255"/>
      <c r="CW57" s="255"/>
      <c r="CX57" s="255"/>
      <c r="CY57" s="255"/>
      <c r="CZ57" s="255"/>
      <c r="DA57" s="255"/>
      <c r="DB57" s="255"/>
      <c r="DC57" s="255"/>
      <c r="DD57" s="255"/>
      <c r="DE57" s="255"/>
      <c r="DF57" s="255"/>
      <c r="DG57" s="255"/>
      <c r="DH57" s="255"/>
      <c r="DI57" s="255"/>
      <c r="DJ57" s="255"/>
      <c r="DK57" s="255"/>
      <c r="DL57" s="255"/>
      <c r="DM57" s="255"/>
      <c r="DN57" s="255"/>
      <c r="DO57" s="255"/>
      <c r="DP57" s="255"/>
      <c r="DQ57" s="255"/>
      <c r="DR57" s="255"/>
      <c r="DS57" s="255"/>
      <c r="DT57" s="255"/>
      <c r="DU57" s="255"/>
      <c r="DV57" s="255"/>
      <c r="DW57" s="255"/>
      <c r="DX57" s="255"/>
      <c r="DY57" s="255"/>
      <c r="DZ57" s="255"/>
      <c r="EA57" s="255"/>
      <c r="EB57" s="255"/>
      <c r="EC57" s="255"/>
      <c r="ED57" s="255"/>
      <c r="EE57" s="255"/>
      <c r="EF57" s="255"/>
      <c r="EG57" s="255"/>
      <c r="EH57" s="255"/>
      <c r="EI57" s="255"/>
      <c r="EJ57" s="255"/>
      <c r="EK57" s="255"/>
      <c r="EL57" s="255"/>
      <c r="EM57" s="255"/>
      <c r="EN57" s="255"/>
      <c r="EO57" s="255"/>
      <c r="EP57" s="255"/>
      <c r="EQ57" s="255"/>
      <c r="ER57" s="255"/>
      <c r="ES57" s="255"/>
      <c r="ET57" s="255"/>
      <c r="EU57" s="255"/>
      <c r="EV57" s="255"/>
      <c r="EW57" s="255"/>
      <c r="EX57" s="255"/>
      <c r="EY57" s="255"/>
      <c r="EZ57" s="255"/>
      <c r="FA57" s="255"/>
      <c r="FB57" s="255"/>
      <c r="FC57" s="255"/>
      <c r="FD57" s="255"/>
      <c r="FE57" s="255"/>
      <c r="FF57" s="255"/>
      <c r="FG57" s="255"/>
      <c r="FH57" s="255"/>
      <c r="FI57" s="255"/>
      <c r="FJ57" s="255"/>
      <c r="FK57" s="255"/>
      <c r="FL57" s="255"/>
      <c r="FM57" s="255"/>
      <c r="FN57" s="255"/>
      <c r="FO57" s="255"/>
      <c r="FP57" s="255"/>
      <c r="FQ57" s="255"/>
      <c r="FR57" s="255"/>
      <c r="FS57" s="255"/>
      <c r="FT57" s="255"/>
      <c r="FU57" s="255"/>
      <c r="FV57" s="255"/>
      <c r="FW57" s="255"/>
      <c r="FX57" s="255"/>
      <c r="FY57" s="255"/>
      <c r="FZ57" s="255"/>
      <c r="GA57" s="255"/>
      <c r="GB57" s="255"/>
      <c r="GC57" s="255"/>
      <c r="GD57" s="255"/>
      <c r="GE57" s="255"/>
      <c r="GF57" s="255"/>
      <c r="GG57" s="255"/>
      <c r="GH57" s="255"/>
      <c r="GI57" s="255"/>
      <c r="GJ57" s="255"/>
      <c r="GK57" s="255"/>
      <c r="GL57" s="255"/>
      <c r="GM57" s="255"/>
      <c r="GN57" s="255"/>
      <c r="GO57" s="255"/>
      <c r="GP57" s="255"/>
      <c r="GQ57" s="255"/>
      <c r="GR57" s="255"/>
      <c r="GS57" s="255"/>
      <c r="GT57" s="255"/>
      <c r="GU57" s="255"/>
      <c r="GV57" s="255"/>
      <c r="GW57" s="255"/>
      <c r="GX57" s="255"/>
      <c r="GY57" s="255"/>
      <c r="GZ57" s="255"/>
      <c r="HA57" s="255"/>
      <c r="HB57" s="255"/>
      <c r="HC57" s="255"/>
      <c r="HD57" s="255"/>
      <c r="HE57" s="255"/>
      <c r="HF57" s="255"/>
      <c r="HG57" s="255"/>
      <c r="HH57" s="255"/>
      <c r="HI57" s="255"/>
      <c r="HJ57" s="255"/>
      <c r="HK57" s="255"/>
      <c r="HL57" s="255"/>
      <c r="HM57" s="255"/>
      <c r="HN57" s="255"/>
      <c r="HO57" s="255"/>
      <c r="HP57" s="255"/>
      <c r="HQ57" s="255"/>
      <c r="HR57" s="255"/>
      <c r="HS57" s="255"/>
      <c r="HT57" s="255"/>
      <c r="HU57" s="255"/>
      <c r="HV57" s="255"/>
      <c r="HW57" s="255"/>
      <c r="HX57" s="255"/>
      <c r="HY57" s="255"/>
      <c r="HZ57" s="255"/>
      <c r="IA57" s="255"/>
      <c r="IB57" s="255"/>
      <c r="IC57" s="255"/>
      <c r="ID57" s="255"/>
      <c r="IE57" s="255"/>
      <c r="IF57" s="255"/>
      <c r="IG57" s="255"/>
      <c r="IH57" s="255"/>
      <c r="II57" s="255"/>
      <c r="IJ57" s="255"/>
      <c r="IK57" s="255"/>
      <c r="IL57" s="255"/>
      <c r="IM57" s="255"/>
      <c r="IN57" s="255"/>
      <c r="IO57" s="255"/>
      <c r="IP57" s="255"/>
      <c r="IQ57" s="255"/>
      <c r="IR57" s="255"/>
      <c r="IS57" s="255"/>
      <c r="IT57" s="255"/>
    </row>
    <row r="58" spans="1:254" s="259" customFormat="1" ht="29.25" customHeight="1">
      <c r="A58" s="56"/>
      <c r="B58" s="286" t="s">
        <v>5245</v>
      </c>
      <c r="C58" s="252"/>
      <c r="D58" s="250"/>
      <c r="E58" s="250" t="s">
        <v>5343</v>
      </c>
      <c r="F58" s="251"/>
      <c r="G58" s="257"/>
      <c r="H58" s="257"/>
      <c r="I58" s="159" t="s">
        <v>2983</v>
      </c>
      <c r="J58" s="27" t="s">
        <v>1089</v>
      </c>
      <c r="K58" s="194">
        <v>0.33300000000000002</v>
      </c>
      <c r="L58" s="130">
        <f>K58*0.2*8760/1000</f>
        <v>0.58341600000000005</v>
      </c>
      <c r="M58" s="130"/>
      <c r="N58" s="32"/>
      <c r="O58" s="32"/>
      <c r="P58" s="32"/>
      <c r="Q58" s="32"/>
      <c r="R58" s="253">
        <f t="shared" si="0"/>
        <v>0.58341600000000005</v>
      </c>
      <c r="S58" s="266" t="b">
        <v>1</v>
      </c>
      <c r="T58" s="266" t="b">
        <v>0</v>
      </c>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row>
    <row r="59" spans="1:254" s="259" customFormat="1" ht="29.25" customHeight="1">
      <c r="A59" s="56" t="s">
        <v>1565</v>
      </c>
      <c r="B59" s="286" t="s">
        <v>4396</v>
      </c>
      <c r="C59" s="252"/>
      <c r="D59" s="250" t="s">
        <v>4395</v>
      </c>
      <c r="E59" s="250" t="s">
        <v>5217</v>
      </c>
      <c r="F59" s="251">
        <v>39287</v>
      </c>
      <c r="G59" s="257" t="s">
        <v>5133</v>
      </c>
      <c r="H59" s="257"/>
      <c r="I59" s="257" t="s">
        <v>2946</v>
      </c>
      <c r="J59" s="27" t="s">
        <v>1089</v>
      </c>
      <c r="K59" s="194">
        <v>0.05</v>
      </c>
      <c r="L59" s="130">
        <v>0.11799999999999999</v>
      </c>
      <c r="M59" s="130"/>
      <c r="N59" s="32"/>
      <c r="O59" s="32"/>
      <c r="P59" s="32"/>
      <c r="Q59" s="32"/>
      <c r="R59" s="253">
        <f t="shared" si="0"/>
        <v>0.11799999999999999</v>
      </c>
      <c r="S59" s="266" t="b">
        <v>1</v>
      </c>
      <c r="T59" s="266" t="b">
        <v>0</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row>
    <row r="60" spans="1:254" s="259" customFormat="1" ht="29.25" customHeight="1">
      <c r="A60" s="252" t="s">
        <v>2857</v>
      </c>
      <c r="B60" s="46" t="s">
        <v>2855</v>
      </c>
      <c r="C60" s="48"/>
      <c r="D60" s="48"/>
      <c r="E60" s="48" t="s">
        <v>2856</v>
      </c>
      <c r="F60" s="49">
        <v>42059</v>
      </c>
      <c r="G60" s="252" t="s">
        <v>480</v>
      </c>
      <c r="H60" s="252"/>
      <c r="I60" s="159" t="s">
        <v>2983</v>
      </c>
      <c r="J60" s="257" t="s">
        <v>1089</v>
      </c>
      <c r="K60" s="46">
        <v>0.83299999999999996</v>
      </c>
      <c r="L60" s="130">
        <f>K60*0.2*8760/1000</f>
        <v>1.459416</v>
      </c>
      <c r="M60" s="263"/>
      <c r="N60" s="32"/>
      <c r="O60" s="241"/>
      <c r="P60" s="257"/>
      <c r="Q60" s="263"/>
      <c r="R60" s="253">
        <f t="shared" si="0"/>
        <v>1.459416</v>
      </c>
      <c r="S60" s="266" t="b">
        <v>1</v>
      </c>
      <c r="T60" s="266" t="b">
        <v>0</v>
      </c>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c r="CV60" s="255"/>
      <c r="CW60" s="255"/>
      <c r="CX60" s="255"/>
      <c r="CY60" s="255"/>
      <c r="CZ60" s="255"/>
      <c r="DA60" s="255"/>
      <c r="DB60" s="255"/>
      <c r="DC60" s="255"/>
      <c r="DD60" s="255"/>
      <c r="DE60" s="255"/>
      <c r="DF60" s="255"/>
      <c r="DG60" s="255"/>
      <c r="DH60" s="255"/>
      <c r="DI60" s="255"/>
      <c r="DJ60" s="255"/>
      <c r="DK60" s="255"/>
      <c r="DL60" s="255"/>
      <c r="DM60" s="255"/>
      <c r="DN60" s="255"/>
      <c r="DO60" s="255"/>
      <c r="DP60" s="255"/>
      <c r="DQ60" s="255"/>
      <c r="DR60" s="255"/>
      <c r="DS60" s="255"/>
      <c r="DT60" s="255"/>
      <c r="DU60" s="255"/>
      <c r="DV60" s="255"/>
      <c r="DW60" s="255"/>
      <c r="DX60" s="255"/>
      <c r="DY60" s="255"/>
      <c r="DZ60" s="255"/>
      <c r="EA60" s="255"/>
      <c r="EB60" s="255"/>
      <c r="EC60" s="255"/>
      <c r="ED60" s="255"/>
      <c r="EE60" s="255"/>
      <c r="EF60" s="255"/>
      <c r="EG60" s="255"/>
      <c r="EH60" s="255"/>
      <c r="EI60" s="255"/>
      <c r="EJ60" s="255"/>
      <c r="EK60" s="255"/>
      <c r="EL60" s="255"/>
      <c r="EM60" s="255"/>
      <c r="EN60" s="255"/>
      <c r="EO60" s="255"/>
      <c r="EP60" s="255"/>
      <c r="EQ60" s="255"/>
      <c r="ER60" s="255"/>
      <c r="ES60" s="255"/>
      <c r="ET60" s="255"/>
      <c r="EU60" s="255"/>
      <c r="EV60" s="255"/>
      <c r="EW60" s="255"/>
      <c r="EX60" s="255"/>
      <c r="EY60" s="255"/>
      <c r="EZ60" s="255"/>
      <c r="FA60" s="255"/>
      <c r="FB60" s="255"/>
      <c r="FC60" s="255"/>
      <c r="FD60" s="255"/>
      <c r="FE60" s="255"/>
      <c r="FF60" s="255"/>
      <c r="FG60" s="255"/>
      <c r="FH60" s="255"/>
      <c r="FI60" s="255"/>
      <c r="FJ60" s="255"/>
      <c r="FK60" s="255"/>
      <c r="FL60" s="255"/>
      <c r="FM60" s="255"/>
      <c r="FN60" s="255"/>
      <c r="FO60" s="255"/>
      <c r="FP60" s="255"/>
      <c r="FQ60" s="255"/>
      <c r="FR60" s="255"/>
      <c r="FS60" s="255"/>
      <c r="FT60" s="255"/>
      <c r="FU60" s="255"/>
      <c r="FV60" s="255"/>
      <c r="FW60" s="255"/>
      <c r="FX60" s="255"/>
      <c r="FY60" s="255"/>
      <c r="FZ60" s="255"/>
      <c r="GA60" s="255"/>
      <c r="GB60" s="255"/>
      <c r="GC60" s="255"/>
      <c r="GD60" s="255"/>
      <c r="GE60" s="255"/>
      <c r="GF60" s="255"/>
      <c r="GG60" s="255"/>
      <c r="GH60" s="255"/>
      <c r="GI60" s="255"/>
      <c r="GJ60" s="255"/>
      <c r="GK60" s="255"/>
      <c r="GL60" s="255"/>
      <c r="GM60" s="255"/>
      <c r="GN60" s="255"/>
      <c r="GO60" s="255"/>
      <c r="GP60" s="255"/>
      <c r="GQ60" s="255"/>
      <c r="GR60" s="255"/>
      <c r="GS60" s="255"/>
      <c r="GT60" s="255"/>
      <c r="GU60" s="255"/>
      <c r="GV60" s="255"/>
      <c r="GW60" s="255"/>
      <c r="GX60" s="255"/>
      <c r="GY60" s="255"/>
      <c r="GZ60" s="255"/>
      <c r="HA60" s="255"/>
      <c r="HB60" s="255"/>
      <c r="HC60" s="255"/>
      <c r="HD60" s="255"/>
      <c r="HE60" s="255"/>
      <c r="HF60" s="255"/>
      <c r="HG60" s="255"/>
      <c r="HH60" s="255"/>
      <c r="HI60" s="255"/>
      <c r="HJ60" s="255"/>
      <c r="HK60" s="255"/>
      <c r="HL60" s="255"/>
      <c r="HM60" s="255"/>
      <c r="HN60" s="255"/>
      <c r="HO60" s="255"/>
      <c r="HP60" s="255"/>
      <c r="HQ60" s="255"/>
      <c r="HR60" s="255"/>
      <c r="HS60" s="255"/>
      <c r="HT60" s="255"/>
      <c r="HU60" s="255"/>
      <c r="HV60" s="255"/>
      <c r="HW60" s="255"/>
      <c r="HX60" s="255"/>
      <c r="HY60" s="255"/>
      <c r="HZ60" s="255"/>
      <c r="IA60" s="255"/>
      <c r="IB60" s="255"/>
      <c r="IC60" s="255"/>
      <c r="ID60" s="255"/>
      <c r="IE60" s="255"/>
      <c r="IF60" s="255"/>
      <c r="IG60" s="255"/>
      <c r="IH60" s="255"/>
      <c r="II60" s="255"/>
      <c r="IJ60" s="255"/>
      <c r="IK60" s="255"/>
      <c r="IL60" s="255"/>
      <c r="IM60" s="255"/>
      <c r="IN60" s="255"/>
      <c r="IO60" s="255"/>
      <c r="IP60" s="255"/>
      <c r="IQ60" s="255"/>
      <c r="IR60" s="255"/>
      <c r="IS60" s="255"/>
      <c r="IT60" s="255"/>
    </row>
    <row r="61" spans="1:254" s="465" customFormat="1" ht="29.25" customHeight="1">
      <c r="A61" s="254" t="s">
        <v>1934</v>
      </c>
      <c r="B61" s="286" t="s">
        <v>2898</v>
      </c>
      <c r="C61" s="252"/>
      <c r="D61" s="48"/>
      <c r="E61" s="48"/>
      <c r="F61" s="43">
        <v>41530</v>
      </c>
      <c r="G61" s="46"/>
      <c r="H61" s="46"/>
      <c r="I61" s="46" t="s">
        <v>2983</v>
      </c>
      <c r="J61" s="257" t="s">
        <v>1089</v>
      </c>
      <c r="K61" s="252">
        <v>0.83299999999999996</v>
      </c>
      <c r="L61" s="193">
        <f>M61</f>
        <v>2.006697</v>
      </c>
      <c r="M61" s="130">
        <f>K61*0.275*8.76</f>
        <v>2.006697</v>
      </c>
      <c r="N61" s="136"/>
      <c r="O61" s="37"/>
      <c r="P61" s="37"/>
      <c r="Q61" s="37"/>
      <c r="R61" s="253">
        <f t="shared" si="0"/>
        <v>2.006697</v>
      </c>
      <c r="S61" s="266" t="b">
        <v>1</v>
      </c>
      <c r="T61" s="266" t="b">
        <v>0</v>
      </c>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255"/>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5"/>
      <c r="ER61" s="255"/>
      <c r="ES61" s="255"/>
      <c r="ET61" s="255"/>
      <c r="EU61" s="255"/>
      <c r="EV61" s="255"/>
      <c r="EW61" s="255"/>
      <c r="EX61" s="255"/>
      <c r="EY61" s="255"/>
      <c r="EZ61" s="255"/>
      <c r="FA61" s="255"/>
      <c r="FB61" s="255"/>
      <c r="FC61" s="255"/>
      <c r="FD61" s="255"/>
      <c r="FE61" s="255"/>
      <c r="FF61" s="255"/>
      <c r="FG61" s="255"/>
      <c r="FH61" s="255"/>
      <c r="FI61" s="255"/>
      <c r="FJ61" s="255"/>
      <c r="FK61" s="255"/>
      <c r="FL61" s="255"/>
      <c r="FM61" s="255"/>
      <c r="FN61" s="255"/>
      <c r="FO61" s="255"/>
      <c r="FP61" s="255"/>
      <c r="FQ61" s="255"/>
      <c r="FR61" s="255"/>
      <c r="FS61" s="255"/>
      <c r="FT61" s="255"/>
      <c r="FU61" s="255"/>
      <c r="FV61" s="255"/>
      <c r="FW61" s="255"/>
      <c r="FX61" s="255"/>
      <c r="FY61" s="255"/>
      <c r="FZ61" s="255"/>
      <c r="GA61" s="255"/>
      <c r="GB61" s="255"/>
      <c r="GC61" s="255"/>
      <c r="GD61" s="255"/>
      <c r="GE61" s="255"/>
      <c r="GF61" s="255"/>
      <c r="GG61" s="255"/>
      <c r="GH61" s="255"/>
      <c r="GI61" s="255"/>
      <c r="GJ61" s="255"/>
      <c r="GK61" s="255"/>
      <c r="GL61" s="255"/>
      <c r="GM61" s="255"/>
      <c r="GN61" s="255"/>
      <c r="GO61" s="255"/>
      <c r="GP61" s="255"/>
      <c r="GQ61" s="255"/>
      <c r="GR61" s="255"/>
      <c r="GS61" s="255"/>
      <c r="GT61" s="255"/>
      <c r="GU61" s="255"/>
      <c r="GV61" s="255"/>
      <c r="GW61" s="255"/>
      <c r="GX61" s="255"/>
      <c r="GY61" s="255"/>
      <c r="GZ61" s="255"/>
      <c r="HA61" s="255"/>
      <c r="HB61" s="255"/>
      <c r="HC61" s="255"/>
      <c r="HD61" s="255"/>
      <c r="HE61" s="255"/>
      <c r="HF61" s="255"/>
      <c r="HG61" s="255"/>
      <c r="HH61" s="255"/>
      <c r="HI61" s="255"/>
      <c r="HJ61" s="255"/>
      <c r="HK61" s="255"/>
      <c r="HL61" s="255"/>
      <c r="HM61" s="255"/>
      <c r="HN61" s="255"/>
      <c r="HO61" s="255"/>
      <c r="HP61" s="255"/>
      <c r="HQ61" s="255"/>
      <c r="HR61" s="255"/>
      <c r="HS61" s="255"/>
      <c r="HT61" s="255"/>
      <c r="HU61" s="255"/>
      <c r="HV61" s="255"/>
      <c r="HW61" s="255"/>
      <c r="HX61" s="255"/>
      <c r="HY61" s="255"/>
      <c r="HZ61" s="255"/>
      <c r="IA61" s="255"/>
      <c r="IB61" s="255"/>
      <c r="IC61" s="255"/>
      <c r="ID61" s="255"/>
      <c r="IE61" s="255"/>
      <c r="IF61" s="255"/>
      <c r="IG61" s="255"/>
      <c r="IH61" s="255"/>
      <c r="II61" s="255"/>
      <c r="IJ61" s="255"/>
      <c r="IK61" s="255"/>
      <c r="IL61" s="255"/>
      <c r="IM61" s="255"/>
      <c r="IN61" s="255"/>
      <c r="IO61" s="255"/>
      <c r="IP61" s="255"/>
      <c r="IQ61" s="255"/>
      <c r="IR61" s="255"/>
      <c r="IS61" s="255"/>
      <c r="IT61" s="255"/>
    </row>
    <row r="62" spans="1:254" s="465" customFormat="1" ht="29.25" customHeight="1">
      <c r="A62" s="254" t="s">
        <v>5246</v>
      </c>
      <c r="B62" s="286" t="s">
        <v>5174</v>
      </c>
      <c r="C62" s="252"/>
      <c r="D62" s="48" t="s">
        <v>1036</v>
      </c>
      <c r="E62" s="48"/>
      <c r="F62" s="43"/>
      <c r="G62" s="27"/>
      <c r="H62" s="27"/>
      <c r="I62" s="159" t="s">
        <v>2983</v>
      </c>
      <c r="J62" s="257" t="s">
        <v>1089</v>
      </c>
      <c r="K62" s="192">
        <v>0.254</v>
      </c>
      <c r="L62" s="130">
        <f>K62*0.2*8760/1000</f>
        <v>0.44500800000000001</v>
      </c>
      <c r="M62" s="28"/>
      <c r="N62" s="28"/>
      <c r="O62" s="28"/>
      <c r="P62" s="28"/>
      <c r="Q62" s="28"/>
      <c r="R62" s="253">
        <f t="shared" si="0"/>
        <v>0.44500800000000001</v>
      </c>
      <c r="S62" s="266" t="b">
        <v>1</v>
      </c>
      <c r="T62" s="266" t="b">
        <v>0</v>
      </c>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c r="IS62" s="131"/>
      <c r="IT62" s="131"/>
    </row>
    <row r="63" spans="1:254" ht="29.25" customHeight="1">
      <c r="A63" s="254" t="s">
        <v>1181</v>
      </c>
      <c r="B63" s="262" t="s">
        <v>5046</v>
      </c>
      <c r="C63" s="252"/>
      <c r="D63" s="48" t="s">
        <v>4429</v>
      </c>
      <c r="E63" s="48" t="s">
        <v>5045</v>
      </c>
      <c r="F63" s="43">
        <v>41416</v>
      </c>
      <c r="G63" s="46"/>
      <c r="H63" s="46"/>
      <c r="I63" s="257" t="s">
        <v>2946</v>
      </c>
      <c r="J63" s="257" t="s">
        <v>1089</v>
      </c>
      <c r="K63" s="252"/>
      <c r="L63" s="130">
        <v>0.69263600000000003</v>
      </c>
      <c r="M63" s="130"/>
      <c r="N63" s="136"/>
      <c r="O63" s="37"/>
      <c r="P63" s="37"/>
      <c r="Q63" s="37"/>
      <c r="R63" s="253">
        <f t="shared" si="0"/>
        <v>0.69263600000000003</v>
      </c>
      <c r="S63" s="266" t="b">
        <v>1</v>
      </c>
      <c r="T63" s="266" t="b">
        <v>0</v>
      </c>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c r="IS63" s="131"/>
      <c r="IT63" s="131"/>
    </row>
    <row r="64" spans="1:254" ht="29.25" customHeight="1">
      <c r="A64" s="254" t="s">
        <v>5321</v>
      </c>
      <c r="B64" s="262" t="s">
        <v>5342</v>
      </c>
      <c r="C64" s="252"/>
      <c r="D64" s="48"/>
      <c r="E64" s="48" t="s">
        <v>5341</v>
      </c>
      <c r="F64" s="43"/>
      <c r="G64" s="46"/>
      <c r="H64" s="46"/>
      <c r="I64" s="257" t="s">
        <v>2946</v>
      </c>
      <c r="J64" s="257" t="s">
        <v>1089</v>
      </c>
      <c r="K64" s="252">
        <v>3.5999999999999997E-2</v>
      </c>
      <c r="L64" s="130">
        <v>4.2472000000000003E-2</v>
      </c>
      <c r="M64" s="130"/>
      <c r="N64" s="136"/>
      <c r="O64" s="37"/>
      <c r="P64" s="37"/>
      <c r="Q64" s="37"/>
      <c r="R64" s="253">
        <f t="shared" si="0"/>
        <v>4.2472000000000003E-2</v>
      </c>
      <c r="S64" s="266" t="b">
        <v>1</v>
      </c>
      <c r="T64" s="266" t="b">
        <v>0</v>
      </c>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c r="IS64" s="131"/>
      <c r="IT64" s="131"/>
    </row>
    <row r="65" spans="1:254" ht="29.25" customHeight="1">
      <c r="A65" s="254" t="s">
        <v>5321</v>
      </c>
      <c r="B65" s="262" t="s">
        <v>5315</v>
      </c>
      <c r="C65" s="252"/>
      <c r="D65" s="48"/>
      <c r="E65" s="48" t="s">
        <v>5318</v>
      </c>
      <c r="F65" s="43"/>
      <c r="G65" s="46"/>
      <c r="H65" s="46"/>
      <c r="I65" s="257" t="s">
        <v>2946</v>
      </c>
      <c r="J65" s="257" t="s">
        <v>1089</v>
      </c>
      <c r="K65" s="252"/>
      <c r="L65" s="130">
        <v>0.107625</v>
      </c>
      <c r="M65" s="130"/>
      <c r="N65" s="136"/>
      <c r="O65" s="37"/>
      <c r="P65" s="37"/>
      <c r="Q65" s="37"/>
      <c r="R65" s="253">
        <f t="shared" si="0"/>
        <v>0.107625</v>
      </c>
      <c r="S65" s="266" t="b">
        <v>1</v>
      </c>
      <c r="T65" s="266" t="b">
        <v>0</v>
      </c>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row>
    <row r="66" spans="1:254" ht="29.25" customHeight="1">
      <c r="A66" s="254" t="s">
        <v>5321</v>
      </c>
      <c r="B66" s="262" t="s">
        <v>5316</v>
      </c>
      <c r="C66" s="252"/>
      <c r="D66" s="48"/>
      <c r="E66" s="48" t="s">
        <v>5319</v>
      </c>
      <c r="F66" s="43"/>
      <c r="G66" s="46"/>
      <c r="H66" s="46"/>
      <c r="I66" s="257" t="s">
        <v>2946</v>
      </c>
      <c r="J66" s="257" t="s">
        <v>1089</v>
      </c>
      <c r="K66" s="252"/>
      <c r="L66" s="130">
        <v>0.10997</v>
      </c>
      <c r="M66" s="130"/>
      <c r="N66" s="136"/>
      <c r="O66" s="37"/>
      <c r="P66" s="37"/>
      <c r="Q66" s="37"/>
      <c r="R66" s="253">
        <f t="shared" si="0"/>
        <v>0.10997</v>
      </c>
      <c r="S66" s="266" t="b">
        <v>1</v>
      </c>
      <c r="T66" s="266" t="b">
        <v>0</v>
      </c>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131"/>
      <c r="GB66" s="131"/>
      <c r="GC66" s="131"/>
      <c r="GD66" s="131"/>
      <c r="GE66" s="131"/>
      <c r="GF66" s="131"/>
      <c r="GG66" s="131"/>
      <c r="GH66" s="131"/>
      <c r="GI66" s="131"/>
      <c r="GJ66" s="131"/>
      <c r="GK66" s="131"/>
      <c r="GL66" s="131"/>
      <c r="GM66" s="131"/>
      <c r="GN66" s="131"/>
      <c r="GO66" s="131"/>
      <c r="GP66" s="131"/>
      <c r="GQ66" s="131"/>
      <c r="GR66" s="131"/>
      <c r="GS66" s="131"/>
      <c r="GT66" s="131"/>
      <c r="GU66" s="131"/>
      <c r="GV66" s="131"/>
      <c r="GW66" s="131"/>
      <c r="GX66" s="131"/>
      <c r="GY66" s="131"/>
      <c r="GZ66" s="131"/>
      <c r="HA66" s="131"/>
      <c r="HB66" s="131"/>
      <c r="HC66" s="131"/>
      <c r="HD66" s="131"/>
      <c r="HE66" s="131"/>
      <c r="HF66" s="131"/>
      <c r="HG66" s="131"/>
      <c r="HH66" s="131"/>
      <c r="HI66" s="131"/>
      <c r="HJ66" s="131"/>
      <c r="HK66" s="131"/>
      <c r="HL66" s="131"/>
      <c r="HM66" s="131"/>
      <c r="HN66" s="131"/>
      <c r="HO66" s="131"/>
      <c r="HP66" s="131"/>
      <c r="HQ66" s="131"/>
      <c r="HR66" s="131"/>
      <c r="HS66" s="131"/>
      <c r="HT66" s="131"/>
      <c r="HU66" s="131"/>
      <c r="HV66" s="131"/>
      <c r="HW66" s="131"/>
      <c r="HX66" s="131"/>
      <c r="HY66" s="131"/>
      <c r="HZ66" s="131"/>
      <c r="IA66" s="131"/>
      <c r="IB66" s="131"/>
      <c r="IC66" s="131"/>
      <c r="ID66" s="131"/>
      <c r="IE66" s="131"/>
      <c r="IF66" s="131"/>
      <c r="IG66" s="131"/>
      <c r="IH66" s="131"/>
      <c r="II66" s="131"/>
      <c r="IJ66" s="131"/>
      <c r="IK66" s="131"/>
      <c r="IL66" s="131"/>
      <c r="IM66" s="131"/>
      <c r="IN66" s="131"/>
      <c r="IO66" s="131"/>
      <c r="IP66" s="131"/>
      <c r="IQ66" s="131"/>
      <c r="IR66" s="131"/>
      <c r="IS66" s="131"/>
      <c r="IT66" s="131"/>
    </row>
    <row r="67" spans="1:254" ht="29.25" customHeight="1">
      <c r="A67" s="254" t="s">
        <v>5321</v>
      </c>
      <c r="B67" s="262" t="s">
        <v>5317</v>
      </c>
      <c r="C67" s="252"/>
      <c r="D67" s="48"/>
      <c r="E67" s="48" t="s">
        <v>5320</v>
      </c>
      <c r="F67" s="43"/>
      <c r="G67" s="46"/>
      <c r="H67" s="46"/>
      <c r="I67" s="257" t="s">
        <v>2946</v>
      </c>
      <c r="J67" s="257" t="s">
        <v>1089</v>
      </c>
      <c r="K67" s="252"/>
      <c r="L67" s="130">
        <v>0.20976400000000001</v>
      </c>
      <c r="M67" s="130"/>
      <c r="N67" s="136"/>
      <c r="O67" s="37"/>
      <c r="P67" s="37"/>
      <c r="Q67" s="37"/>
      <c r="R67" s="253">
        <f t="shared" si="0"/>
        <v>0.20976400000000001</v>
      </c>
      <c r="S67" s="266" t="b">
        <v>1</v>
      </c>
      <c r="T67" s="266" t="b">
        <v>0</v>
      </c>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row>
    <row r="68" spans="1:254" ht="29.25" customHeight="1">
      <c r="A68" s="254" t="s">
        <v>5321</v>
      </c>
      <c r="B68" s="262" t="s">
        <v>5322</v>
      </c>
      <c r="C68" s="252"/>
      <c r="D68" s="48"/>
      <c r="E68" s="48" t="s">
        <v>5323</v>
      </c>
      <c r="F68" s="43"/>
      <c r="G68" s="46"/>
      <c r="H68" s="46"/>
      <c r="I68" s="257" t="s">
        <v>2946</v>
      </c>
      <c r="J68" s="257" t="s">
        <v>1089</v>
      </c>
      <c r="K68" s="252">
        <v>0.1</v>
      </c>
      <c r="L68" s="130">
        <v>0.15610099999999999</v>
      </c>
      <c r="M68" s="130"/>
      <c r="N68" s="136"/>
      <c r="O68" s="37"/>
      <c r="P68" s="37"/>
      <c r="Q68" s="37"/>
      <c r="R68" s="253">
        <f t="shared" ref="R68:R119" si="1">IF(AND(S68,NOT(T68)),AVERAGE(L68:Q68),0)</f>
        <v>0.15610099999999999</v>
      </c>
      <c r="S68" s="266" t="b">
        <v>1</v>
      </c>
      <c r="T68" s="266" t="b">
        <v>0</v>
      </c>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c r="GK68" s="131"/>
      <c r="GL68" s="131"/>
      <c r="GM68" s="131"/>
      <c r="GN68" s="131"/>
      <c r="GO68" s="131"/>
      <c r="GP68" s="131"/>
      <c r="GQ68" s="131"/>
      <c r="GR68" s="131"/>
      <c r="GS68" s="131"/>
      <c r="GT68" s="131"/>
      <c r="GU68" s="131"/>
      <c r="GV68" s="131"/>
      <c r="GW68" s="131"/>
      <c r="GX68" s="131"/>
      <c r="GY68" s="131"/>
      <c r="GZ68" s="131"/>
      <c r="HA68" s="131"/>
      <c r="HB68" s="131"/>
      <c r="HC68" s="131"/>
      <c r="HD68" s="131"/>
      <c r="HE68" s="131"/>
      <c r="HF68" s="131"/>
      <c r="HG68" s="131"/>
      <c r="HH68" s="131"/>
      <c r="HI68" s="131"/>
      <c r="HJ68" s="131"/>
      <c r="HK68" s="131"/>
      <c r="HL68" s="131"/>
      <c r="HM68" s="131"/>
      <c r="HN68" s="131"/>
      <c r="HO68" s="131"/>
      <c r="HP68" s="131"/>
      <c r="HQ68" s="131"/>
      <c r="HR68" s="131"/>
      <c r="HS68" s="131"/>
      <c r="HT68" s="131"/>
      <c r="HU68" s="131"/>
      <c r="HV68" s="131"/>
      <c r="HW68" s="131"/>
      <c r="HX68" s="131"/>
      <c r="HY68" s="131"/>
      <c r="HZ68" s="131"/>
      <c r="IA68" s="131"/>
      <c r="IB68" s="131"/>
      <c r="IC68" s="131"/>
      <c r="ID68" s="131"/>
      <c r="IE68" s="131"/>
      <c r="IF68" s="131"/>
      <c r="IG68" s="131"/>
      <c r="IH68" s="131"/>
      <c r="II68" s="131"/>
      <c r="IJ68" s="131"/>
      <c r="IK68" s="131"/>
      <c r="IL68" s="131"/>
      <c r="IM68" s="131"/>
      <c r="IN68" s="131"/>
      <c r="IO68" s="131"/>
      <c r="IP68" s="131"/>
      <c r="IQ68" s="131"/>
      <c r="IR68" s="131"/>
      <c r="IS68" s="131"/>
      <c r="IT68" s="131"/>
    </row>
    <row r="69" spans="1:254" ht="29.25" customHeight="1">
      <c r="A69" s="254" t="s">
        <v>5321</v>
      </c>
      <c r="B69" s="262" t="s">
        <v>5325</v>
      </c>
      <c r="C69" s="252"/>
      <c r="D69" s="48"/>
      <c r="E69" s="48" t="s">
        <v>5324</v>
      </c>
      <c r="F69" s="43"/>
      <c r="G69" s="46"/>
      <c r="H69" s="46"/>
      <c r="I69" s="257" t="s">
        <v>2946</v>
      </c>
      <c r="J69" s="257" t="s">
        <v>1089</v>
      </c>
      <c r="K69" s="252">
        <v>0.106</v>
      </c>
      <c r="L69" s="130">
        <v>0.14737500000000001</v>
      </c>
      <c r="M69" s="130"/>
      <c r="N69" s="136"/>
      <c r="O69" s="37"/>
      <c r="P69" s="37"/>
      <c r="Q69" s="37"/>
      <c r="R69" s="253">
        <f t="shared" si="1"/>
        <v>0.14737500000000001</v>
      </c>
      <c r="S69" s="266" t="b">
        <v>1</v>
      </c>
      <c r="T69" s="266" t="b">
        <v>0</v>
      </c>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c r="IN69" s="131"/>
      <c r="IO69" s="131"/>
      <c r="IP69" s="131"/>
      <c r="IQ69" s="131"/>
      <c r="IR69" s="131"/>
      <c r="IS69" s="131"/>
      <c r="IT69" s="131"/>
    </row>
    <row r="70" spans="1:254" ht="29.25" customHeight="1">
      <c r="A70" s="254" t="s">
        <v>1935</v>
      </c>
      <c r="B70" s="286" t="s">
        <v>2897</v>
      </c>
      <c r="C70" s="252"/>
      <c r="D70" s="48"/>
      <c r="E70" s="48" t="s">
        <v>3238</v>
      </c>
      <c r="F70" s="43">
        <v>41835</v>
      </c>
      <c r="G70" s="46"/>
      <c r="H70" s="46">
        <v>59652</v>
      </c>
      <c r="I70" s="46" t="s">
        <v>3541</v>
      </c>
      <c r="J70" s="257" t="s">
        <v>1089</v>
      </c>
      <c r="K70" s="252">
        <v>1.1839999999999999</v>
      </c>
      <c r="L70" s="193">
        <f>M70</f>
        <v>0.33200000000000002</v>
      </c>
      <c r="M70" s="130">
        <v>0.33200000000000002</v>
      </c>
      <c r="N70" s="136"/>
      <c r="O70" s="37"/>
      <c r="P70" s="37"/>
      <c r="Q70" s="37"/>
      <c r="R70" s="253">
        <f t="shared" si="1"/>
        <v>0.33200000000000002</v>
      </c>
      <c r="S70" s="266" t="b">
        <v>1</v>
      </c>
      <c r="T70" s="266" t="b">
        <v>0</v>
      </c>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259"/>
      <c r="CJ70" s="259"/>
      <c r="CK70" s="259"/>
      <c r="CL70" s="259"/>
      <c r="CM70" s="259"/>
      <c r="CN70" s="259"/>
      <c r="CO70" s="259"/>
      <c r="CP70" s="259"/>
      <c r="CQ70" s="259"/>
      <c r="CR70" s="259"/>
      <c r="CS70" s="259"/>
      <c r="CT70" s="259"/>
      <c r="CU70" s="259"/>
      <c r="CV70" s="259"/>
      <c r="CW70" s="259"/>
      <c r="CX70" s="259"/>
      <c r="CY70" s="259"/>
      <c r="CZ70" s="259"/>
      <c r="DA70" s="259"/>
      <c r="DB70" s="259"/>
      <c r="DC70" s="259"/>
      <c r="DD70" s="259"/>
      <c r="DE70" s="259"/>
      <c r="DF70" s="259"/>
      <c r="DG70" s="259"/>
      <c r="DH70" s="259"/>
      <c r="DI70" s="259"/>
      <c r="DJ70" s="259"/>
      <c r="DK70" s="259"/>
      <c r="DL70" s="259"/>
      <c r="DM70" s="259"/>
      <c r="DN70" s="259"/>
      <c r="DO70" s="259"/>
      <c r="DP70" s="259"/>
      <c r="DQ70" s="259"/>
      <c r="DR70" s="259"/>
      <c r="DS70" s="259"/>
      <c r="DT70" s="259"/>
      <c r="DU70" s="259"/>
      <c r="DV70" s="259"/>
      <c r="DW70" s="259"/>
      <c r="DX70" s="259"/>
      <c r="DY70" s="259"/>
      <c r="DZ70" s="259"/>
      <c r="EA70" s="259"/>
      <c r="EB70" s="259"/>
      <c r="EC70" s="259"/>
      <c r="ED70" s="259"/>
      <c r="EE70" s="259"/>
      <c r="EF70" s="259"/>
      <c r="EG70" s="259"/>
      <c r="EH70" s="259"/>
      <c r="EI70" s="259"/>
      <c r="EJ70" s="259"/>
      <c r="EK70" s="259"/>
      <c r="EL70" s="259"/>
      <c r="EM70" s="259"/>
      <c r="EN70" s="259"/>
      <c r="EO70" s="259"/>
      <c r="EP70" s="259"/>
      <c r="EQ70" s="259"/>
      <c r="ER70" s="259"/>
      <c r="ES70" s="259"/>
      <c r="ET70" s="259"/>
      <c r="EU70" s="259"/>
      <c r="EV70" s="259"/>
      <c r="EW70" s="259"/>
      <c r="EX70" s="259"/>
      <c r="EY70" s="259"/>
      <c r="EZ70" s="259"/>
      <c r="FA70" s="259"/>
      <c r="FB70" s="259"/>
      <c r="FC70" s="259"/>
      <c r="FD70" s="259"/>
      <c r="FE70" s="259"/>
      <c r="FF70" s="259"/>
      <c r="FG70" s="259"/>
      <c r="FH70" s="259"/>
      <c r="FI70" s="259"/>
      <c r="FJ70" s="259"/>
      <c r="FK70" s="259"/>
      <c r="FL70" s="259"/>
      <c r="FM70" s="259"/>
      <c r="FN70" s="259"/>
      <c r="FO70" s="259"/>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259"/>
      <c r="GL70" s="259"/>
      <c r="GM70" s="259"/>
      <c r="GN70" s="259"/>
      <c r="GO70" s="259"/>
      <c r="GP70" s="259"/>
      <c r="GQ70" s="259"/>
      <c r="GR70" s="259"/>
      <c r="GS70" s="259"/>
      <c r="GT70" s="259"/>
      <c r="GU70" s="259"/>
      <c r="GV70" s="259"/>
      <c r="GW70" s="259"/>
      <c r="GX70" s="259"/>
      <c r="GY70" s="259"/>
      <c r="GZ70" s="259"/>
      <c r="HA70" s="259"/>
      <c r="HB70" s="259"/>
      <c r="HC70" s="259"/>
      <c r="HD70" s="259"/>
      <c r="HE70" s="259"/>
      <c r="HF70" s="259"/>
      <c r="HG70" s="259"/>
      <c r="HH70" s="259"/>
      <c r="HI70" s="259"/>
      <c r="HJ70" s="259"/>
      <c r="HK70" s="259"/>
      <c r="HL70" s="259"/>
      <c r="HM70" s="259"/>
      <c r="HN70" s="259"/>
      <c r="HO70" s="259"/>
      <c r="HP70" s="259"/>
      <c r="HQ70" s="259"/>
      <c r="HR70" s="259"/>
      <c r="HS70" s="259"/>
      <c r="HT70" s="259"/>
      <c r="HU70" s="259"/>
      <c r="HV70" s="259"/>
      <c r="HW70" s="259"/>
      <c r="HX70" s="259"/>
      <c r="HY70" s="259"/>
      <c r="HZ70" s="259"/>
      <c r="IA70" s="259"/>
      <c r="IB70" s="259"/>
      <c r="IC70" s="259"/>
      <c r="ID70" s="259"/>
      <c r="IE70" s="259"/>
      <c r="IF70" s="259"/>
      <c r="IG70" s="259"/>
      <c r="IH70" s="259"/>
      <c r="II70" s="259"/>
      <c r="IJ70" s="259"/>
      <c r="IK70" s="259"/>
      <c r="IL70" s="259"/>
      <c r="IM70" s="259"/>
      <c r="IN70" s="259"/>
      <c r="IO70" s="259"/>
      <c r="IP70" s="259"/>
      <c r="IQ70" s="259"/>
      <c r="IR70" s="259"/>
      <c r="IS70" s="259"/>
      <c r="IT70" s="259"/>
    </row>
    <row r="71" spans="1:254" ht="29.25" customHeight="1">
      <c r="A71" s="254"/>
      <c r="B71" s="286" t="s">
        <v>5282</v>
      </c>
      <c r="C71" s="252"/>
      <c r="D71" s="48"/>
      <c r="E71" s="48" t="s">
        <v>5193</v>
      </c>
      <c r="F71" s="43">
        <v>41466</v>
      </c>
      <c r="G71" s="46" t="s">
        <v>5184</v>
      </c>
      <c r="H71" s="46"/>
      <c r="I71" s="46" t="s">
        <v>2946</v>
      </c>
      <c r="J71" s="257" t="s">
        <v>1089</v>
      </c>
      <c r="K71" s="193">
        <v>0.36731000000000003</v>
      </c>
      <c r="L71" s="130">
        <v>0.52209821585775484</v>
      </c>
      <c r="M71" s="130"/>
      <c r="N71" s="28"/>
      <c r="O71" s="37"/>
      <c r="P71" s="37"/>
      <c r="Q71" s="37"/>
      <c r="R71" s="253">
        <f t="shared" si="1"/>
        <v>0.52209821585775484</v>
      </c>
      <c r="S71" s="266" t="b">
        <v>1</v>
      </c>
      <c r="T71" s="266" t="b">
        <v>0</v>
      </c>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c r="GK71" s="131"/>
      <c r="GL71" s="131"/>
      <c r="GM71" s="131"/>
      <c r="GN71" s="131"/>
      <c r="GO71" s="131"/>
      <c r="GP71" s="131"/>
      <c r="GQ71" s="131"/>
      <c r="GR71" s="131"/>
      <c r="GS71" s="131"/>
      <c r="GT71" s="131"/>
      <c r="GU71" s="131"/>
      <c r="GV71" s="131"/>
      <c r="GW71" s="131"/>
      <c r="GX71" s="131"/>
      <c r="GY71" s="131"/>
      <c r="GZ71" s="131"/>
      <c r="HA71" s="131"/>
      <c r="HB71" s="131"/>
      <c r="HC71" s="131"/>
      <c r="HD71" s="131"/>
      <c r="HE71" s="131"/>
      <c r="HF71" s="131"/>
      <c r="HG71" s="131"/>
      <c r="HH71" s="131"/>
      <c r="HI71" s="131"/>
      <c r="HJ71" s="131"/>
      <c r="HK71" s="131"/>
      <c r="HL71" s="131"/>
      <c r="HM71" s="131"/>
      <c r="HN71" s="131"/>
      <c r="HO71" s="131"/>
      <c r="HP71" s="131"/>
      <c r="HQ71" s="131"/>
      <c r="HR71" s="131"/>
      <c r="HS71" s="131"/>
      <c r="HT71" s="131"/>
      <c r="HU71" s="131"/>
      <c r="HV71" s="131"/>
      <c r="HW71" s="131"/>
      <c r="HX71" s="131"/>
      <c r="HY71" s="131"/>
      <c r="HZ71" s="131"/>
      <c r="IA71" s="131"/>
      <c r="IB71" s="131"/>
      <c r="IC71" s="131"/>
      <c r="ID71" s="131"/>
      <c r="IE71" s="131"/>
      <c r="IF71" s="131"/>
      <c r="IG71" s="131"/>
      <c r="IH71" s="131"/>
      <c r="II71" s="131"/>
      <c r="IJ71" s="131"/>
      <c r="IK71" s="131"/>
      <c r="IL71" s="131"/>
      <c r="IM71" s="131"/>
      <c r="IN71" s="131"/>
      <c r="IO71" s="131"/>
      <c r="IP71" s="131"/>
      <c r="IQ71" s="131"/>
      <c r="IR71" s="131"/>
      <c r="IS71" s="131"/>
      <c r="IT71" s="131"/>
    </row>
    <row r="72" spans="1:254" ht="29.25" customHeight="1">
      <c r="A72" s="254"/>
      <c r="B72" s="286" t="s">
        <v>5283</v>
      </c>
      <c r="C72" s="252"/>
      <c r="D72" s="48"/>
      <c r="E72" s="48" t="s">
        <v>5301</v>
      </c>
      <c r="F72" s="43">
        <v>40778</v>
      </c>
      <c r="G72" s="46" t="s">
        <v>5184</v>
      </c>
      <c r="H72" s="195"/>
      <c r="I72" s="46" t="s">
        <v>2946</v>
      </c>
      <c r="J72" s="257" t="s">
        <v>1089</v>
      </c>
      <c r="K72" s="193">
        <v>0.38102999999999998</v>
      </c>
      <c r="L72" s="130">
        <v>0.54159996512014463</v>
      </c>
      <c r="M72" s="130"/>
      <c r="N72" s="28"/>
      <c r="O72" s="37"/>
      <c r="P72" s="37"/>
      <c r="Q72" s="37"/>
      <c r="R72" s="253">
        <f t="shared" si="1"/>
        <v>0.54159996512014463</v>
      </c>
      <c r="S72" s="266" t="b">
        <v>1</v>
      </c>
      <c r="T72" s="266" t="b">
        <v>0</v>
      </c>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c r="IN72" s="131"/>
      <c r="IO72" s="131"/>
      <c r="IP72" s="131"/>
      <c r="IQ72" s="131"/>
      <c r="IR72" s="131"/>
      <c r="IS72" s="131"/>
      <c r="IT72" s="131"/>
    </row>
    <row r="73" spans="1:254" ht="29.25" customHeight="1">
      <c r="A73" s="254"/>
      <c r="B73" s="286" t="s">
        <v>5284</v>
      </c>
      <c r="C73" s="252"/>
      <c r="D73" s="48"/>
      <c r="E73" s="48" t="s">
        <v>5190</v>
      </c>
      <c r="F73" s="43">
        <v>41590</v>
      </c>
      <c r="G73" s="46" t="s">
        <v>5184</v>
      </c>
      <c r="H73" s="46"/>
      <c r="I73" s="46" t="s">
        <v>2946</v>
      </c>
      <c r="J73" s="257" t="s">
        <v>1089</v>
      </c>
      <c r="K73" s="193">
        <v>0.53139999999999998</v>
      </c>
      <c r="L73" s="130">
        <v>0.75533743134358156</v>
      </c>
      <c r="M73" s="130"/>
      <c r="N73" s="28"/>
      <c r="O73" s="37"/>
      <c r="P73" s="37"/>
      <c r="Q73" s="37"/>
      <c r="R73" s="253">
        <f t="shared" si="1"/>
        <v>0.75533743134358156</v>
      </c>
      <c r="S73" s="266" t="b">
        <v>1</v>
      </c>
      <c r="T73" s="266" t="b">
        <v>0</v>
      </c>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c r="IS73" s="131"/>
      <c r="IT73" s="131"/>
    </row>
    <row r="74" spans="1:254" ht="29.25" customHeight="1">
      <c r="A74" s="254"/>
      <c r="B74" s="286" t="s">
        <v>5285</v>
      </c>
      <c r="C74" s="252"/>
      <c r="D74" s="48"/>
      <c r="E74" s="48" t="s">
        <v>5191</v>
      </c>
      <c r="F74" s="43">
        <v>41590</v>
      </c>
      <c r="G74" s="46" t="s">
        <v>5184</v>
      </c>
      <c r="H74" s="46"/>
      <c r="I74" s="46" t="s">
        <v>2946</v>
      </c>
      <c r="J74" s="257" t="s">
        <v>1089</v>
      </c>
      <c r="K74" s="244">
        <v>0.25740000000000002</v>
      </c>
      <c r="L74" s="130">
        <v>0.36587101021422264</v>
      </c>
      <c r="M74" s="130"/>
      <c r="N74" s="28"/>
      <c r="O74" s="37"/>
      <c r="P74" s="37"/>
      <c r="Q74" s="37"/>
      <c r="R74" s="253">
        <f t="shared" si="1"/>
        <v>0.36587101021422264</v>
      </c>
      <c r="S74" s="266" t="b">
        <v>1</v>
      </c>
      <c r="T74" s="266" t="b">
        <v>0</v>
      </c>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c r="IS74" s="131"/>
      <c r="IT74" s="131"/>
    </row>
    <row r="75" spans="1:254" ht="29.25" customHeight="1">
      <c r="A75" s="252"/>
      <c r="B75" s="286" t="s">
        <v>5286</v>
      </c>
      <c r="C75" s="252"/>
      <c r="D75" s="48"/>
      <c r="E75" s="48" t="s">
        <v>5186</v>
      </c>
      <c r="F75" s="43">
        <v>41471</v>
      </c>
      <c r="G75" s="46" t="s">
        <v>5184</v>
      </c>
      <c r="H75" s="46"/>
      <c r="I75" s="46" t="s">
        <v>2946</v>
      </c>
      <c r="J75" s="257" t="s">
        <v>1089</v>
      </c>
      <c r="K75" s="244">
        <v>0.705569</v>
      </c>
      <c r="L75" s="130">
        <v>1.002903041203725</v>
      </c>
      <c r="M75" s="130"/>
      <c r="N75" s="28"/>
      <c r="O75" s="37"/>
      <c r="P75" s="37"/>
      <c r="Q75" s="37"/>
      <c r="R75" s="253">
        <f t="shared" si="1"/>
        <v>1.002903041203725</v>
      </c>
      <c r="S75" s="266" t="b">
        <v>1</v>
      </c>
      <c r="T75" s="266" t="b">
        <v>0</v>
      </c>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131"/>
      <c r="GB75" s="131"/>
      <c r="GC75" s="131"/>
      <c r="GD75" s="131"/>
      <c r="GE75" s="131"/>
      <c r="GF75" s="131"/>
      <c r="GG75" s="131"/>
      <c r="GH75" s="131"/>
      <c r="GI75" s="131"/>
      <c r="GJ75" s="131"/>
      <c r="GK75" s="131"/>
      <c r="GL75" s="131"/>
      <c r="GM75" s="131"/>
      <c r="GN75" s="131"/>
      <c r="GO75" s="131"/>
      <c r="GP75" s="131"/>
      <c r="GQ75" s="131"/>
      <c r="GR75" s="131"/>
      <c r="GS75" s="131"/>
      <c r="GT75" s="131"/>
      <c r="GU75" s="131"/>
      <c r="GV75" s="131"/>
      <c r="GW75" s="131"/>
      <c r="GX75" s="131"/>
      <c r="GY75" s="131"/>
      <c r="GZ75" s="131"/>
      <c r="HA75" s="131"/>
      <c r="HB75" s="131"/>
      <c r="HC75" s="131"/>
      <c r="HD75" s="131"/>
      <c r="HE75" s="131"/>
      <c r="HF75" s="131"/>
      <c r="HG75" s="131"/>
      <c r="HH75" s="131"/>
      <c r="HI75" s="131"/>
      <c r="HJ75" s="131"/>
      <c r="HK75" s="131"/>
      <c r="HL75" s="131"/>
      <c r="HM75" s="131"/>
      <c r="HN75" s="131"/>
      <c r="HO75" s="131"/>
      <c r="HP75" s="131"/>
      <c r="HQ75" s="131"/>
      <c r="HR75" s="131"/>
      <c r="HS75" s="131"/>
      <c r="HT75" s="131"/>
      <c r="HU75" s="131"/>
      <c r="HV75" s="131"/>
      <c r="HW75" s="131"/>
      <c r="HX75" s="131"/>
      <c r="HY75" s="131"/>
      <c r="HZ75" s="131"/>
      <c r="IA75" s="131"/>
      <c r="IB75" s="131"/>
      <c r="IC75" s="131"/>
      <c r="ID75" s="131"/>
      <c r="IE75" s="131"/>
      <c r="IF75" s="131"/>
      <c r="IG75" s="131"/>
      <c r="IH75" s="131"/>
      <c r="II75" s="131"/>
      <c r="IJ75" s="131"/>
      <c r="IK75" s="131"/>
      <c r="IL75" s="131"/>
      <c r="IM75" s="131"/>
      <c r="IN75" s="131"/>
      <c r="IO75" s="131"/>
      <c r="IP75" s="131"/>
      <c r="IQ75" s="131"/>
      <c r="IR75" s="131"/>
      <c r="IS75" s="131"/>
      <c r="IT75" s="131"/>
    </row>
    <row r="76" spans="1:254" ht="29.25" customHeight="1">
      <c r="A76" s="254"/>
      <c r="B76" s="286" t="s">
        <v>5287</v>
      </c>
      <c r="C76" s="252"/>
      <c r="D76" s="250"/>
      <c r="E76" s="250" t="s">
        <v>5302</v>
      </c>
      <c r="F76" s="251">
        <v>40795</v>
      </c>
      <c r="G76" s="46" t="s">
        <v>5184</v>
      </c>
      <c r="H76" s="46"/>
      <c r="I76" s="46" t="s">
        <v>2946</v>
      </c>
      <c r="J76" s="257" t="s">
        <v>1089</v>
      </c>
      <c r="K76" s="195">
        <v>0.49925999999999998</v>
      </c>
      <c r="L76" s="130">
        <v>0.70965330442716701</v>
      </c>
      <c r="M76" s="130"/>
      <c r="N76" s="136"/>
      <c r="O76" s="37"/>
      <c r="P76" s="37"/>
      <c r="Q76" s="37"/>
      <c r="R76" s="253">
        <f t="shared" si="1"/>
        <v>0.70965330442716701</v>
      </c>
      <c r="S76" s="266" t="b">
        <v>1</v>
      </c>
      <c r="T76" s="266" t="b">
        <v>0</v>
      </c>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row>
    <row r="77" spans="1:254" ht="29.25" customHeight="1">
      <c r="A77" s="254"/>
      <c r="B77" s="286" t="s">
        <v>5288</v>
      </c>
      <c r="C77" s="257"/>
      <c r="D77" s="260" t="s">
        <v>4469</v>
      </c>
      <c r="E77" s="257" t="s">
        <v>5303</v>
      </c>
      <c r="F77" s="156">
        <v>40889</v>
      </c>
      <c r="G77" s="46" t="s">
        <v>5184</v>
      </c>
      <c r="H77" s="46"/>
      <c r="I77" s="46" t="s">
        <v>2946</v>
      </c>
      <c r="J77" s="257" t="s">
        <v>1089</v>
      </c>
      <c r="K77" s="195">
        <v>0.25213999999999998</v>
      </c>
      <c r="L77" s="130">
        <v>0.35839439205677576</v>
      </c>
      <c r="M77" s="130"/>
      <c r="N77" s="136"/>
      <c r="O77" s="37"/>
      <c r="P77" s="37"/>
      <c r="Q77" s="37"/>
      <c r="R77" s="253">
        <f t="shared" si="1"/>
        <v>0.35839439205677576</v>
      </c>
      <c r="S77" s="266" t="b">
        <v>1</v>
      </c>
      <c r="T77" s="266" t="b">
        <v>0</v>
      </c>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row>
    <row r="78" spans="1:254" ht="29.25" customHeight="1">
      <c r="A78" s="254"/>
      <c r="B78" s="286" t="s">
        <v>5289</v>
      </c>
      <c r="C78" s="252"/>
      <c r="D78" s="48"/>
      <c r="E78" s="48" t="s">
        <v>5304</v>
      </c>
      <c r="F78" s="43">
        <v>39699</v>
      </c>
      <c r="G78" s="46" t="s">
        <v>5184</v>
      </c>
      <c r="H78" s="46"/>
      <c r="I78" s="46" t="s">
        <v>2946</v>
      </c>
      <c r="J78" s="257" t="s">
        <v>1089</v>
      </c>
      <c r="K78" s="195">
        <v>0.51854999999999996</v>
      </c>
      <c r="L78" s="130">
        <v>0.73707230903879217</v>
      </c>
      <c r="M78" s="130"/>
      <c r="N78" s="136"/>
      <c r="O78" s="37"/>
      <c r="P78" s="37"/>
      <c r="Q78" s="37"/>
      <c r="R78" s="253">
        <f t="shared" si="1"/>
        <v>0.73707230903879217</v>
      </c>
      <c r="S78" s="266" t="b">
        <v>1</v>
      </c>
      <c r="T78" s="266" t="b">
        <v>0</v>
      </c>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c r="IS78" s="131"/>
      <c r="IT78" s="131"/>
    </row>
    <row r="79" spans="1:254" ht="29.25" customHeight="1">
      <c r="A79" s="254"/>
      <c r="B79" s="286" t="s">
        <v>5290</v>
      </c>
      <c r="C79" s="252"/>
      <c r="D79" s="48"/>
      <c r="E79" s="48" t="s">
        <v>5305</v>
      </c>
      <c r="F79" s="43">
        <v>40899</v>
      </c>
      <c r="G79" s="46" t="s">
        <v>5184</v>
      </c>
      <c r="H79" s="46"/>
      <c r="I79" s="46" t="s">
        <v>2946</v>
      </c>
      <c r="J79" s="257" t="s">
        <v>1089</v>
      </c>
      <c r="K79" s="244">
        <v>0.39134999999999998</v>
      </c>
      <c r="L79" s="130">
        <v>0.55626891937581979</v>
      </c>
      <c r="M79" s="130"/>
      <c r="N79" s="28"/>
      <c r="O79" s="37"/>
      <c r="P79" s="37"/>
      <c r="Q79" s="37"/>
      <c r="R79" s="253">
        <f t="shared" si="1"/>
        <v>0.55626891937581979</v>
      </c>
      <c r="S79" s="266" t="b">
        <v>1</v>
      </c>
      <c r="T79" s="266" t="b">
        <v>0</v>
      </c>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c r="HL79" s="131"/>
      <c r="HM79" s="131"/>
      <c r="HN79" s="131"/>
      <c r="HO79" s="131"/>
      <c r="HP79" s="131"/>
      <c r="HQ79" s="131"/>
      <c r="HR79" s="131"/>
      <c r="HS79" s="131"/>
      <c r="HT79" s="131"/>
      <c r="HU79" s="131"/>
      <c r="HV79" s="131"/>
      <c r="HW79" s="131"/>
      <c r="HX79" s="131"/>
      <c r="HY79" s="131"/>
      <c r="HZ79" s="131"/>
      <c r="IA79" s="131"/>
      <c r="IB79" s="131"/>
      <c r="IC79" s="131"/>
      <c r="ID79" s="131"/>
      <c r="IE79" s="131"/>
      <c r="IF79" s="131"/>
      <c r="IG79" s="131"/>
      <c r="IH79" s="131"/>
      <c r="II79" s="131"/>
      <c r="IJ79" s="131"/>
      <c r="IK79" s="131"/>
      <c r="IL79" s="131"/>
      <c r="IM79" s="131"/>
      <c r="IN79" s="131"/>
      <c r="IO79" s="131"/>
      <c r="IP79" s="131"/>
      <c r="IQ79" s="131"/>
      <c r="IR79" s="131"/>
      <c r="IS79" s="131"/>
      <c r="IT79" s="131"/>
    </row>
    <row r="80" spans="1:254" ht="29.25" customHeight="1">
      <c r="A80" s="254"/>
      <c r="B80" s="286" t="s">
        <v>5291</v>
      </c>
      <c r="C80" s="252"/>
      <c r="D80" s="48"/>
      <c r="E80" s="48" t="s">
        <v>5306</v>
      </c>
      <c r="F80" s="43">
        <v>41579</v>
      </c>
      <c r="G80" s="46" t="s">
        <v>5184</v>
      </c>
      <c r="H80" s="46"/>
      <c r="I80" s="46" t="s">
        <v>2946</v>
      </c>
      <c r="J80" s="257" t="s">
        <v>1089</v>
      </c>
      <c r="K80" s="244">
        <v>0.31634000000000001</v>
      </c>
      <c r="L80" s="130">
        <v>0.44964893306591763</v>
      </c>
      <c r="M80" s="130"/>
      <c r="N80" s="28"/>
      <c r="O80" s="37"/>
      <c r="P80" s="37"/>
      <c r="Q80" s="37"/>
      <c r="R80" s="253">
        <f t="shared" si="1"/>
        <v>0.44964893306591763</v>
      </c>
      <c r="S80" s="266" t="b">
        <v>1</v>
      </c>
      <c r="T80" s="266" t="b">
        <v>0</v>
      </c>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c r="FW80" s="131"/>
      <c r="FX80" s="131"/>
      <c r="FY80" s="131"/>
      <c r="FZ80" s="131"/>
      <c r="GA80" s="131"/>
      <c r="GB80" s="131"/>
      <c r="GC80" s="131"/>
      <c r="GD80" s="131"/>
      <c r="GE80" s="131"/>
      <c r="GF80" s="131"/>
      <c r="GG80" s="131"/>
      <c r="GH80" s="131"/>
      <c r="GI80" s="131"/>
      <c r="GJ80" s="131"/>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c r="IN80" s="131"/>
      <c r="IO80" s="131"/>
      <c r="IP80" s="131"/>
      <c r="IQ80" s="131"/>
      <c r="IR80" s="131"/>
      <c r="IS80" s="131"/>
      <c r="IT80" s="131"/>
    </row>
    <row r="81" spans="1:254" ht="29.25" customHeight="1">
      <c r="A81" s="254"/>
      <c r="B81" s="286" t="s">
        <v>5292</v>
      </c>
      <c r="C81" s="252"/>
      <c r="D81" s="48"/>
      <c r="E81" s="48" t="s">
        <v>5187</v>
      </c>
      <c r="F81" s="43">
        <v>41505</v>
      </c>
      <c r="G81" s="46" t="s">
        <v>5184</v>
      </c>
      <c r="H81" s="46"/>
      <c r="I81" s="46" t="s">
        <v>2946</v>
      </c>
      <c r="J81" s="257" t="s">
        <v>1089</v>
      </c>
      <c r="K81" s="193">
        <v>0.69830000000000003</v>
      </c>
      <c r="L81" s="130">
        <v>0.99257080976142842</v>
      </c>
      <c r="M81" s="130"/>
      <c r="N81" s="28"/>
      <c r="O81" s="37"/>
      <c r="P81" s="37"/>
      <c r="Q81" s="37"/>
      <c r="R81" s="253">
        <f t="shared" si="1"/>
        <v>0.99257080976142842</v>
      </c>
      <c r="S81" s="266" t="b">
        <v>1</v>
      </c>
      <c r="T81" s="266" t="b">
        <v>0</v>
      </c>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c r="FQ81" s="131"/>
      <c r="FR81" s="131"/>
      <c r="FS81" s="131"/>
      <c r="FT81" s="131"/>
      <c r="FU81" s="131"/>
      <c r="FV81" s="131"/>
      <c r="FW81" s="131"/>
      <c r="FX81" s="131"/>
      <c r="FY81" s="131"/>
      <c r="FZ81" s="131"/>
      <c r="GA81" s="131"/>
      <c r="GB81" s="131"/>
      <c r="GC81" s="131"/>
      <c r="GD81" s="131"/>
      <c r="GE81" s="131"/>
      <c r="GF81" s="131"/>
      <c r="GG81" s="131"/>
      <c r="GH81" s="131"/>
      <c r="GI81" s="131"/>
      <c r="GJ81" s="131"/>
      <c r="GK81" s="131"/>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c r="IN81" s="131"/>
      <c r="IO81" s="131"/>
      <c r="IP81" s="131"/>
      <c r="IQ81" s="131"/>
      <c r="IR81" s="131"/>
      <c r="IS81" s="131"/>
      <c r="IT81" s="131"/>
    </row>
    <row r="82" spans="1:254" ht="29.25" customHeight="1">
      <c r="A82" s="254"/>
      <c r="B82" s="286" t="s">
        <v>5293</v>
      </c>
      <c r="C82" s="252"/>
      <c r="D82" s="48"/>
      <c r="E82" s="48" t="s">
        <v>5188</v>
      </c>
      <c r="F82" s="43">
        <v>41233</v>
      </c>
      <c r="G82" s="46" t="s">
        <v>5184</v>
      </c>
      <c r="H82" s="46"/>
      <c r="I82" s="46" t="s">
        <v>2946</v>
      </c>
      <c r="J82" s="257" t="s">
        <v>1089</v>
      </c>
      <c r="K82" s="193">
        <v>0.61789000000000005</v>
      </c>
      <c r="L82" s="130">
        <v>0.87827520785262636</v>
      </c>
      <c r="M82" s="130"/>
      <c r="N82" s="28"/>
      <c r="O82" s="37"/>
      <c r="P82" s="37"/>
      <c r="Q82" s="37"/>
      <c r="R82" s="253">
        <f t="shared" si="1"/>
        <v>0.87827520785262636</v>
      </c>
      <c r="S82" s="266" t="b">
        <v>1</v>
      </c>
      <c r="T82" s="266" t="b">
        <v>0</v>
      </c>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row>
    <row r="83" spans="1:254" ht="29.25" customHeight="1">
      <c r="A83" s="254"/>
      <c r="B83" s="286" t="s">
        <v>5294</v>
      </c>
      <c r="C83" s="252"/>
      <c r="D83" s="48"/>
      <c r="E83" s="48" t="s">
        <v>5189</v>
      </c>
      <c r="F83" s="43">
        <v>41233</v>
      </c>
      <c r="G83" s="46" t="s">
        <v>5184</v>
      </c>
      <c r="H83" s="46"/>
      <c r="I83" s="46" t="s">
        <v>2946</v>
      </c>
      <c r="J83" s="257" t="s">
        <v>1089</v>
      </c>
      <c r="K83" s="193">
        <v>0.48409999999999997</v>
      </c>
      <c r="L83" s="130">
        <v>0.68810472433840386</v>
      </c>
      <c r="M83" s="130"/>
      <c r="N83" s="28"/>
      <c r="O83" s="37"/>
      <c r="P83" s="37"/>
      <c r="Q83" s="37"/>
      <c r="R83" s="253">
        <f t="shared" si="1"/>
        <v>0.68810472433840386</v>
      </c>
      <c r="S83" s="266" t="b">
        <v>1</v>
      </c>
      <c r="T83" s="266" t="b">
        <v>0</v>
      </c>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c r="HK83" s="131"/>
      <c r="HL83" s="131"/>
      <c r="HM83" s="131"/>
      <c r="HN83" s="131"/>
      <c r="HO83" s="131"/>
      <c r="HP83" s="131"/>
      <c r="HQ83" s="131"/>
      <c r="HR83" s="131"/>
      <c r="HS83" s="131"/>
      <c r="HT83" s="131"/>
      <c r="HU83" s="131"/>
      <c r="HV83" s="131"/>
      <c r="HW83" s="131"/>
      <c r="HX83" s="131"/>
      <c r="HY83" s="131"/>
      <c r="HZ83" s="131"/>
      <c r="IA83" s="131"/>
      <c r="IB83" s="131"/>
      <c r="IC83" s="131"/>
      <c r="ID83" s="131"/>
      <c r="IE83" s="131"/>
      <c r="IF83" s="131"/>
      <c r="IG83" s="131"/>
      <c r="IH83" s="131"/>
      <c r="II83" s="131"/>
      <c r="IJ83" s="131"/>
      <c r="IK83" s="131"/>
      <c r="IL83" s="131"/>
      <c r="IM83" s="131"/>
      <c r="IN83" s="131"/>
      <c r="IO83" s="131"/>
      <c r="IP83" s="131"/>
      <c r="IQ83" s="131"/>
      <c r="IR83" s="131"/>
      <c r="IS83" s="131"/>
      <c r="IT83" s="131"/>
    </row>
    <row r="84" spans="1:254" ht="29.25" customHeight="1">
      <c r="A84" s="254"/>
      <c r="B84" s="286" t="s">
        <v>5295</v>
      </c>
      <c r="C84" s="252"/>
      <c r="D84" s="48"/>
      <c r="E84" s="48" t="s">
        <v>5185</v>
      </c>
      <c r="F84" s="43">
        <v>40156</v>
      </c>
      <c r="G84" s="46" t="s">
        <v>5184</v>
      </c>
      <c r="H84" s="46"/>
      <c r="I84" s="46" t="s">
        <v>2946</v>
      </c>
      <c r="J84" s="257" t="s">
        <v>1089</v>
      </c>
      <c r="K84" s="193">
        <v>0.43859999999999999</v>
      </c>
      <c r="L84" s="130">
        <v>0.62343055586619278</v>
      </c>
      <c r="M84" s="130"/>
      <c r="N84" s="28"/>
      <c r="O84" s="37"/>
      <c r="P84" s="37"/>
      <c r="Q84" s="37"/>
      <c r="R84" s="253">
        <f t="shared" si="1"/>
        <v>0.62343055586619278</v>
      </c>
      <c r="S84" s="266" t="b">
        <v>1</v>
      </c>
      <c r="T84" s="266" t="b">
        <v>0</v>
      </c>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c r="FQ84" s="131"/>
      <c r="FR84" s="131"/>
      <c r="FS84" s="131"/>
      <c r="FT84" s="131"/>
      <c r="FU84" s="131"/>
      <c r="FV84" s="131"/>
      <c r="FW84" s="131"/>
      <c r="FX84" s="131"/>
      <c r="FY84" s="131"/>
      <c r="FZ84" s="131"/>
      <c r="GA84" s="131"/>
      <c r="GB84" s="131"/>
      <c r="GC84" s="131"/>
      <c r="GD84" s="131"/>
      <c r="GE84" s="131"/>
      <c r="GF84" s="131"/>
      <c r="GG84" s="131"/>
      <c r="GH84" s="131"/>
      <c r="GI84" s="131"/>
      <c r="GJ84" s="131"/>
      <c r="GK84" s="131"/>
      <c r="GL84" s="131"/>
      <c r="GM84" s="131"/>
      <c r="GN84" s="131"/>
      <c r="GO84" s="131"/>
      <c r="GP84" s="131"/>
      <c r="GQ84" s="131"/>
      <c r="GR84" s="131"/>
      <c r="GS84" s="131"/>
      <c r="GT84" s="131"/>
      <c r="GU84" s="131"/>
      <c r="GV84" s="131"/>
      <c r="GW84" s="131"/>
      <c r="GX84" s="131"/>
      <c r="GY84" s="131"/>
      <c r="GZ84" s="131"/>
      <c r="HA84" s="131"/>
      <c r="HB84" s="131"/>
      <c r="HC84" s="131"/>
      <c r="HD84" s="131"/>
      <c r="HE84" s="131"/>
      <c r="HF84" s="131"/>
      <c r="HG84" s="131"/>
      <c r="HH84" s="131"/>
      <c r="HI84" s="131"/>
      <c r="HJ84" s="131"/>
      <c r="HK84" s="131"/>
      <c r="HL84" s="131"/>
      <c r="HM84" s="131"/>
      <c r="HN84" s="131"/>
      <c r="HO84" s="131"/>
      <c r="HP84" s="131"/>
      <c r="HQ84" s="131"/>
      <c r="HR84" s="131"/>
      <c r="HS84" s="131"/>
      <c r="HT84" s="131"/>
      <c r="HU84" s="131"/>
      <c r="HV84" s="131"/>
      <c r="HW84" s="131"/>
      <c r="HX84" s="131"/>
      <c r="HY84" s="131"/>
      <c r="HZ84" s="131"/>
      <c r="IA84" s="131"/>
      <c r="IB84" s="131"/>
      <c r="IC84" s="131"/>
      <c r="ID84" s="131"/>
      <c r="IE84" s="131"/>
      <c r="IF84" s="131"/>
      <c r="IG84" s="131"/>
      <c r="IH84" s="131"/>
      <c r="II84" s="131"/>
      <c r="IJ84" s="131"/>
      <c r="IK84" s="131"/>
      <c r="IL84" s="131"/>
      <c r="IM84" s="131"/>
      <c r="IN84" s="131"/>
      <c r="IO84" s="131"/>
      <c r="IP84" s="131"/>
      <c r="IQ84" s="131"/>
      <c r="IR84" s="131"/>
      <c r="IS84" s="131"/>
      <c r="IT84" s="131"/>
    </row>
    <row r="85" spans="1:254" ht="29.25" customHeight="1">
      <c r="A85" s="254"/>
      <c r="B85" s="286" t="s">
        <v>5296</v>
      </c>
      <c r="C85" s="252"/>
      <c r="D85" s="48"/>
      <c r="E85" s="48" t="s">
        <v>5192</v>
      </c>
      <c r="F85" s="43">
        <v>40889</v>
      </c>
      <c r="G85" s="46" t="s">
        <v>5184</v>
      </c>
      <c r="H85" s="46"/>
      <c r="I85" s="46" t="s">
        <v>2946</v>
      </c>
      <c r="J85" s="257" t="s">
        <v>1089</v>
      </c>
      <c r="K85" s="193">
        <v>0.39348</v>
      </c>
      <c r="L85" s="130">
        <v>0.55929652330649693</v>
      </c>
      <c r="M85" s="130"/>
      <c r="N85" s="28"/>
      <c r="O85" s="37"/>
      <c r="P85" s="37"/>
      <c r="Q85" s="37"/>
      <c r="R85" s="253">
        <f t="shared" si="1"/>
        <v>0.55929652330649693</v>
      </c>
      <c r="S85" s="266" t="b">
        <v>1</v>
      </c>
      <c r="T85" s="266" t="b">
        <v>0</v>
      </c>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c r="IS85" s="131"/>
      <c r="IT85" s="131"/>
    </row>
    <row r="86" spans="1:254" ht="29.25" customHeight="1">
      <c r="A86" s="254"/>
      <c r="B86" s="286" t="s">
        <v>5297</v>
      </c>
      <c r="C86" s="252"/>
      <c r="D86" s="48"/>
      <c r="E86" s="48" t="s">
        <v>5307</v>
      </c>
      <c r="F86" s="43">
        <v>40830</v>
      </c>
      <c r="G86" s="46" t="s">
        <v>5184</v>
      </c>
      <c r="H86" s="46"/>
      <c r="I86" s="46" t="s">
        <v>2946</v>
      </c>
      <c r="J86" s="257" t="s">
        <v>1089</v>
      </c>
      <c r="K86" s="193">
        <v>0.48121999999999998</v>
      </c>
      <c r="L86" s="130">
        <v>0.68401106268565737</v>
      </c>
      <c r="M86" s="130"/>
      <c r="N86" s="28"/>
      <c r="O86" s="37"/>
      <c r="P86" s="37"/>
      <c r="Q86" s="37"/>
      <c r="R86" s="253">
        <f t="shared" si="1"/>
        <v>0.68401106268565737</v>
      </c>
      <c r="S86" s="266" t="b">
        <v>1</v>
      </c>
      <c r="T86" s="266" t="b">
        <v>0</v>
      </c>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c r="FW86" s="131"/>
      <c r="FX86" s="131"/>
      <c r="FY86" s="131"/>
      <c r="FZ86" s="131"/>
      <c r="GA86" s="131"/>
      <c r="GB86" s="131"/>
      <c r="GC86" s="131"/>
      <c r="GD86" s="131"/>
      <c r="GE86" s="131"/>
      <c r="GF86" s="131"/>
      <c r="GG86" s="131"/>
      <c r="GH86" s="131"/>
      <c r="GI86" s="131"/>
      <c r="GJ86" s="131"/>
      <c r="GK86" s="131"/>
      <c r="GL86" s="131"/>
      <c r="GM86" s="131"/>
      <c r="GN86" s="131"/>
      <c r="GO86" s="131"/>
      <c r="GP86" s="131"/>
      <c r="GQ86" s="131"/>
      <c r="GR86" s="131"/>
      <c r="GS86" s="131"/>
      <c r="GT86" s="131"/>
      <c r="GU86" s="131"/>
      <c r="GV86" s="131"/>
      <c r="GW86" s="131"/>
      <c r="GX86" s="131"/>
      <c r="GY86" s="131"/>
      <c r="GZ86" s="131"/>
      <c r="HA86" s="131"/>
      <c r="HB86" s="131"/>
      <c r="HC86" s="131"/>
      <c r="HD86" s="131"/>
      <c r="HE86" s="131"/>
      <c r="HF86" s="131"/>
      <c r="HG86" s="131"/>
      <c r="HH86" s="131"/>
      <c r="HI86" s="131"/>
      <c r="HJ86" s="131"/>
      <c r="HK86" s="131"/>
      <c r="HL86" s="131"/>
      <c r="HM86" s="131"/>
      <c r="HN86" s="131"/>
      <c r="HO86" s="131"/>
      <c r="HP86" s="131"/>
      <c r="HQ86" s="131"/>
      <c r="HR86" s="131"/>
      <c r="HS86" s="131"/>
      <c r="HT86" s="131"/>
      <c r="HU86" s="131"/>
      <c r="HV86" s="131"/>
      <c r="HW86" s="131"/>
      <c r="HX86" s="131"/>
      <c r="HY86" s="131"/>
      <c r="HZ86" s="131"/>
      <c r="IA86" s="131"/>
      <c r="IB86" s="131"/>
      <c r="IC86" s="131"/>
      <c r="ID86" s="131"/>
      <c r="IE86" s="131"/>
      <c r="IF86" s="131"/>
      <c r="IG86" s="131"/>
      <c r="IH86" s="131"/>
      <c r="II86" s="131"/>
      <c r="IJ86" s="131"/>
      <c r="IK86" s="131"/>
      <c r="IL86" s="131"/>
      <c r="IM86" s="131"/>
      <c r="IN86" s="131"/>
      <c r="IO86" s="131"/>
      <c r="IP86" s="131"/>
      <c r="IQ86" s="131"/>
      <c r="IR86" s="131"/>
      <c r="IS86" s="131"/>
      <c r="IT86" s="131"/>
    </row>
    <row r="87" spans="1:254" ht="29.25" customHeight="1">
      <c r="A87" s="254"/>
      <c r="B87" s="286" t="s">
        <v>5298</v>
      </c>
      <c r="C87" s="252"/>
      <c r="D87" s="48"/>
      <c r="E87" s="48" t="s">
        <v>5308</v>
      </c>
      <c r="F87" s="43">
        <v>40830</v>
      </c>
      <c r="G87" s="46" t="s">
        <v>5184</v>
      </c>
      <c r="H87" s="46"/>
      <c r="I87" s="46" t="s">
        <v>2946</v>
      </c>
      <c r="J87" s="257" t="s">
        <v>1089</v>
      </c>
      <c r="K87" s="193">
        <v>0.34181</v>
      </c>
      <c r="L87" s="130">
        <v>0.48585225330739479</v>
      </c>
      <c r="M87" s="130"/>
      <c r="N87" s="28"/>
      <c r="O87" s="37"/>
      <c r="P87" s="37"/>
      <c r="Q87" s="37"/>
      <c r="R87" s="253">
        <f t="shared" si="1"/>
        <v>0.48585225330739479</v>
      </c>
      <c r="S87" s="266" t="b">
        <v>1</v>
      </c>
      <c r="T87" s="266" t="b">
        <v>0</v>
      </c>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c r="FW87" s="131"/>
      <c r="FX87" s="131"/>
      <c r="FY87" s="131"/>
      <c r="FZ87" s="131"/>
      <c r="GA87" s="131"/>
      <c r="GB87" s="131"/>
      <c r="GC87" s="131"/>
      <c r="GD87" s="131"/>
      <c r="GE87" s="131"/>
      <c r="GF87" s="131"/>
      <c r="GG87" s="131"/>
      <c r="GH87" s="131"/>
      <c r="GI87" s="131"/>
      <c r="GJ87" s="131"/>
      <c r="GK87" s="131"/>
      <c r="GL87" s="131"/>
      <c r="GM87" s="131"/>
      <c r="GN87" s="131"/>
      <c r="GO87" s="131"/>
      <c r="GP87" s="131"/>
      <c r="GQ87" s="131"/>
      <c r="GR87" s="131"/>
      <c r="GS87" s="131"/>
      <c r="GT87" s="131"/>
      <c r="GU87" s="131"/>
      <c r="GV87" s="131"/>
      <c r="GW87" s="131"/>
      <c r="GX87" s="131"/>
      <c r="GY87" s="131"/>
      <c r="GZ87" s="131"/>
      <c r="HA87" s="131"/>
      <c r="HB87" s="131"/>
      <c r="HC87" s="131"/>
      <c r="HD87" s="131"/>
      <c r="HE87" s="131"/>
      <c r="HF87" s="131"/>
      <c r="HG87" s="131"/>
      <c r="HH87" s="131"/>
      <c r="HI87" s="131"/>
      <c r="HJ87" s="131"/>
      <c r="HK87" s="131"/>
      <c r="HL87" s="131"/>
      <c r="HM87" s="131"/>
      <c r="HN87" s="131"/>
      <c r="HO87" s="131"/>
      <c r="HP87" s="131"/>
      <c r="HQ87" s="131"/>
      <c r="HR87" s="131"/>
      <c r="HS87" s="131"/>
      <c r="HT87" s="131"/>
      <c r="HU87" s="131"/>
      <c r="HV87" s="131"/>
      <c r="HW87" s="131"/>
      <c r="HX87" s="131"/>
      <c r="HY87" s="131"/>
      <c r="HZ87" s="131"/>
      <c r="IA87" s="131"/>
      <c r="IB87" s="131"/>
      <c r="IC87" s="131"/>
      <c r="ID87" s="131"/>
      <c r="IE87" s="131"/>
      <c r="IF87" s="131"/>
      <c r="IG87" s="131"/>
      <c r="IH87" s="131"/>
      <c r="II87" s="131"/>
      <c r="IJ87" s="131"/>
      <c r="IK87" s="131"/>
      <c r="IL87" s="131"/>
      <c r="IM87" s="131"/>
      <c r="IN87" s="131"/>
      <c r="IO87" s="131"/>
      <c r="IP87" s="131"/>
      <c r="IQ87" s="131"/>
      <c r="IR87" s="131"/>
      <c r="IS87" s="131"/>
      <c r="IT87" s="131"/>
    </row>
    <row r="88" spans="1:254" ht="29.25" customHeight="1">
      <c r="A88" s="254"/>
      <c r="B88" s="286" t="s">
        <v>5299</v>
      </c>
      <c r="C88" s="252"/>
      <c r="D88" s="48"/>
      <c r="E88" s="48" t="s">
        <v>5309</v>
      </c>
      <c r="F88" s="43">
        <v>41645</v>
      </c>
      <c r="G88" s="46" t="s">
        <v>5184</v>
      </c>
      <c r="H88" s="46"/>
      <c r="I88" s="46" t="s">
        <v>2946</v>
      </c>
      <c r="J88" s="257" t="s">
        <v>1089</v>
      </c>
      <c r="K88" s="193">
        <v>0.98599999999999999</v>
      </c>
      <c r="L88" s="130">
        <v>1.4015105519472553</v>
      </c>
      <c r="M88" s="130"/>
      <c r="N88" s="28"/>
      <c r="O88" s="37"/>
      <c r="P88" s="37"/>
      <c r="Q88" s="37"/>
      <c r="R88" s="253">
        <f t="shared" si="1"/>
        <v>1.4015105519472553</v>
      </c>
      <c r="S88" s="266" t="b">
        <v>1</v>
      </c>
      <c r="T88" s="266" t="b">
        <v>0</v>
      </c>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c r="FW88" s="131"/>
      <c r="FX88" s="131"/>
      <c r="FY88" s="131"/>
      <c r="FZ88" s="131"/>
      <c r="GA88" s="131"/>
      <c r="GB88" s="131"/>
      <c r="GC88" s="131"/>
      <c r="GD88" s="131"/>
      <c r="GE88" s="131"/>
      <c r="GF88" s="131"/>
      <c r="GG88" s="131"/>
      <c r="GH88" s="131"/>
      <c r="GI88" s="131"/>
      <c r="GJ88" s="131"/>
      <c r="GK88" s="131"/>
      <c r="GL88" s="131"/>
      <c r="GM88" s="131"/>
      <c r="GN88" s="131"/>
      <c r="GO88" s="131"/>
      <c r="GP88" s="131"/>
      <c r="GQ88" s="131"/>
      <c r="GR88" s="131"/>
      <c r="GS88" s="131"/>
      <c r="GT88" s="131"/>
      <c r="GU88" s="131"/>
      <c r="GV88" s="131"/>
      <c r="GW88" s="131"/>
      <c r="GX88" s="131"/>
      <c r="GY88" s="131"/>
      <c r="GZ88" s="131"/>
      <c r="HA88" s="131"/>
      <c r="HB88" s="131"/>
      <c r="HC88" s="131"/>
      <c r="HD88" s="131"/>
      <c r="HE88" s="131"/>
      <c r="HF88" s="131"/>
      <c r="HG88" s="131"/>
      <c r="HH88" s="131"/>
      <c r="HI88" s="131"/>
      <c r="HJ88" s="131"/>
      <c r="HK88" s="131"/>
      <c r="HL88" s="131"/>
      <c r="HM88" s="131"/>
      <c r="HN88" s="131"/>
      <c r="HO88" s="131"/>
      <c r="HP88" s="131"/>
      <c r="HQ88" s="131"/>
      <c r="HR88" s="131"/>
      <c r="HS88" s="131"/>
      <c r="HT88" s="131"/>
      <c r="HU88" s="131"/>
      <c r="HV88" s="131"/>
      <c r="HW88" s="131"/>
      <c r="HX88" s="131"/>
      <c r="HY88" s="131"/>
      <c r="HZ88" s="131"/>
      <c r="IA88" s="131"/>
      <c r="IB88" s="131"/>
      <c r="IC88" s="131"/>
      <c r="ID88" s="131"/>
      <c r="IE88" s="131"/>
      <c r="IF88" s="131"/>
      <c r="IG88" s="131"/>
      <c r="IH88" s="131"/>
      <c r="II88" s="131"/>
      <c r="IJ88" s="131"/>
      <c r="IK88" s="131"/>
      <c r="IL88" s="131"/>
      <c r="IM88" s="131"/>
      <c r="IN88" s="131"/>
      <c r="IO88" s="131"/>
      <c r="IP88" s="131"/>
      <c r="IQ88" s="131"/>
      <c r="IR88" s="131"/>
      <c r="IS88" s="131"/>
      <c r="IT88" s="131"/>
    </row>
    <row r="89" spans="1:254" ht="29.25" customHeight="1">
      <c r="A89" s="254"/>
      <c r="B89" s="286" t="s">
        <v>5300</v>
      </c>
      <c r="C89" s="252"/>
      <c r="D89" s="48"/>
      <c r="E89" s="48" t="s">
        <v>5310</v>
      </c>
      <c r="F89" s="43">
        <v>41631</v>
      </c>
      <c r="G89" s="46" t="s">
        <v>5184</v>
      </c>
      <c r="H89" s="46"/>
      <c r="I89" s="46" t="s">
        <v>2946</v>
      </c>
      <c r="J89" s="257" t="s">
        <v>1089</v>
      </c>
      <c r="K89" s="195">
        <v>0.504</v>
      </c>
      <c r="L89" s="130">
        <v>0.7163907892306457</v>
      </c>
      <c r="M89" s="130"/>
      <c r="N89" s="136"/>
      <c r="O89" s="37"/>
      <c r="P89" s="37"/>
      <c r="Q89" s="37"/>
      <c r="R89" s="253">
        <f t="shared" si="1"/>
        <v>0.7163907892306457</v>
      </c>
      <c r="S89" s="266" t="b">
        <v>1</v>
      </c>
      <c r="T89" s="266" t="b">
        <v>0</v>
      </c>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c r="FW89" s="131"/>
      <c r="FX89" s="131"/>
      <c r="FY89" s="131"/>
      <c r="FZ89" s="131"/>
      <c r="GA89" s="131"/>
      <c r="GB89" s="131"/>
      <c r="GC89" s="131"/>
      <c r="GD89" s="131"/>
      <c r="GE89" s="131"/>
      <c r="GF89" s="131"/>
      <c r="GG89" s="131"/>
      <c r="GH89" s="131"/>
      <c r="GI89" s="131"/>
      <c r="GJ89" s="131"/>
      <c r="GK89" s="131"/>
      <c r="GL89" s="131"/>
      <c r="GM89" s="131"/>
      <c r="GN89" s="131"/>
      <c r="GO89" s="131"/>
      <c r="GP89" s="131"/>
      <c r="GQ89" s="131"/>
      <c r="GR89" s="131"/>
      <c r="GS89" s="131"/>
      <c r="GT89" s="131"/>
      <c r="GU89" s="131"/>
      <c r="GV89" s="131"/>
      <c r="GW89" s="131"/>
      <c r="GX89" s="131"/>
      <c r="GY89" s="131"/>
      <c r="GZ89" s="131"/>
      <c r="HA89" s="131"/>
      <c r="HB89" s="131"/>
      <c r="HC89" s="131"/>
      <c r="HD89" s="131"/>
      <c r="HE89" s="131"/>
      <c r="HF89" s="131"/>
      <c r="HG89" s="131"/>
      <c r="HH89" s="131"/>
      <c r="HI89" s="131"/>
      <c r="HJ89" s="131"/>
      <c r="HK89" s="131"/>
      <c r="HL89" s="131"/>
      <c r="HM89" s="131"/>
      <c r="HN89" s="131"/>
      <c r="HO89" s="131"/>
      <c r="HP89" s="131"/>
      <c r="HQ89" s="131"/>
      <c r="HR89" s="131"/>
      <c r="HS89" s="131"/>
      <c r="HT89" s="131"/>
      <c r="HU89" s="131"/>
      <c r="HV89" s="131"/>
      <c r="HW89" s="131"/>
      <c r="HX89" s="131"/>
      <c r="HY89" s="131"/>
      <c r="HZ89" s="131"/>
      <c r="IA89" s="131"/>
      <c r="IB89" s="131"/>
      <c r="IC89" s="131"/>
      <c r="ID89" s="131"/>
      <c r="IE89" s="131"/>
      <c r="IF89" s="131"/>
      <c r="IG89" s="131"/>
      <c r="IH89" s="131"/>
      <c r="II89" s="131"/>
      <c r="IJ89" s="131"/>
      <c r="IK89" s="131"/>
      <c r="IL89" s="131"/>
      <c r="IM89" s="131"/>
      <c r="IN89" s="131"/>
      <c r="IO89" s="131"/>
      <c r="IP89" s="131"/>
      <c r="IQ89" s="131"/>
      <c r="IR89" s="131"/>
      <c r="IS89" s="131"/>
      <c r="IT89" s="131"/>
    </row>
    <row r="90" spans="1:254" ht="29.25" customHeight="1">
      <c r="A90" s="56"/>
      <c r="B90" s="143" t="s">
        <v>2517</v>
      </c>
      <c r="C90" s="252"/>
      <c r="D90" s="250"/>
      <c r="E90" s="250" t="s">
        <v>5042</v>
      </c>
      <c r="F90" s="251">
        <v>40540</v>
      </c>
      <c r="G90" s="257" t="s">
        <v>2518</v>
      </c>
      <c r="H90" s="257"/>
      <c r="I90" s="257" t="s">
        <v>2946</v>
      </c>
      <c r="J90" s="27" t="s">
        <v>1089</v>
      </c>
      <c r="K90" s="194">
        <v>0.75</v>
      </c>
      <c r="L90" s="194">
        <v>1.5086390000000001</v>
      </c>
      <c r="M90" s="130">
        <v>1.643</v>
      </c>
      <c r="N90" s="32">
        <v>1.6359999999999999</v>
      </c>
      <c r="O90" s="32">
        <v>1.617</v>
      </c>
      <c r="P90" s="32">
        <v>1.29</v>
      </c>
      <c r="Q90" s="32"/>
      <c r="R90" s="253">
        <f t="shared" si="1"/>
        <v>1.5389278000000002</v>
      </c>
      <c r="S90" s="266" t="b">
        <v>1</v>
      </c>
      <c r="T90" s="266" t="b">
        <v>0</v>
      </c>
    </row>
    <row r="91" spans="1:254" ht="29.25" customHeight="1">
      <c r="A91" s="254"/>
      <c r="B91" s="286" t="s">
        <v>2263</v>
      </c>
      <c r="C91" s="252"/>
      <c r="D91" s="48"/>
      <c r="E91" s="48" t="s">
        <v>2264</v>
      </c>
      <c r="F91" s="43">
        <v>40632</v>
      </c>
      <c r="G91" s="46" t="s">
        <v>2265</v>
      </c>
      <c r="H91" s="46"/>
      <c r="I91" s="46" t="s">
        <v>2946</v>
      </c>
      <c r="J91" s="257" t="s">
        <v>1959</v>
      </c>
      <c r="K91" s="193">
        <v>0.75</v>
      </c>
      <c r="L91" s="193">
        <v>8.3799999999999999E-4</v>
      </c>
      <c r="M91" s="130">
        <v>9.8299999999999993E-4</v>
      </c>
      <c r="N91" s="136"/>
      <c r="O91" s="37"/>
      <c r="P91" s="37"/>
      <c r="Q91" s="37"/>
      <c r="R91" s="253">
        <f t="shared" si="1"/>
        <v>9.1049999999999996E-4</v>
      </c>
      <c r="S91" s="266" t="b">
        <v>1</v>
      </c>
      <c r="T91" s="266" t="b">
        <v>0</v>
      </c>
    </row>
    <row r="92" spans="1:254" ht="29.25" customHeight="1">
      <c r="A92" s="254"/>
      <c r="B92" s="286" t="s">
        <v>5171</v>
      </c>
      <c r="C92" s="252"/>
      <c r="D92" s="48"/>
      <c r="E92" s="48" t="s">
        <v>5330</v>
      </c>
      <c r="F92" s="43"/>
      <c r="G92" s="46"/>
      <c r="H92" s="46"/>
      <c r="I92" s="159" t="s">
        <v>2983</v>
      </c>
      <c r="J92" s="257" t="s">
        <v>1089</v>
      </c>
      <c r="K92" s="244">
        <v>0.499</v>
      </c>
      <c r="L92" s="130">
        <f>K92*0.2*8760/1000</f>
        <v>0.87424800000000003</v>
      </c>
      <c r="M92" s="130"/>
      <c r="N92" s="28"/>
      <c r="O92" s="37"/>
      <c r="P92" s="37"/>
      <c r="Q92" s="37"/>
      <c r="R92" s="253">
        <f t="shared" si="1"/>
        <v>0.87424800000000003</v>
      </c>
      <c r="S92" s="266" t="b">
        <v>1</v>
      </c>
      <c r="T92" s="266" t="b">
        <v>0</v>
      </c>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c r="DM92" s="131"/>
      <c r="DN92" s="131"/>
      <c r="DO92" s="131"/>
      <c r="DP92" s="131"/>
      <c r="DQ92" s="131"/>
      <c r="DR92" s="131"/>
      <c r="DS92" s="131"/>
      <c r="DT92" s="131"/>
      <c r="DU92" s="131"/>
      <c r="DV92" s="131"/>
      <c r="DW92" s="131"/>
      <c r="DX92" s="131"/>
      <c r="DY92" s="131"/>
      <c r="DZ92" s="131"/>
      <c r="EA92" s="131"/>
      <c r="EB92" s="131"/>
      <c r="EC92" s="131"/>
      <c r="ED92" s="131"/>
      <c r="EE92" s="131"/>
      <c r="EF92" s="131"/>
      <c r="EG92" s="131"/>
      <c r="EH92" s="131"/>
      <c r="EI92" s="131"/>
      <c r="EJ92" s="131"/>
      <c r="EK92" s="131"/>
      <c r="EL92" s="131"/>
      <c r="EM92" s="131"/>
      <c r="EN92" s="131"/>
      <c r="EO92" s="131"/>
      <c r="EP92" s="131"/>
      <c r="EQ92" s="131"/>
      <c r="ER92" s="131"/>
      <c r="ES92" s="131"/>
      <c r="ET92" s="131"/>
      <c r="EU92" s="131"/>
      <c r="EV92" s="131"/>
      <c r="EW92" s="131"/>
      <c r="EX92" s="131"/>
      <c r="EY92" s="131"/>
      <c r="EZ92" s="131"/>
      <c r="FA92" s="131"/>
      <c r="FB92" s="131"/>
      <c r="FC92" s="131"/>
      <c r="FD92" s="131"/>
      <c r="FE92" s="131"/>
      <c r="FF92" s="131"/>
      <c r="FG92" s="131"/>
      <c r="FH92" s="131"/>
      <c r="FI92" s="131"/>
      <c r="FJ92" s="131"/>
      <c r="FK92" s="131"/>
      <c r="FL92" s="131"/>
      <c r="FM92" s="131"/>
      <c r="FN92" s="131"/>
      <c r="FO92" s="131"/>
      <c r="FP92" s="131"/>
      <c r="FQ92" s="131"/>
      <c r="FR92" s="131"/>
      <c r="FS92" s="131"/>
      <c r="FT92" s="131"/>
      <c r="FU92" s="131"/>
      <c r="FV92" s="131"/>
      <c r="FW92" s="131"/>
      <c r="FX92" s="131"/>
      <c r="FY92" s="131"/>
      <c r="FZ92" s="131"/>
      <c r="GA92" s="131"/>
      <c r="GB92" s="131"/>
      <c r="GC92" s="131"/>
      <c r="GD92" s="131"/>
      <c r="GE92" s="131"/>
      <c r="GF92" s="131"/>
      <c r="GG92" s="131"/>
      <c r="GH92" s="131"/>
      <c r="GI92" s="131"/>
      <c r="GJ92" s="131"/>
      <c r="GK92" s="131"/>
      <c r="GL92" s="131"/>
      <c r="GM92" s="131"/>
      <c r="GN92" s="131"/>
      <c r="GO92" s="131"/>
      <c r="GP92" s="131"/>
      <c r="GQ92" s="131"/>
      <c r="GR92" s="131"/>
      <c r="GS92" s="131"/>
      <c r="GT92" s="131"/>
      <c r="GU92" s="131"/>
      <c r="GV92" s="131"/>
      <c r="GW92" s="131"/>
      <c r="GX92" s="131"/>
      <c r="GY92" s="131"/>
      <c r="GZ92" s="131"/>
      <c r="HA92" s="131"/>
      <c r="HB92" s="131"/>
      <c r="HC92" s="131"/>
      <c r="HD92" s="131"/>
      <c r="HE92" s="131"/>
      <c r="HF92" s="131"/>
      <c r="HG92" s="131"/>
      <c r="HH92" s="131"/>
      <c r="HI92" s="131"/>
      <c r="HJ92" s="131"/>
      <c r="HK92" s="131"/>
      <c r="HL92" s="131"/>
      <c r="HM92" s="131"/>
      <c r="HN92" s="131"/>
      <c r="HO92" s="131"/>
      <c r="HP92" s="131"/>
      <c r="HQ92" s="131"/>
      <c r="HR92" s="131"/>
      <c r="HS92" s="131"/>
      <c r="HT92" s="131"/>
      <c r="HU92" s="131"/>
      <c r="HV92" s="131"/>
      <c r="HW92" s="131"/>
      <c r="HX92" s="131"/>
      <c r="HY92" s="131"/>
      <c r="HZ92" s="131"/>
      <c r="IA92" s="131"/>
      <c r="IB92" s="131"/>
      <c r="IC92" s="131"/>
      <c r="ID92" s="131"/>
      <c r="IE92" s="131"/>
      <c r="IF92" s="131"/>
      <c r="IG92" s="131"/>
      <c r="IH92" s="131"/>
      <c r="II92" s="131"/>
      <c r="IJ92" s="131"/>
      <c r="IK92" s="131"/>
      <c r="IL92" s="131"/>
      <c r="IM92" s="131"/>
      <c r="IN92" s="131"/>
      <c r="IO92" s="131"/>
      <c r="IP92" s="131"/>
      <c r="IQ92" s="131"/>
      <c r="IR92" s="131"/>
      <c r="IS92" s="131"/>
      <c r="IT92" s="131"/>
    </row>
    <row r="93" spans="1:254" ht="29.25" customHeight="1">
      <c r="A93" s="254"/>
      <c r="B93" s="286" t="s">
        <v>5172</v>
      </c>
      <c r="C93" s="252"/>
      <c r="D93" s="48"/>
      <c r="E93" s="48" t="s">
        <v>5331</v>
      </c>
      <c r="F93" s="43"/>
      <c r="G93" s="46"/>
      <c r="H93" s="46"/>
      <c r="I93" s="159" t="s">
        <v>2983</v>
      </c>
      <c r="J93" s="257" t="s">
        <v>1089</v>
      </c>
      <c r="K93" s="244">
        <v>0.499</v>
      </c>
      <c r="L93" s="130">
        <f>K93*0.2*8760/1000</f>
        <v>0.87424800000000003</v>
      </c>
      <c r="M93" s="130"/>
      <c r="N93" s="28"/>
      <c r="O93" s="37"/>
      <c r="P93" s="37"/>
      <c r="Q93" s="37"/>
      <c r="R93" s="253">
        <f t="shared" si="1"/>
        <v>0.87424800000000003</v>
      </c>
      <c r="S93" s="266" t="b">
        <v>1</v>
      </c>
      <c r="T93" s="266" t="b">
        <v>0</v>
      </c>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c r="DM93" s="131"/>
      <c r="DN93" s="131"/>
      <c r="DO93" s="131"/>
      <c r="DP93" s="131"/>
      <c r="DQ93" s="131"/>
      <c r="DR93" s="131"/>
      <c r="DS93" s="131"/>
      <c r="DT93" s="131"/>
      <c r="DU93" s="131"/>
      <c r="DV93" s="131"/>
      <c r="DW93" s="131"/>
      <c r="DX93" s="131"/>
      <c r="DY93" s="131"/>
      <c r="DZ93" s="131"/>
      <c r="EA93" s="131"/>
      <c r="EB93" s="131"/>
      <c r="EC93" s="131"/>
      <c r="ED93" s="131"/>
      <c r="EE93" s="131"/>
      <c r="EF93" s="131"/>
      <c r="EG93" s="131"/>
      <c r="EH93" s="131"/>
      <c r="EI93" s="131"/>
      <c r="EJ93" s="131"/>
      <c r="EK93" s="131"/>
      <c r="EL93" s="131"/>
      <c r="EM93" s="131"/>
      <c r="EN93" s="131"/>
      <c r="EO93" s="131"/>
      <c r="EP93" s="131"/>
      <c r="EQ93" s="131"/>
      <c r="ER93" s="131"/>
      <c r="ES93" s="131"/>
      <c r="ET93" s="131"/>
      <c r="EU93" s="131"/>
      <c r="EV93" s="131"/>
      <c r="EW93" s="131"/>
      <c r="EX93" s="131"/>
      <c r="EY93" s="131"/>
      <c r="EZ93" s="131"/>
      <c r="FA93" s="131"/>
      <c r="FB93" s="131"/>
      <c r="FC93" s="131"/>
      <c r="FD93" s="131"/>
      <c r="FE93" s="131"/>
      <c r="FF93" s="131"/>
      <c r="FG93" s="131"/>
      <c r="FH93" s="131"/>
      <c r="FI93" s="131"/>
      <c r="FJ93" s="131"/>
      <c r="FK93" s="131"/>
      <c r="FL93" s="131"/>
      <c r="FM93" s="131"/>
      <c r="FN93" s="131"/>
      <c r="FO93" s="131"/>
      <c r="FP93" s="131"/>
      <c r="FQ93" s="131"/>
      <c r="FR93" s="131"/>
      <c r="FS93" s="131"/>
      <c r="FT93" s="131"/>
      <c r="FU93" s="131"/>
      <c r="FV93" s="131"/>
      <c r="FW93" s="131"/>
      <c r="FX93" s="131"/>
      <c r="FY93" s="131"/>
      <c r="FZ93" s="131"/>
      <c r="GA93" s="131"/>
      <c r="GB93" s="131"/>
      <c r="GC93" s="131"/>
      <c r="GD93" s="131"/>
      <c r="GE93" s="131"/>
      <c r="GF93" s="131"/>
      <c r="GG93" s="131"/>
      <c r="GH93" s="131"/>
      <c r="GI93" s="131"/>
      <c r="GJ93" s="131"/>
      <c r="GK93" s="131"/>
      <c r="GL93" s="131"/>
      <c r="GM93" s="131"/>
      <c r="GN93" s="131"/>
      <c r="GO93" s="131"/>
      <c r="GP93" s="131"/>
      <c r="GQ93" s="131"/>
      <c r="GR93" s="131"/>
      <c r="GS93" s="131"/>
      <c r="GT93" s="131"/>
      <c r="GU93" s="131"/>
      <c r="GV93" s="131"/>
      <c r="GW93" s="131"/>
      <c r="GX93" s="131"/>
      <c r="GY93" s="131"/>
      <c r="GZ93" s="131"/>
      <c r="HA93" s="131"/>
      <c r="HB93" s="131"/>
      <c r="HC93" s="131"/>
      <c r="HD93" s="131"/>
      <c r="HE93" s="131"/>
      <c r="HF93" s="131"/>
      <c r="HG93" s="131"/>
      <c r="HH93" s="131"/>
      <c r="HI93" s="131"/>
      <c r="HJ93" s="131"/>
      <c r="HK93" s="131"/>
      <c r="HL93" s="131"/>
      <c r="HM93" s="131"/>
      <c r="HN93" s="131"/>
      <c r="HO93" s="131"/>
      <c r="HP93" s="131"/>
      <c r="HQ93" s="131"/>
      <c r="HR93" s="131"/>
      <c r="HS93" s="131"/>
      <c r="HT93" s="131"/>
      <c r="HU93" s="131"/>
      <c r="HV93" s="131"/>
      <c r="HW93" s="131"/>
      <c r="HX93" s="131"/>
      <c r="HY93" s="131"/>
      <c r="HZ93" s="131"/>
      <c r="IA93" s="131"/>
      <c r="IB93" s="131"/>
      <c r="IC93" s="131"/>
      <c r="ID93" s="131"/>
      <c r="IE93" s="131"/>
      <c r="IF93" s="131"/>
      <c r="IG93" s="131"/>
      <c r="IH93" s="131"/>
      <c r="II93" s="131"/>
      <c r="IJ93" s="131"/>
      <c r="IK93" s="131"/>
      <c r="IL93" s="131"/>
      <c r="IM93" s="131"/>
      <c r="IN93" s="131"/>
      <c r="IO93" s="131"/>
      <c r="IP93" s="131"/>
      <c r="IQ93" s="131"/>
      <c r="IR93" s="131"/>
      <c r="IS93" s="131"/>
      <c r="IT93" s="131"/>
    </row>
    <row r="94" spans="1:254" ht="29.25" customHeight="1">
      <c r="A94" s="254"/>
      <c r="B94" s="286" t="s">
        <v>5173</v>
      </c>
      <c r="C94" s="252"/>
      <c r="D94" s="48"/>
      <c r="E94" s="48" t="s">
        <v>5332</v>
      </c>
      <c r="F94" s="43"/>
      <c r="G94" s="46"/>
      <c r="H94" s="46"/>
      <c r="I94" s="159" t="s">
        <v>2983</v>
      </c>
      <c r="J94" s="257" t="s">
        <v>1089</v>
      </c>
      <c r="K94" s="193">
        <v>0.73099999999999998</v>
      </c>
      <c r="L94" s="130">
        <f>K94*0.2*8760/1000</f>
        <v>1.2807120000000001</v>
      </c>
      <c r="M94" s="130"/>
      <c r="N94" s="28"/>
      <c r="O94" s="37"/>
      <c r="P94" s="37"/>
      <c r="Q94" s="37"/>
      <c r="R94" s="253">
        <f t="shared" si="1"/>
        <v>1.2807120000000001</v>
      </c>
      <c r="S94" s="266" t="b">
        <v>1</v>
      </c>
      <c r="T94" s="266" t="b">
        <v>0</v>
      </c>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c r="DM94" s="131"/>
      <c r="DN94" s="131"/>
      <c r="DO94" s="131"/>
      <c r="DP94" s="131"/>
      <c r="DQ94" s="131"/>
      <c r="DR94" s="131"/>
      <c r="DS94" s="131"/>
      <c r="DT94" s="131"/>
      <c r="DU94" s="131"/>
      <c r="DV94" s="131"/>
      <c r="DW94" s="131"/>
      <c r="DX94" s="131"/>
      <c r="DY94" s="131"/>
      <c r="DZ94" s="131"/>
      <c r="EA94" s="131"/>
      <c r="EB94" s="131"/>
      <c r="EC94" s="131"/>
      <c r="ED94" s="131"/>
      <c r="EE94" s="131"/>
      <c r="EF94" s="131"/>
      <c r="EG94" s="131"/>
      <c r="EH94" s="131"/>
      <c r="EI94" s="131"/>
      <c r="EJ94" s="131"/>
      <c r="EK94" s="131"/>
      <c r="EL94" s="131"/>
      <c r="EM94" s="131"/>
      <c r="EN94" s="131"/>
      <c r="EO94" s="131"/>
      <c r="EP94" s="131"/>
      <c r="EQ94" s="131"/>
      <c r="ER94" s="131"/>
      <c r="ES94" s="131"/>
      <c r="ET94" s="131"/>
      <c r="EU94" s="131"/>
      <c r="EV94" s="131"/>
      <c r="EW94" s="131"/>
      <c r="EX94" s="131"/>
      <c r="EY94" s="131"/>
      <c r="EZ94" s="131"/>
      <c r="FA94" s="131"/>
      <c r="FB94" s="131"/>
      <c r="FC94" s="131"/>
      <c r="FD94" s="131"/>
      <c r="FE94" s="131"/>
      <c r="FF94" s="131"/>
      <c r="FG94" s="131"/>
      <c r="FH94" s="131"/>
      <c r="FI94" s="131"/>
      <c r="FJ94" s="131"/>
      <c r="FK94" s="131"/>
      <c r="FL94" s="131"/>
      <c r="FM94" s="131"/>
      <c r="FN94" s="131"/>
      <c r="FO94" s="131"/>
      <c r="FP94" s="131"/>
      <c r="FQ94" s="131"/>
      <c r="FR94" s="131"/>
      <c r="FS94" s="131"/>
      <c r="FT94" s="131"/>
      <c r="FU94" s="131"/>
      <c r="FV94" s="131"/>
      <c r="FW94" s="131"/>
      <c r="FX94" s="131"/>
      <c r="FY94" s="131"/>
      <c r="FZ94" s="131"/>
      <c r="GA94" s="131"/>
      <c r="GB94" s="131"/>
      <c r="GC94" s="131"/>
      <c r="GD94" s="131"/>
      <c r="GE94" s="131"/>
      <c r="GF94" s="131"/>
      <c r="GG94" s="131"/>
      <c r="GH94" s="131"/>
      <c r="GI94" s="131"/>
      <c r="GJ94" s="131"/>
      <c r="GK94" s="131"/>
      <c r="GL94" s="131"/>
      <c r="GM94" s="131"/>
      <c r="GN94" s="131"/>
      <c r="GO94" s="131"/>
      <c r="GP94" s="131"/>
      <c r="GQ94" s="131"/>
      <c r="GR94" s="131"/>
      <c r="GS94" s="131"/>
      <c r="GT94" s="131"/>
      <c r="GU94" s="131"/>
      <c r="GV94" s="131"/>
      <c r="GW94" s="131"/>
      <c r="GX94" s="131"/>
      <c r="GY94" s="131"/>
      <c r="GZ94" s="131"/>
      <c r="HA94" s="131"/>
      <c r="HB94" s="131"/>
      <c r="HC94" s="131"/>
      <c r="HD94" s="131"/>
      <c r="HE94" s="131"/>
      <c r="HF94" s="131"/>
      <c r="HG94" s="131"/>
      <c r="HH94" s="131"/>
      <c r="HI94" s="131"/>
      <c r="HJ94" s="131"/>
      <c r="HK94" s="131"/>
      <c r="HL94" s="131"/>
      <c r="HM94" s="131"/>
      <c r="HN94" s="131"/>
      <c r="HO94" s="131"/>
      <c r="HP94" s="131"/>
      <c r="HQ94" s="131"/>
      <c r="HR94" s="131"/>
      <c r="HS94" s="131"/>
      <c r="HT94" s="131"/>
      <c r="HU94" s="131"/>
      <c r="HV94" s="131"/>
      <c r="HW94" s="131"/>
      <c r="HX94" s="131"/>
      <c r="HY94" s="131"/>
      <c r="HZ94" s="131"/>
      <c r="IA94" s="131"/>
      <c r="IB94" s="131"/>
      <c r="IC94" s="131"/>
      <c r="ID94" s="131"/>
      <c r="IE94" s="131"/>
      <c r="IF94" s="131"/>
      <c r="IG94" s="131"/>
      <c r="IH94" s="131"/>
      <c r="II94" s="131"/>
      <c r="IJ94" s="131"/>
      <c r="IK94" s="131"/>
      <c r="IL94" s="131"/>
      <c r="IM94" s="131"/>
      <c r="IN94" s="131"/>
      <c r="IO94" s="131"/>
      <c r="IP94" s="131"/>
      <c r="IQ94" s="131"/>
      <c r="IR94" s="131"/>
      <c r="IS94" s="131"/>
      <c r="IT94" s="131"/>
    </row>
    <row r="95" spans="1:254" ht="29.25" customHeight="1">
      <c r="A95" s="254"/>
      <c r="B95" s="286" t="s">
        <v>2012</v>
      </c>
      <c r="C95" s="252"/>
      <c r="D95" s="48"/>
      <c r="E95" s="48" t="s">
        <v>2013</v>
      </c>
      <c r="F95" s="43">
        <v>40666</v>
      </c>
      <c r="G95" s="46"/>
      <c r="H95" s="46"/>
      <c r="I95" s="46" t="s">
        <v>2983</v>
      </c>
      <c r="J95" s="257" t="s">
        <v>1089</v>
      </c>
      <c r="K95" s="193">
        <v>0.97</v>
      </c>
      <c r="L95" s="193">
        <f>M95</f>
        <v>2.3367300000000002</v>
      </c>
      <c r="M95" s="130">
        <f>K95*8.76*0.275</f>
        <v>2.3367300000000002</v>
      </c>
      <c r="N95" s="28"/>
      <c r="O95" s="37"/>
      <c r="P95" s="37"/>
      <c r="Q95" s="37"/>
      <c r="R95" s="253">
        <f t="shared" si="1"/>
        <v>2.3367300000000002</v>
      </c>
      <c r="S95" s="266" t="b">
        <v>1</v>
      </c>
      <c r="T95" s="266" t="b">
        <v>0</v>
      </c>
      <c r="U95" s="259"/>
      <c r="V95" s="259"/>
      <c r="W95" s="259"/>
      <c r="X95" s="259"/>
      <c r="Y95" s="259"/>
      <c r="Z95" s="259"/>
      <c r="AA95" s="259"/>
    </row>
    <row r="96" spans="1:254" ht="29.25" customHeight="1">
      <c r="A96" s="254" t="s">
        <v>968</v>
      </c>
      <c r="B96" s="468" t="s">
        <v>1108</v>
      </c>
      <c r="C96" s="252"/>
      <c r="D96" s="250"/>
      <c r="E96" s="250" t="s">
        <v>2032</v>
      </c>
      <c r="F96" s="43" t="s">
        <v>1121</v>
      </c>
      <c r="G96" s="256"/>
      <c r="H96" s="256"/>
      <c r="I96" s="256" t="s">
        <v>2983</v>
      </c>
      <c r="J96" s="257" t="s">
        <v>1089</v>
      </c>
      <c r="K96" s="194">
        <v>0.4</v>
      </c>
      <c r="L96" s="193">
        <f>M96</f>
        <v>0.96360000000000012</v>
      </c>
      <c r="M96" s="130">
        <f>K96*8.76*0.275</f>
        <v>0.96360000000000012</v>
      </c>
      <c r="N96" s="136">
        <v>0.94199999999999995</v>
      </c>
      <c r="O96" s="37"/>
      <c r="P96" s="37"/>
      <c r="Q96" s="37"/>
      <c r="R96" s="253">
        <f t="shared" si="1"/>
        <v>0.95640000000000003</v>
      </c>
      <c r="S96" s="266" t="b">
        <v>1</v>
      </c>
      <c r="T96" s="266" t="b">
        <v>0</v>
      </c>
    </row>
    <row r="97" spans="1:254" ht="29.25" customHeight="1">
      <c r="A97" s="254"/>
      <c r="B97" s="468" t="s">
        <v>2911</v>
      </c>
      <c r="C97" s="252"/>
      <c r="D97" s="250"/>
      <c r="E97" s="250" t="s">
        <v>2912</v>
      </c>
      <c r="F97" s="43">
        <v>41205</v>
      </c>
      <c r="G97" s="256"/>
      <c r="H97" s="256"/>
      <c r="I97" s="256" t="s">
        <v>2946</v>
      </c>
      <c r="J97" s="257" t="s">
        <v>1089</v>
      </c>
      <c r="K97" s="194">
        <v>0.97199999999999998</v>
      </c>
      <c r="L97" s="194">
        <v>1.698</v>
      </c>
      <c r="M97" s="130">
        <v>1.5269999999999999</v>
      </c>
      <c r="N97" s="136"/>
      <c r="O97" s="37"/>
      <c r="P97" s="37"/>
      <c r="Q97" s="37"/>
      <c r="R97" s="253">
        <f t="shared" si="1"/>
        <v>1.6124999999999998</v>
      </c>
      <c r="S97" s="266" t="b">
        <v>1</v>
      </c>
      <c r="T97" s="266" t="b">
        <v>0</v>
      </c>
    </row>
    <row r="98" spans="1:254" ht="29.25" customHeight="1">
      <c r="A98" s="254"/>
      <c r="B98" s="468" t="s">
        <v>5328</v>
      </c>
      <c r="C98" s="252"/>
      <c r="D98" s="250"/>
      <c r="E98" s="250" t="s">
        <v>5329</v>
      </c>
      <c r="F98" s="43"/>
      <c r="G98" s="256"/>
      <c r="H98" s="256"/>
      <c r="I98" s="256" t="s">
        <v>2946</v>
      </c>
      <c r="J98" s="257" t="s">
        <v>1089</v>
      </c>
      <c r="K98" s="194">
        <v>0.22500000000000001</v>
      </c>
      <c r="L98" s="194">
        <v>6.8479999999999999E-2</v>
      </c>
      <c r="M98" s="130"/>
      <c r="N98" s="136"/>
      <c r="O98" s="37"/>
      <c r="P98" s="37"/>
      <c r="Q98" s="37"/>
      <c r="R98" s="253">
        <f t="shared" si="1"/>
        <v>6.8479999999999999E-2</v>
      </c>
      <c r="S98" s="266" t="b">
        <v>1</v>
      </c>
      <c r="T98" s="266" t="b">
        <v>0</v>
      </c>
    </row>
    <row r="99" spans="1:254" ht="29.25" customHeight="1">
      <c r="A99" s="254"/>
      <c r="B99" s="468" t="s">
        <v>5340</v>
      </c>
      <c r="C99" s="252"/>
      <c r="D99" s="250"/>
      <c r="E99" s="250" t="s">
        <v>3007</v>
      </c>
      <c r="F99" s="43">
        <v>42299</v>
      </c>
      <c r="G99" s="256" t="s">
        <v>2622</v>
      </c>
      <c r="H99" s="256"/>
      <c r="I99" s="256" t="s">
        <v>2946</v>
      </c>
      <c r="J99" s="257" t="s">
        <v>1089</v>
      </c>
      <c r="K99" s="194">
        <v>0.01</v>
      </c>
      <c r="L99" s="194">
        <v>8.5300000000000003E-4</v>
      </c>
      <c r="M99" s="130"/>
      <c r="N99" s="136"/>
      <c r="O99" s="37"/>
      <c r="P99" s="37"/>
      <c r="Q99" s="37"/>
      <c r="R99" s="253">
        <f t="shared" si="1"/>
        <v>8.5300000000000003E-4</v>
      </c>
      <c r="S99" s="266" t="b">
        <v>1</v>
      </c>
      <c r="T99" s="266" t="b">
        <v>0</v>
      </c>
    </row>
    <row r="100" spans="1:254" ht="29.25" customHeight="1">
      <c r="A100" s="254"/>
      <c r="B100" s="468" t="s">
        <v>5337</v>
      </c>
      <c r="C100" s="252"/>
      <c r="D100" s="250"/>
      <c r="E100" s="250" t="s">
        <v>5258</v>
      </c>
      <c r="F100" s="43"/>
      <c r="G100" s="256"/>
      <c r="H100" s="256"/>
      <c r="I100" s="256" t="s">
        <v>2946</v>
      </c>
      <c r="J100" s="257" t="s">
        <v>1089</v>
      </c>
      <c r="K100" s="194"/>
      <c r="L100" s="194">
        <v>8.7510000000000004E-2</v>
      </c>
      <c r="M100" s="130"/>
      <c r="N100" s="136"/>
      <c r="O100" s="37"/>
      <c r="P100" s="37"/>
      <c r="Q100" s="37"/>
      <c r="R100" s="253">
        <f t="shared" si="1"/>
        <v>8.7510000000000004E-2</v>
      </c>
      <c r="S100" s="266" t="b">
        <v>1</v>
      </c>
      <c r="T100" s="266" t="b">
        <v>0</v>
      </c>
    </row>
    <row r="101" spans="1:254" ht="29.25" customHeight="1">
      <c r="A101" s="254"/>
      <c r="B101" s="468" t="s">
        <v>5338</v>
      </c>
      <c r="C101" s="252"/>
      <c r="D101" s="250"/>
      <c r="E101" s="250" t="s">
        <v>5259</v>
      </c>
      <c r="F101" s="43"/>
      <c r="G101" s="256"/>
      <c r="H101" s="256"/>
      <c r="I101" s="256" t="s">
        <v>2946</v>
      </c>
      <c r="J101" s="257" t="s">
        <v>1089</v>
      </c>
      <c r="K101" s="194"/>
      <c r="L101" s="194">
        <v>0.15848799999999999</v>
      </c>
      <c r="M101" s="130"/>
      <c r="N101" s="136"/>
      <c r="O101" s="37"/>
      <c r="P101" s="37"/>
      <c r="Q101" s="37"/>
      <c r="R101" s="253">
        <f t="shared" si="1"/>
        <v>0.15848799999999999</v>
      </c>
      <c r="S101" s="266" t="b">
        <v>1</v>
      </c>
      <c r="T101" s="266" t="b">
        <v>0</v>
      </c>
    </row>
    <row r="102" spans="1:254" ht="29.25" customHeight="1">
      <c r="A102" s="254"/>
      <c r="B102" s="254" t="s">
        <v>2057</v>
      </c>
      <c r="C102" s="257"/>
      <c r="D102" s="48"/>
      <c r="E102" s="48" t="s">
        <v>2058</v>
      </c>
      <c r="F102" s="172">
        <v>41352</v>
      </c>
      <c r="G102" s="252"/>
      <c r="H102" s="252"/>
      <c r="I102" s="252" t="s">
        <v>2983</v>
      </c>
      <c r="J102" s="257" t="s">
        <v>1089</v>
      </c>
      <c r="K102" s="467">
        <v>0.96899999999999997</v>
      </c>
      <c r="L102" s="193">
        <f>M102</f>
        <v>2.3343210000000001</v>
      </c>
      <c r="M102" s="130">
        <f>K102*0.275*8.76</f>
        <v>2.3343210000000001</v>
      </c>
      <c r="N102" s="32"/>
      <c r="O102" s="32"/>
      <c r="P102" s="253"/>
      <c r="Q102" s="253"/>
      <c r="R102" s="253">
        <f t="shared" si="1"/>
        <v>2.3343210000000001</v>
      </c>
      <c r="S102" s="266" t="b">
        <v>1</v>
      </c>
      <c r="T102" s="266" t="b">
        <v>0</v>
      </c>
    </row>
    <row r="103" spans="1:254" ht="29.25" customHeight="1">
      <c r="A103" s="254" t="s">
        <v>967</v>
      </c>
      <c r="B103" s="262" t="s">
        <v>835</v>
      </c>
      <c r="C103" s="252"/>
      <c r="D103" s="250" t="s">
        <v>1047</v>
      </c>
      <c r="E103" s="250" t="s">
        <v>2989</v>
      </c>
      <c r="F103" s="43" t="s">
        <v>1121</v>
      </c>
      <c r="G103" s="260" t="s">
        <v>2522</v>
      </c>
      <c r="H103" s="260"/>
      <c r="I103" s="260" t="s">
        <v>2946</v>
      </c>
      <c r="J103" s="257" t="s">
        <v>1089</v>
      </c>
      <c r="K103" s="194">
        <v>0.5</v>
      </c>
      <c r="L103" s="194">
        <v>0.76197800000000004</v>
      </c>
      <c r="M103" s="130">
        <v>1.0072650000000001</v>
      </c>
      <c r="N103" s="136">
        <v>0.53900000000000003</v>
      </c>
      <c r="O103" s="37"/>
      <c r="P103" s="37"/>
      <c r="Q103" s="37"/>
      <c r="R103" s="253">
        <f t="shared" si="1"/>
        <v>0.76941433333333331</v>
      </c>
      <c r="S103" s="266" t="b">
        <v>1</v>
      </c>
      <c r="T103" s="266" t="b">
        <v>0</v>
      </c>
    </row>
    <row r="104" spans="1:254" ht="29.25" customHeight="1">
      <c r="A104" s="149" t="s">
        <v>1597</v>
      </c>
      <c r="B104" s="143" t="s">
        <v>1599</v>
      </c>
      <c r="C104" s="263"/>
      <c r="D104" s="257" t="s">
        <v>4037</v>
      </c>
      <c r="E104" s="209" t="s">
        <v>3988</v>
      </c>
      <c r="F104" s="151">
        <v>42328</v>
      </c>
      <c r="G104" s="151"/>
      <c r="H104" s="262"/>
      <c r="I104" s="260" t="s">
        <v>2946</v>
      </c>
      <c r="J104" s="262" t="s">
        <v>1089</v>
      </c>
      <c r="K104" s="257">
        <v>0.9</v>
      </c>
      <c r="L104" s="257">
        <v>0.21570800000000001</v>
      </c>
      <c r="M104" s="261">
        <v>0.9</v>
      </c>
      <c r="N104" s="144"/>
      <c r="O104" s="241"/>
      <c r="P104" s="134"/>
      <c r="Q104" s="254"/>
      <c r="R104" s="253">
        <f t="shared" si="1"/>
        <v>0.55785400000000007</v>
      </c>
      <c r="S104" s="266" t="b">
        <v>1</v>
      </c>
      <c r="T104" s="266" t="b">
        <v>0</v>
      </c>
    </row>
    <row r="105" spans="1:254" ht="29.25" customHeight="1">
      <c r="A105" s="149"/>
      <c r="B105" s="143" t="s">
        <v>5339</v>
      </c>
      <c r="C105" s="263"/>
      <c r="D105" s="257"/>
      <c r="E105" s="209" t="s">
        <v>1964</v>
      </c>
      <c r="F105" s="151"/>
      <c r="G105" s="151"/>
      <c r="H105" s="262"/>
      <c r="I105" s="260" t="s">
        <v>2946</v>
      </c>
      <c r="J105" s="262" t="s">
        <v>1089</v>
      </c>
      <c r="K105" s="257">
        <v>0.22500000000000001</v>
      </c>
      <c r="L105" s="257">
        <v>0.12761700000000001</v>
      </c>
      <c r="M105" s="261"/>
      <c r="N105" s="144"/>
      <c r="O105" s="241"/>
      <c r="P105" s="134"/>
      <c r="Q105" s="254"/>
      <c r="R105" s="253">
        <f t="shared" si="1"/>
        <v>0.12761700000000001</v>
      </c>
      <c r="S105" s="266" t="b">
        <v>1</v>
      </c>
      <c r="T105" s="266" t="b">
        <v>0</v>
      </c>
    </row>
    <row r="106" spans="1:254" ht="29.25" customHeight="1">
      <c r="A106" s="254"/>
      <c r="B106" s="286" t="s">
        <v>2007</v>
      </c>
      <c r="C106" s="252"/>
      <c r="D106" s="48"/>
      <c r="E106" s="48" t="s">
        <v>2008</v>
      </c>
      <c r="F106" s="43">
        <v>40177</v>
      </c>
      <c r="G106" s="46"/>
      <c r="H106" s="46"/>
      <c r="I106" s="46" t="s">
        <v>2983</v>
      </c>
      <c r="J106" s="257" t="s">
        <v>1089</v>
      </c>
      <c r="K106" s="195">
        <v>0.95</v>
      </c>
      <c r="L106" s="193">
        <f>M106</f>
        <v>2.2885499999999999</v>
      </c>
      <c r="M106" s="130">
        <f>K106*0.275*8.76</f>
        <v>2.2885499999999999</v>
      </c>
      <c r="N106" s="136"/>
      <c r="O106" s="37"/>
      <c r="P106" s="37"/>
      <c r="Q106" s="37"/>
      <c r="R106" s="253">
        <f t="shared" si="1"/>
        <v>2.2885499999999999</v>
      </c>
      <c r="S106" s="266" t="b">
        <v>1</v>
      </c>
      <c r="T106" s="266" t="b">
        <v>0</v>
      </c>
    </row>
    <row r="107" spans="1:254" ht="29.25" customHeight="1">
      <c r="A107" s="254"/>
      <c r="B107" s="286" t="s">
        <v>5043</v>
      </c>
      <c r="C107" s="252"/>
      <c r="D107" s="48"/>
      <c r="E107" s="48" t="s">
        <v>5044</v>
      </c>
      <c r="F107" s="43"/>
      <c r="G107" s="46"/>
      <c r="H107" s="46"/>
      <c r="I107" s="159" t="s">
        <v>2983</v>
      </c>
      <c r="J107" s="257" t="s">
        <v>1089</v>
      </c>
      <c r="K107" s="193">
        <v>0.25</v>
      </c>
      <c r="L107" s="130">
        <f>K107*0.2*8760/1000</f>
        <v>0.438</v>
      </c>
      <c r="M107" s="130"/>
      <c r="N107" s="28"/>
      <c r="O107" s="37"/>
      <c r="P107" s="37"/>
      <c r="Q107" s="37"/>
      <c r="R107" s="253">
        <f t="shared" si="1"/>
        <v>0.438</v>
      </c>
      <c r="S107" s="266" t="b">
        <v>1</v>
      </c>
      <c r="T107" s="266" t="b">
        <v>0</v>
      </c>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c r="FP107" s="131"/>
      <c r="FQ107" s="131"/>
      <c r="FR107" s="131"/>
      <c r="FS107" s="131"/>
      <c r="FT107" s="131"/>
      <c r="FU107" s="131"/>
      <c r="FV107" s="131"/>
      <c r="FW107" s="131"/>
      <c r="FX107" s="131"/>
      <c r="FY107" s="131"/>
      <c r="FZ107" s="131"/>
      <c r="GA107" s="131"/>
      <c r="GB107" s="131"/>
      <c r="GC107" s="131"/>
      <c r="GD107" s="131"/>
      <c r="GE107" s="131"/>
      <c r="GF107" s="131"/>
      <c r="GG107" s="131"/>
      <c r="GH107" s="131"/>
      <c r="GI107" s="131"/>
      <c r="GJ107" s="131"/>
      <c r="GK107" s="131"/>
      <c r="GL107" s="131"/>
      <c r="GM107" s="131"/>
      <c r="GN107" s="131"/>
      <c r="GO107" s="131"/>
      <c r="GP107" s="131"/>
      <c r="GQ107" s="131"/>
      <c r="GR107" s="131"/>
      <c r="GS107" s="131"/>
      <c r="GT107" s="131"/>
      <c r="GU107" s="131"/>
      <c r="GV107" s="131"/>
      <c r="GW107" s="131"/>
      <c r="GX107" s="131"/>
      <c r="GY107" s="131"/>
      <c r="GZ107" s="131"/>
      <c r="HA107" s="131"/>
      <c r="HB107" s="131"/>
      <c r="HC107" s="131"/>
      <c r="HD107" s="131"/>
      <c r="HE107" s="131"/>
      <c r="HF107" s="131"/>
      <c r="HG107" s="131"/>
      <c r="HH107" s="131"/>
      <c r="HI107" s="131"/>
      <c r="HJ107" s="131"/>
      <c r="HK107" s="131"/>
      <c r="HL107" s="131"/>
      <c r="HM107" s="131"/>
      <c r="HN107" s="131"/>
      <c r="HO107" s="131"/>
      <c r="HP107" s="131"/>
      <c r="HQ107" s="131"/>
      <c r="HR107" s="131"/>
      <c r="HS107" s="131"/>
      <c r="HT107" s="131"/>
      <c r="HU107" s="131"/>
      <c r="HV107" s="131"/>
      <c r="HW107" s="131"/>
      <c r="HX107" s="131"/>
      <c r="HY107" s="131"/>
      <c r="HZ107" s="131"/>
      <c r="IA107" s="131"/>
      <c r="IB107" s="131"/>
      <c r="IC107" s="131"/>
      <c r="ID107" s="131"/>
      <c r="IE107" s="131"/>
      <c r="IF107" s="131"/>
      <c r="IG107" s="131"/>
      <c r="IH107" s="131"/>
      <c r="II107" s="131"/>
      <c r="IJ107" s="131"/>
      <c r="IK107" s="131"/>
      <c r="IL107" s="131"/>
      <c r="IM107" s="131"/>
      <c r="IN107" s="131"/>
      <c r="IO107" s="131"/>
      <c r="IP107" s="131"/>
      <c r="IQ107" s="131"/>
      <c r="IR107" s="131"/>
      <c r="IS107" s="131"/>
      <c r="IT107" s="131"/>
    </row>
    <row r="108" spans="1:254" ht="29.25" customHeight="1">
      <c r="A108" s="149"/>
      <c r="B108" s="143" t="s">
        <v>3232</v>
      </c>
      <c r="C108" s="161"/>
      <c r="D108" s="257"/>
      <c r="E108" s="209" t="s">
        <v>5334</v>
      </c>
      <c r="F108" s="151">
        <v>42271</v>
      </c>
      <c r="G108" s="262"/>
      <c r="H108" s="262"/>
      <c r="I108" s="262"/>
      <c r="J108" s="257" t="s">
        <v>3</v>
      </c>
      <c r="K108" s="261">
        <v>0.22500000000000001</v>
      </c>
      <c r="L108" s="261">
        <v>0.15340599999999999</v>
      </c>
      <c r="M108" s="144"/>
      <c r="N108" s="241"/>
      <c r="O108" s="134"/>
      <c r="P108" s="254"/>
      <c r="Q108" s="264"/>
      <c r="R108" s="253">
        <f t="shared" si="1"/>
        <v>0.15340599999999999</v>
      </c>
      <c r="S108" s="266" t="b">
        <v>1</v>
      </c>
      <c r="T108" s="266" t="b">
        <v>0</v>
      </c>
    </row>
    <row r="109" spans="1:254" ht="29.25" customHeight="1">
      <c r="A109" s="149" t="s">
        <v>1565</v>
      </c>
      <c r="B109" s="143" t="s">
        <v>5264</v>
      </c>
      <c r="C109" s="161"/>
      <c r="D109" s="257"/>
      <c r="E109" s="209" t="s">
        <v>5265</v>
      </c>
      <c r="F109" s="151">
        <v>40294</v>
      </c>
      <c r="G109" s="262" t="s">
        <v>1565</v>
      </c>
      <c r="H109" s="262"/>
      <c r="I109" s="46" t="s">
        <v>2946</v>
      </c>
      <c r="J109" s="257" t="s">
        <v>1089</v>
      </c>
      <c r="K109" s="261">
        <v>0.20699999999999999</v>
      </c>
      <c r="L109" s="261">
        <v>0.17083000000000001</v>
      </c>
      <c r="M109" s="144"/>
      <c r="N109" s="241"/>
      <c r="O109" s="134"/>
      <c r="P109" s="254"/>
      <c r="Q109" s="264"/>
      <c r="R109" s="253">
        <f t="shared" si="1"/>
        <v>0.17083000000000001</v>
      </c>
      <c r="S109" s="266" t="b">
        <v>1</v>
      </c>
      <c r="T109" s="266" t="b">
        <v>0</v>
      </c>
    </row>
    <row r="110" spans="1:254" ht="29.25" customHeight="1">
      <c r="A110" s="254"/>
      <c r="B110" s="286" t="s">
        <v>2045</v>
      </c>
      <c r="C110" s="252"/>
      <c r="D110" s="48"/>
      <c r="E110" s="48" t="s">
        <v>2046</v>
      </c>
      <c r="F110" s="43">
        <v>41417</v>
      </c>
      <c r="G110" s="46"/>
      <c r="H110" s="46"/>
      <c r="I110" s="46" t="s">
        <v>2946</v>
      </c>
      <c r="J110" s="257" t="s">
        <v>1177</v>
      </c>
      <c r="K110" s="193">
        <v>0.6</v>
      </c>
      <c r="L110" s="193">
        <v>1.563199</v>
      </c>
      <c r="M110" s="130">
        <v>1.7417750000000001</v>
      </c>
      <c r="N110" s="28"/>
      <c r="O110" s="37"/>
      <c r="P110" s="37"/>
      <c r="Q110" s="37"/>
      <c r="R110" s="253">
        <f t="shared" si="1"/>
        <v>1.652487</v>
      </c>
      <c r="S110" s="266" t="b">
        <v>1</v>
      </c>
      <c r="T110" s="266" t="b">
        <v>0</v>
      </c>
    </row>
    <row r="111" spans="1:254" ht="29.25" customHeight="1">
      <c r="A111" s="254"/>
      <c r="B111" s="286" t="s">
        <v>5176</v>
      </c>
      <c r="C111" s="252"/>
      <c r="D111" s="48" t="s">
        <v>1063</v>
      </c>
      <c r="E111" s="48" t="s">
        <v>5175</v>
      </c>
      <c r="F111" s="43"/>
      <c r="G111" s="48"/>
      <c r="H111" s="48"/>
      <c r="I111" s="159" t="s">
        <v>2983</v>
      </c>
      <c r="J111" s="257" t="s">
        <v>1089</v>
      </c>
      <c r="K111" s="195">
        <v>0.46500000000000002</v>
      </c>
      <c r="L111" s="130">
        <f>K111*0.2*8760/1000</f>
        <v>0.81468000000000007</v>
      </c>
      <c r="M111" s="130"/>
      <c r="N111" s="136"/>
      <c r="O111" s="37"/>
      <c r="P111" s="37"/>
      <c r="Q111" s="37"/>
      <c r="R111" s="253">
        <f t="shared" si="1"/>
        <v>0.81468000000000007</v>
      </c>
      <c r="S111" s="266" t="b">
        <v>1</v>
      </c>
      <c r="T111" s="266" t="b">
        <v>0</v>
      </c>
    </row>
    <row r="112" spans="1:254" ht="29.25" customHeight="1">
      <c r="A112" s="254"/>
      <c r="B112" s="252" t="s">
        <v>4913</v>
      </c>
      <c r="C112" s="48"/>
      <c r="D112" s="48"/>
      <c r="E112" s="48" t="s">
        <v>5257</v>
      </c>
      <c r="F112" s="39"/>
      <c r="G112" s="252"/>
      <c r="H112" s="252"/>
      <c r="I112" s="260" t="s">
        <v>2946</v>
      </c>
      <c r="J112" s="257" t="s">
        <v>1089</v>
      </c>
      <c r="K112" s="46">
        <v>7.0000000000000001E-3</v>
      </c>
      <c r="L112" s="130">
        <v>5.5009999999999998E-3</v>
      </c>
      <c r="M112" s="263"/>
      <c r="N112" s="32"/>
      <c r="O112" s="241"/>
      <c r="P112" s="257"/>
      <c r="Q112" s="263"/>
      <c r="R112" s="253">
        <f t="shared" si="1"/>
        <v>5.5009999999999998E-3</v>
      </c>
      <c r="S112" s="266" t="b">
        <v>1</v>
      </c>
      <c r="T112" s="266" t="b">
        <v>0</v>
      </c>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c r="FW112" s="131"/>
      <c r="FX112" s="131"/>
      <c r="FY112" s="131"/>
      <c r="FZ112" s="131"/>
      <c r="GA112" s="131"/>
      <c r="GB112" s="131"/>
      <c r="GC112" s="131"/>
      <c r="GD112" s="131"/>
      <c r="GE112" s="131"/>
      <c r="GF112" s="131"/>
      <c r="GG112" s="131"/>
      <c r="GH112" s="131"/>
      <c r="GI112" s="131"/>
      <c r="GJ112" s="131"/>
      <c r="GK112" s="131"/>
      <c r="GL112" s="131"/>
      <c r="GM112" s="131"/>
      <c r="GN112" s="131"/>
      <c r="GO112" s="131"/>
      <c r="GP112" s="131"/>
      <c r="GQ112" s="131"/>
      <c r="GR112" s="131"/>
      <c r="GS112" s="131"/>
      <c r="GT112" s="131"/>
      <c r="GU112" s="131"/>
      <c r="GV112" s="131"/>
      <c r="GW112" s="131"/>
      <c r="GX112" s="131"/>
      <c r="GY112" s="131"/>
      <c r="GZ112" s="131"/>
      <c r="HA112" s="131"/>
      <c r="HB112" s="131"/>
      <c r="HC112" s="131"/>
      <c r="HD112" s="131"/>
      <c r="HE112" s="131"/>
      <c r="HF112" s="131"/>
      <c r="HG112" s="131"/>
      <c r="HH112" s="131"/>
      <c r="HI112" s="131"/>
      <c r="HJ112" s="131"/>
      <c r="HK112" s="131"/>
      <c r="HL112" s="131"/>
      <c r="HM112" s="131"/>
      <c r="HN112" s="131"/>
      <c r="HO112" s="131"/>
      <c r="HP112" s="131"/>
      <c r="HQ112" s="131"/>
      <c r="HR112" s="131"/>
      <c r="HS112" s="131"/>
      <c r="HT112" s="131"/>
      <c r="HU112" s="131"/>
      <c r="HV112" s="131"/>
      <c r="HW112" s="131"/>
      <c r="HX112" s="131"/>
      <c r="HY112" s="131"/>
      <c r="HZ112" s="131"/>
      <c r="IA112" s="131"/>
      <c r="IB112" s="131"/>
      <c r="IC112" s="131"/>
      <c r="ID112" s="131"/>
      <c r="IE112" s="131"/>
      <c r="IF112" s="131"/>
      <c r="IG112" s="131"/>
      <c r="IH112" s="131"/>
      <c r="II112" s="131"/>
      <c r="IJ112" s="131"/>
      <c r="IK112" s="131"/>
      <c r="IL112" s="131"/>
      <c r="IM112" s="131"/>
      <c r="IN112" s="131"/>
      <c r="IO112" s="131"/>
      <c r="IP112" s="131"/>
      <c r="IQ112" s="131"/>
      <c r="IR112" s="131"/>
      <c r="IS112" s="131"/>
      <c r="IT112" s="131"/>
    </row>
    <row r="113" spans="1:20" ht="29.25" customHeight="1">
      <c r="A113" s="252" t="s">
        <v>1565</v>
      </c>
      <c r="B113" s="252" t="s">
        <v>5333</v>
      </c>
      <c r="C113" s="257"/>
      <c r="D113" s="260" t="s">
        <v>4564</v>
      </c>
      <c r="E113" s="257" t="s">
        <v>5224</v>
      </c>
      <c r="F113" s="156">
        <v>40002</v>
      </c>
      <c r="G113" s="257" t="s">
        <v>5136</v>
      </c>
      <c r="H113" s="252"/>
      <c r="I113" s="260" t="s">
        <v>2946</v>
      </c>
      <c r="J113" s="257" t="s">
        <v>1089</v>
      </c>
      <c r="K113" s="194">
        <v>5.6000000000000001E-2</v>
      </c>
      <c r="L113" s="194">
        <v>9.0128E-2</v>
      </c>
      <c r="M113" s="258"/>
      <c r="N113" s="32"/>
      <c r="O113" s="32"/>
      <c r="P113" s="253"/>
      <c r="Q113" s="253"/>
      <c r="R113" s="253">
        <f t="shared" si="1"/>
        <v>9.0128E-2</v>
      </c>
      <c r="S113" s="266" t="b">
        <v>1</v>
      </c>
      <c r="T113" s="266" t="b">
        <v>0</v>
      </c>
    </row>
    <row r="114" spans="1:20" ht="29.25" customHeight="1">
      <c r="A114" s="252" t="s">
        <v>1565</v>
      </c>
      <c r="B114" s="252" t="s">
        <v>4671</v>
      </c>
      <c r="C114" s="257"/>
      <c r="D114" s="29" t="s">
        <v>4670</v>
      </c>
      <c r="E114" s="29" t="s">
        <v>5233</v>
      </c>
      <c r="F114" s="251">
        <v>40325</v>
      </c>
      <c r="G114" s="252" t="s">
        <v>5138</v>
      </c>
      <c r="H114" s="252"/>
      <c r="I114" s="260" t="s">
        <v>2946</v>
      </c>
      <c r="J114" s="257" t="s">
        <v>1089</v>
      </c>
      <c r="K114" s="194">
        <v>0.38400000000000001</v>
      </c>
      <c r="L114" s="194">
        <v>0.694272</v>
      </c>
      <c r="M114" s="258"/>
      <c r="N114" s="32"/>
      <c r="O114" s="32"/>
      <c r="P114" s="253"/>
      <c r="Q114" s="253"/>
      <c r="R114" s="253">
        <f t="shared" si="1"/>
        <v>0.694272</v>
      </c>
      <c r="S114" s="266" t="b">
        <v>1</v>
      </c>
      <c r="T114" s="266" t="b">
        <v>0</v>
      </c>
    </row>
    <row r="115" spans="1:20" ht="29.25" customHeight="1">
      <c r="A115" s="252" t="s">
        <v>1565</v>
      </c>
      <c r="B115" s="252" t="s">
        <v>4624</v>
      </c>
      <c r="C115" s="257"/>
      <c r="D115" s="29" t="s">
        <v>4623</v>
      </c>
      <c r="E115" s="29" t="s">
        <v>5230</v>
      </c>
      <c r="F115" s="251">
        <v>39506</v>
      </c>
      <c r="G115" s="252" t="s">
        <v>5137</v>
      </c>
      <c r="H115" s="252"/>
      <c r="I115" s="260" t="s">
        <v>2946</v>
      </c>
      <c r="J115" s="257" t="s">
        <v>1089</v>
      </c>
      <c r="K115" s="194">
        <v>0.08</v>
      </c>
      <c r="L115" s="194">
        <v>0.12501799999999999</v>
      </c>
      <c r="M115" s="258"/>
      <c r="N115" s="32"/>
      <c r="O115" s="32"/>
      <c r="P115" s="253"/>
      <c r="Q115" s="253"/>
      <c r="R115" s="253">
        <f t="shared" si="1"/>
        <v>0.12501799999999999</v>
      </c>
      <c r="S115" s="266" t="b">
        <v>1</v>
      </c>
      <c r="T115" s="266" t="b">
        <v>0</v>
      </c>
    </row>
    <row r="116" spans="1:20" ht="29.25" customHeight="1">
      <c r="A116" s="252" t="s">
        <v>5335</v>
      </c>
      <c r="B116" s="252" t="s">
        <v>5336</v>
      </c>
      <c r="C116" s="257"/>
      <c r="D116" s="29" t="s">
        <v>4674</v>
      </c>
      <c r="E116" s="29" t="s">
        <v>5235</v>
      </c>
      <c r="F116" s="251">
        <v>38163</v>
      </c>
      <c r="G116" s="252" t="s">
        <v>5139</v>
      </c>
      <c r="H116" s="252"/>
      <c r="I116" s="260" t="s">
        <v>2946</v>
      </c>
      <c r="J116" s="257" t="s">
        <v>1089</v>
      </c>
      <c r="K116" s="194">
        <v>0.04</v>
      </c>
      <c r="L116" s="194">
        <v>6.6789000000000001E-2</v>
      </c>
      <c r="M116" s="258"/>
      <c r="N116" s="32"/>
      <c r="O116" s="32"/>
      <c r="P116" s="253"/>
      <c r="Q116" s="253"/>
      <c r="R116" s="253">
        <f t="shared" si="1"/>
        <v>6.6789000000000001E-2</v>
      </c>
      <c r="S116" s="266" t="b">
        <v>1</v>
      </c>
      <c r="T116" s="266" t="b">
        <v>0</v>
      </c>
    </row>
    <row r="117" spans="1:20" ht="27" customHeight="1">
      <c r="A117" s="261" t="s">
        <v>477</v>
      </c>
      <c r="B117" s="260" t="s">
        <v>4474</v>
      </c>
      <c r="C117" s="257"/>
      <c r="D117" s="260" t="s">
        <v>4473</v>
      </c>
      <c r="E117" s="257" t="s">
        <v>5221</v>
      </c>
      <c r="F117" s="156">
        <v>41045</v>
      </c>
      <c r="G117" s="257" t="s">
        <v>5134</v>
      </c>
      <c r="H117" s="188"/>
      <c r="I117" s="260" t="s">
        <v>2946</v>
      </c>
      <c r="J117" s="252" t="s">
        <v>1089</v>
      </c>
      <c r="K117" s="261">
        <v>0.109</v>
      </c>
      <c r="L117" s="257">
        <v>0.188219</v>
      </c>
      <c r="M117" s="257"/>
      <c r="N117" s="257"/>
      <c r="O117" s="257"/>
      <c r="P117" s="257"/>
      <c r="Q117" s="257"/>
      <c r="R117" s="253">
        <f t="shared" si="1"/>
        <v>0.188219</v>
      </c>
      <c r="S117" s="266" t="b">
        <v>1</v>
      </c>
      <c r="T117" s="266" t="b">
        <v>0</v>
      </c>
    </row>
    <row r="118" spans="1:20" ht="29.25" customHeight="1">
      <c r="A118" s="252"/>
      <c r="B118" s="252" t="s">
        <v>5345</v>
      </c>
      <c r="C118" s="257"/>
      <c r="D118" s="29"/>
      <c r="E118" s="29" t="s">
        <v>5346</v>
      </c>
      <c r="F118" s="251"/>
      <c r="G118" s="252"/>
      <c r="H118" s="252"/>
      <c r="I118" s="260" t="s">
        <v>2946</v>
      </c>
      <c r="J118" s="252" t="s">
        <v>1089</v>
      </c>
      <c r="K118" s="194">
        <v>0.54900000000000004</v>
      </c>
      <c r="L118" s="194">
        <v>0.83599999999999997</v>
      </c>
      <c r="M118" s="258"/>
      <c r="N118" s="32"/>
      <c r="O118" s="32"/>
      <c r="P118" s="253"/>
      <c r="Q118" s="253"/>
      <c r="R118" s="253">
        <f t="shared" si="1"/>
        <v>0.83599999999999997</v>
      </c>
      <c r="S118" s="266" t="b">
        <v>1</v>
      </c>
      <c r="T118" s="266" t="b">
        <v>0</v>
      </c>
    </row>
    <row r="119" spans="1:20" ht="29.25" customHeight="1">
      <c r="A119" s="252" t="s">
        <v>5244</v>
      </c>
      <c r="B119" s="252" t="s">
        <v>5347</v>
      </c>
      <c r="C119" s="257"/>
      <c r="D119" s="29"/>
      <c r="E119" s="29" t="s">
        <v>5348</v>
      </c>
      <c r="F119" s="251"/>
      <c r="G119" s="252"/>
      <c r="H119" s="252"/>
      <c r="I119" s="260" t="s">
        <v>2946</v>
      </c>
      <c r="J119" s="252" t="s">
        <v>1089</v>
      </c>
      <c r="K119" s="194">
        <v>0.22500000000000001</v>
      </c>
      <c r="L119" s="194">
        <v>0.24515799999999999</v>
      </c>
      <c r="M119" s="258"/>
      <c r="N119" s="32"/>
      <c r="O119" s="32"/>
      <c r="P119" s="253"/>
      <c r="Q119" s="253"/>
      <c r="R119" s="253">
        <f t="shared" si="1"/>
        <v>0.24515799999999999</v>
      </c>
      <c r="S119" s="266" t="b">
        <v>1</v>
      </c>
      <c r="T119" s="266" t="b">
        <v>0</v>
      </c>
    </row>
    <row r="121" spans="1:20" ht="29.25" customHeight="1">
      <c r="I121" s="255"/>
      <c r="J121" s="252" t="s">
        <v>666</v>
      </c>
      <c r="K121" s="194">
        <f>SUM(K3:K119)</f>
        <v>54.422429000000008</v>
      </c>
      <c r="L121" s="194">
        <f t="shared" ref="L121:R121" si="2">SUM(L3:L119)</f>
        <v>94.530137079999989</v>
      </c>
      <c r="M121" s="194">
        <f t="shared" si="2"/>
        <v>65.741038079999996</v>
      </c>
      <c r="N121" s="194">
        <f t="shared" si="2"/>
        <v>8.0676000000000005</v>
      </c>
      <c r="O121" s="194">
        <f t="shared" si="2"/>
        <v>6.6486000000000001</v>
      </c>
      <c r="P121" s="194">
        <f t="shared" si="2"/>
        <v>6.9329999999999998</v>
      </c>
      <c r="Q121" s="194">
        <f t="shared" si="2"/>
        <v>5.5709999999999997</v>
      </c>
      <c r="R121" s="194">
        <f t="shared" si="2"/>
        <v>92.978977546666641</v>
      </c>
    </row>
  </sheetData>
  <autoFilter ref="A2:IT120"/>
  <sortState ref="A3:T83">
    <sortCondition ref="B3:B83"/>
  </sortState>
  <conditionalFormatting sqref="D21:E21">
    <cfRule type="duplicateValues" dxfId="61" priority="20"/>
  </conditionalFormatting>
  <conditionalFormatting sqref="M21">
    <cfRule type="duplicateValues" dxfId="60" priority="21"/>
  </conditionalFormatting>
  <conditionalFormatting sqref="D110:E110 D60:E91 D93:E107">
    <cfRule type="duplicateValues" dxfId="59" priority="11"/>
  </conditionalFormatting>
  <conditionalFormatting sqref="D42:E57">
    <cfRule type="duplicateValues" dxfId="58" priority="377"/>
  </conditionalFormatting>
  <conditionalFormatting sqref="M22:M30 M3:M20 L18">
    <cfRule type="duplicateValues" dxfId="57" priority="385"/>
  </conditionalFormatting>
  <conditionalFormatting sqref="D22:E30 D3:E20">
    <cfRule type="duplicateValues" dxfId="56" priority="388"/>
  </conditionalFormatting>
  <conditionalFormatting sqref="M93:M107 M61:M91">
    <cfRule type="duplicateValues" dxfId="55" priority="404"/>
  </conditionalFormatting>
  <conditionalFormatting sqref="M31:M41">
    <cfRule type="duplicateValues" dxfId="54" priority="407"/>
  </conditionalFormatting>
  <conditionalFormatting sqref="D31:E41">
    <cfRule type="duplicateValues" dxfId="53" priority="408"/>
  </conditionalFormatting>
  <conditionalFormatting sqref="D113">
    <cfRule type="duplicateValues" dxfId="52" priority="5"/>
  </conditionalFormatting>
  <conditionalFormatting sqref="D113">
    <cfRule type="duplicateValues" dxfId="51" priority="4"/>
  </conditionalFormatting>
  <conditionalFormatting sqref="D117">
    <cfRule type="duplicateValues" dxfId="50" priority="3"/>
  </conditionalFormatting>
  <conditionalFormatting sqref="D117">
    <cfRule type="duplicateValues" dxfId="49" priority="2"/>
  </conditionalFormatting>
  <conditionalFormatting sqref="D117">
    <cfRule type="duplicateValues" dxfId="48" priority="1"/>
  </conditionalFormatting>
  <pageMargins left="0.41" right="0.19" top="0.48" bottom="0.28999999999999998" header="0.3" footer="0.17"/>
  <pageSetup scale="8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T72"/>
  <sheetViews>
    <sheetView topLeftCell="A2" zoomScale="70" zoomScaleNormal="70" workbookViewId="0">
      <pane ySplit="1" topLeftCell="A3" activePane="bottomLeft" state="frozen"/>
      <selection activeCell="A2" sqref="A2"/>
      <selection pane="bottomLeft" activeCell="B6" sqref="B6"/>
    </sheetView>
  </sheetViews>
  <sheetFormatPr defaultRowHeight="15"/>
  <cols>
    <col min="1" max="1" width="27.42578125" style="577" customWidth="1"/>
    <col min="2" max="2" width="33.42578125" style="511" customWidth="1"/>
    <col min="3" max="3" width="13.5703125" style="510" customWidth="1"/>
    <col min="4" max="4" width="13.5703125" style="511" customWidth="1"/>
    <col min="5" max="5" width="13.5703125" style="573" customWidth="1"/>
    <col min="6" max="6" width="18" style="569" customWidth="1"/>
    <col min="7" max="7" width="10.7109375" style="574" customWidth="1"/>
    <col min="8" max="8" width="9.5703125" style="574" customWidth="1"/>
    <col min="9" max="9" width="10.5703125" style="511" customWidth="1"/>
    <col min="10" max="10" width="15.85546875" style="569" customWidth="1"/>
    <col min="11" max="11" width="13" style="578" customWidth="1"/>
    <col min="12" max="12" width="10.7109375" style="579" customWidth="1"/>
    <col min="13" max="13" width="16.7109375" style="580" customWidth="1"/>
    <col min="14" max="14" width="14.140625" style="536" customWidth="1"/>
    <col min="15" max="15" width="8.5703125" style="574" customWidth="1"/>
    <col min="16" max="16" width="7.42578125" style="581" customWidth="1"/>
    <col min="17" max="17" width="13.7109375" style="578" customWidth="1"/>
    <col min="18" max="18" width="9.140625" style="510"/>
    <col min="19" max="19" width="14.85546875" style="511" bestFit="1" customWidth="1"/>
    <col min="20" max="20" width="9.140625" style="511"/>
    <col min="21" max="21" width="22" style="511" customWidth="1"/>
    <col min="22" max="83" width="9.140625" style="511"/>
    <col min="84" max="16384" width="9.140625" style="510"/>
  </cols>
  <sheetData>
    <row r="1" spans="1:83" ht="53.25" customHeight="1">
      <c r="A1" s="606" t="s">
        <v>1204</v>
      </c>
      <c r="B1" s="607"/>
      <c r="C1" s="607"/>
      <c r="D1" s="607"/>
      <c r="E1" s="607"/>
      <c r="F1" s="607"/>
      <c r="G1" s="607"/>
      <c r="H1" s="607"/>
      <c r="I1" s="607"/>
      <c r="J1" s="607"/>
      <c r="K1" s="607"/>
      <c r="L1" s="607"/>
      <c r="M1" s="607"/>
      <c r="N1" s="607"/>
      <c r="O1" s="607"/>
      <c r="P1" s="607"/>
      <c r="Q1" s="607"/>
    </row>
    <row r="2" spans="1:83" s="522" customFormat="1" ht="70.5" customHeight="1">
      <c r="A2" s="512" t="s">
        <v>1205</v>
      </c>
      <c r="B2" s="512" t="s">
        <v>0</v>
      </c>
      <c r="C2" s="513" t="s">
        <v>1636</v>
      </c>
      <c r="D2" s="512" t="s">
        <v>1096</v>
      </c>
      <c r="E2" s="514" t="s">
        <v>3754</v>
      </c>
      <c r="F2" s="515" t="s">
        <v>619</v>
      </c>
      <c r="G2" s="516" t="s">
        <v>2111</v>
      </c>
      <c r="H2" s="516" t="s">
        <v>3538</v>
      </c>
      <c r="I2" s="516" t="s">
        <v>3700</v>
      </c>
      <c r="J2" s="517" t="s">
        <v>1206</v>
      </c>
      <c r="K2" s="512" t="s">
        <v>3755</v>
      </c>
      <c r="L2" s="518" t="s">
        <v>4031</v>
      </c>
      <c r="M2" s="519" t="s">
        <v>3918</v>
      </c>
      <c r="N2" s="519" t="s">
        <v>3794</v>
      </c>
      <c r="O2" s="520" t="s">
        <v>547</v>
      </c>
      <c r="P2" s="516" t="s">
        <v>662</v>
      </c>
      <c r="Q2" s="521" t="s">
        <v>1207</v>
      </c>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row>
    <row r="3" spans="1:83" s="536" customFormat="1" ht="27" customHeight="1">
      <c r="A3" s="523"/>
      <c r="B3" s="524" t="s">
        <v>3970</v>
      </c>
      <c r="C3" s="523"/>
      <c r="D3" s="525"/>
      <c r="E3" s="526" t="s">
        <v>3975</v>
      </c>
      <c r="F3" s="527">
        <v>42411</v>
      </c>
      <c r="G3" s="528"/>
      <c r="H3" s="528"/>
      <c r="I3" s="528"/>
      <c r="J3" s="528"/>
      <c r="K3" s="529" t="s">
        <v>1089</v>
      </c>
      <c r="L3" s="530">
        <v>0.5</v>
      </c>
      <c r="M3" s="531">
        <f>L3*0.2*8.76</f>
        <v>0.876</v>
      </c>
      <c r="N3" s="532">
        <f>(13-MONTH(F3))/12*M3</f>
        <v>0.80299999999999994</v>
      </c>
      <c r="O3" s="533" t="s">
        <v>3972</v>
      </c>
      <c r="P3" s="534"/>
      <c r="Q3" s="535"/>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row>
    <row r="4" spans="1:83" s="536" customFormat="1" ht="27" customHeight="1">
      <c r="A4" s="523" t="s">
        <v>3883</v>
      </c>
      <c r="B4" s="583" t="s">
        <v>3883</v>
      </c>
      <c r="C4" s="529" t="s">
        <v>3878</v>
      </c>
      <c r="D4" s="529"/>
      <c r="E4" s="526" t="s">
        <v>4692</v>
      </c>
      <c r="F4" s="527">
        <v>42705</v>
      </c>
      <c r="G4" s="529" t="s">
        <v>4973</v>
      </c>
      <c r="H4" s="529">
        <v>60242</v>
      </c>
      <c r="I4" s="529"/>
      <c r="J4" s="525" t="s">
        <v>1576</v>
      </c>
      <c r="K4" s="529" t="s">
        <v>1089</v>
      </c>
      <c r="L4" s="530">
        <v>10</v>
      </c>
      <c r="M4" s="531">
        <v>25.97</v>
      </c>
      <c r="N4" s="532">
        <f>(13-MONTH(F4))/12*M4</f>
        <v>2.1641666666666666</v>
      </c>
      <c r="O4" s="529" t="s">
        <v>1702</v>
      </c>
      <c r="P4" s="528" t="s">
        <v>475</v>
      </c>
      <c r="Q4" s="535">
        <v>20</v>
      </c>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row>
    <row r="5" spans="1:83" ht="27" customHeight="1">
      <c r="A5" s="523"/>
      <c r="B5" s="583" t="s">
        <v>3900</v>
      </c>
      <c r="C5" s="523"/>
      <c r="D5" s="525"/>
      <c r="E5" s="526" t="s">
        <v>3938</v>
      </c>
      <c r="F5" s="527">
        <v>42601</v>
      </c>
      <c r="G5" s="534" t="s">
        <v>3896</v>
      </c>
      <c r="H5" s="528"/>
      <c r="I5" s="528"/>
      <c r="J5" s="528" t="s">
        <v>4767</v>
      </c>
      <c r="K5" s="529" t="s">
        <v>1089</v>
      </c>
      <c r="L5" s="530">
        <v>20</v>
      </c>
      <c r="M5" s="531">
        <f>L5*0.2*8.76</f>
        <v>35.04</v>
      </c>
      <c r="N5" s="532">
        <f>(13-MONTH(F5))/12*M5</f>
        <v>14.6</v>
      </c>
      <c r="O5" s="537" t="s">
        <v>1583</v>
      </c>
      <c r="P5" s="534" t="s">
        <v>3896</v>
      </c>
      <c r="Q5" s="535">
        <v>25</v>
      </c>
    </row>
    <row r="6" spans="1:83" s="511" customFormat="1" ht="27" customHeight="1">
      <c r="A6" s="523" t="s">
        <v>4734</v>
      </c>
      <c r="B6" s="583" t="s">
        <v>3902</v>
      </c>
      <c r="C6" s="523"/>
      <c r="D6" s="525"/>
      <c r="E6" s="526" t="s">
        <v>3990</v>
      </c>
      <c r="F6" s="527">
        <v>42673</v>
      </c>
      <c r="G6" s="534" t="s">
        <v>3896</v>
      </c>
      <c r="H6" s="528">
        <v>60187</v>
      </c>
      <c r="I6" s="528"/>
      <c r="J6" s="538" t="s">
        <v>4769</v>
      </c>
      <c r="K6" s="529" t="s">
        <v>1089</v>
      </c>
      <c r="L6" s="530">
        <v>5</v>
      </c>
      <c r="M6" s="531">
        <f>L6*0.2*8.76</f>
        <v>8.76</v>
      </c>
      <c r="N6" s="532">
        <f>(13-MONTH(F6))/12*M6</f>
        <v>2.19</v>
      </c>
      <c r="O6" s="537" t="s">
        <v>1583</v>
      </c>
      <c r="P6" s="534" t="s">
        <v>3896</v>
      </c>
      <c r="Q6" s="535">
        <v>20</v>
      </c>
    </row>
    <row r="7" spans="1:83" s="511" customFormat="1" ht="27" customHeight="1">
      <c r="A7" s="534" t="s">
        <v>3899</v>
      </c>
      <c r="B7" s="585" t="s">
        <v>3891</v>
      </c>
      <c r="C7" s="523"/>
      <c r="D7" s="523"/>
      <c r="E7" s="539" t="s">
        <v>4005</v>
      </c>
      <c r="F7" s="540">
        <v>42713</v>
      </c>
      <c r="G7" s="534" t="s">
        <v>480</v>
      </c>
      <c r="H7" s="534">
        <v>59317</v>
      </c>
      <c r="I7" s="534"/>
      <c r="J7" s="541"/>
      <c r="K7" s="529" t="s">
        <v>1089</v>
      </c>
      <c r="L7" s="547">
        <v>50</v>
      </c>
      <c r="M7" s="557"/>
      <c r="N7" s="557"/>
      <c r="O7" s="537" t="s">
        <v>1702</v>
      </c>
      <c r="P7" s="534" t="s">
        <v>480</v>
      </c>
      <c r="Q7" s="543">
        <v>25</v>
      </c>
    </row>
    <row r="8" spans="1:83" s="511" customFormat="1" ht="27" customHeight="1">
      <c r="A8" s="523"/>
      <c r="B8" s="583" t="s">
        <v>3940</v>
      </c>
      <c r="C8" s="523"/>
      <c r="D8" s="525"/>
      <c r="E8" s="526" t="s">
        <v>3941</v>
      </c>
      <c r="F8" s="527">
        <v>42671</v>
      </c>
      <c r="G8" s="528" t="s">
        <v>4978</v>
      </c>
      <c r="H8" s="528">
        <v>60092</v>
      </c>
      <c r="I8" s="528"/>
      <c r="J8" s="528" t="s">
        <v>4979</v>
      </c>
      <c r="K8" s="529" t="s">
        <v>1089</v>
      </c>
      <c r="L8" s="530">
        <v>64</v>
      </c>
      <c r="M8" s="531">
        <f>L8*0.2*8.76</f>
        <v>112.128</v>
      </c>
      <c r="N8" s="532">
        <f>(13-MONTH(F8))/12*M8</f>
        <v>28.032</v>
      </c>
      <c r="O8" s="537" t="s">
        <v>1942</v>
      </c>
      <c r="P8" s="528" t="s">
        <v>475</v>
      </c>
      <c r="Q8" s="535"/>
    </row>
    <row r="9" spans="1:83" s="511" customFormat="1" ht="27" customHeight="1">
      <c r="A9" s="544"/>
      <c r="B9" s="586" t="s">
        <v>3873</v>
      </c>
      <c r="C9" s="523" t="s">
        <v>3875</v>
      </c>
      <c r="D9" s="529"/>
      <c r="E9" s="545" t="s">
        <v>3942</v>
      </c>
      <c r="F9" s="546">
        <v>42472</v>
      </c>
      <c r="G9" s="528"/>
      <c r="H9" s="528"/>
      <c r="I9" s="528"/>
      <c r="J9" s="528"/>
      <c r="K9" s="529" t="s">
        <v>3874</v>
      </c>
      <c r="L9" s="547">
        <v>20</v>
      </c>
      <c r="M9" s="531">
        <f>L9*0.65*8.76</f>
        <v>113.88</v>
      </c>
      <c r="N9" s="532">
        <f>(13-MONTH(F9))/12*M9</f>
        <v>85.41</v>
      </c>
      <c r="O9" s="548"/>
      <c r="P9" s="528" t="s">
        <v>475</v>
      </c>
      <c r="Q9" s="549"/>
    </row>
    <row r="10" spans="1:83" s="511" customFormat="1" ht="27" customHeight="1">
      <c r="A10" s="523" t="s">
        <v>3974</v>
      </c>
      <c r="B10" s="583" t="s">
        <v>3944</v>
      </c>
      <c r="C10" s="523" t="s">
        <v>3856</v>
      </c>
      <c r="D10" s="525" t="s">
        <v>3904</v>
      </c>
      <c r="E10" s="526" t="s">
        <v>3945</v>
      </c>
      <c r="F10" s="527">
        <v>42412</v>
      </c>
      <c r="G10" s="528" t="s">
        <v>5124</v>
      </c>
      <c r="H10" s="528"/>
      <c r="I10" s="528"/>
      <c r="J10" s="523"/>
      <c r="K10" s="523" t="s">
        <v>1089</v>
      </c>
      <c r="L10" s="530">
        <v>20</v>
      </c>
      <c r="M10" s="531">
        <v>48</v>
      </c>
      <c r="N10" s="532">
        <f>(13-MONTH(F10))/12*M10</f>
        <v>44</v>
      </c>
      <c r="O10" s="533" t="s">
        <v>2904</v>
      </c>
      <c r="P10" s="528" t="s">
        <v>477</v>
      </c>
      <c r="Q10" s="535">
        <v>20</v>
      </c>
    </row>
    <row r="11" spans="1:83" s="511" customFormat="1" ht="27" customHeight="1">
      <c r="A11" s="523" t="s">
        <v>1211</v>
      </c>
      <c r="B11" s="583" t="s">
        <v>1925</v>
      </c>
      <c r="C11" s="550"/>
      <c r="D11" s="525"/>
      <c r="E11" s="526" t="s">
        <v>3943</v>
      </c>
      <c r="F11" s="527">
        <v>42461</v>
      </c>
      <c r="G11" s="528" t="s">
        <v>2628</v>
      </c>
      <c r="H11" s="528"/>
      <c r="I11" s="528"/>
      <c r="J11" s="550"/>
      <c r="K11" s="529" t="s">
        <v>1089</v>
      </c>
      <c r="L11" s="530">
        <v>1.5</v>
      </c>
      <c r="M11" s="531">
        <f>L11*0.2*8.76</f>
        <v>2.6280000000000001</v>
      </c>
      <c r="N11" s="532">
        <f>(13-MONTH(F11))/12*M11</f>
        <v>1.9710000000000001</v>
      </c>
      <c r="O11" s="551" t="s">
        <v>1702</v>
      </c>
      <c r="P11" s="528" t="s">
        <v>474</v>
      </c>
      <c r="Q11" s="535">
        <v>20</v>
      </c>
    </row>
    <row r="12" spans="1:83" s="511" customFormat="1" ht="27" customHeight="1">
      <c r="A12" s="544" t="s">
        <v>3846</v>
      </c>
      <c r="B12" s="587" t="s">
        <v>3847</v>
      </c>
      <c r="C12" s="550" t="s">
        <v>3860</v>
      </c>
      <c r="D12" s="534"/>
      <c r="E12" s="545" t="s">
        <v>2920</v>
      </c>
      <c r="F12" s="546">
        <v>42583</v>
      </c>
      <c r="G12" s="528" t="s">
        <v>2606</v>
      </c>
      <c r="H12" s="528">
        <v>59524</v>
      </c>
      <c r="I12" s="528"/>
      <c r="J12" s="550"/>
      <c r="K12" s="529" t="s">
        <v>1089</v>
      </c>
      <c r="L12" s="552">
        <v>20</v>
      </c>
      <c r="M12" s="531">
        <v>48.16</v>
      </c>
      <c r="N12" s="532">
        <f>(13-MONTH(F12))/12*M12</f>
        <v>20.066666666666666</v>
      </c>
      <c r="O12" s="551" t="s">
        <v>1702</v>
      </c>
      <c r="P12" s="528" t="s">
        <v>474</v>
      </c>
      <c r="Q12" s="549">
        <v>20</v>
      </c>
    </row>
    <row r="13" spans="1:83" s="511" customFormat="1" ht="27" customHeight="1">
      <c r="A13" s="523"/>
      <c r="B13" s="583" t="s">
        <v>3946</v>
      </c>
      <c r="C13" s="523"/>
      <c r="D13" s="525"/>
      <c r="E13" s="526" t="s">
        <v>3947</v>
      </c>
      <c r="F13" s="527">
        <v>42493</v>
      </c>
      <c r="G13" s="528" t="s">
        <v>5114</v>
      </c>
      <c r="H13" s="528"/>
      <c r="I13" s="528"/>
      <c r="J13" s="528" t="s">
        <v>3960</v>
      </c>
      <c r="K13" s="529" t="s">
        <v>1089</v>
      </c>
      <c r="L13" s="530">
        <v>20</v>
      </c>
      <c r="M13" s="531">
        <v>41</v>
      </c>
      <c r="N13" s="553">
        <v>29</v>
      </c>
      <c r="O13" s="533" t="s">
        <v>1914</v>
      </c>
      <c r="P13" s="534"/>
      <c r="Q13" s="535"/>
    </row>
    <row r="14" spans="1:83" s="511" customFormat="1" ht="27" customHeight="1">
      <c r="A14" s="523" t="s">
        <v>3950</v>
      </c>
      <c r="B14" s="583" t="s">
        <v>3906</v>
      </c>
      <c r="C14" s="550"/>
      <c r="D14" s="525" t="s">
        <v>3907</v>
      </c>
      <c r="E14" s="526" t="s">
        <v>3949</v>
      </c>
      <c r="F14" s="527">
        <v>42411</v>
      </c>
      <c r="G14" s="528" t="s">
        <v>4948</v>
      </c>
      <c r="H14" s="528"/>
      <c r="I14" s="528"/>
      <c r="J14" s="550"/>
      <c r="K14" s="529" t="s">
        <v>1089</v>
      </c>
      <c r="L14" s="530">
        <v>20</v>
      </c>
      <c r="M14" s="531">
        <f>L14*0.2*8.76</f>
        <v>35.04</v>
      </c>
      <c r="N14" s="532">
        <f>(13-MONTH(F14))/12*M14</f>
        <v>32.119999999999997</v>
      </c>
      <c r="O14" s="533" t="s">
        <v>1770</v>
      </c>
      <c r="P14" s="528"/>
      <c r="Q14" s="535"/>
    </row>
    <row r="15" spans="1:83" s="511" customFormat="1" ht="27" customHeight="1">
      <c r="A15" s="544"/>
      <c r="B15" s="587" t="s">
        <v>3910</v>
      </c>
      <c r="C15" s="550"/>
      <c r="D15" s="539" t="s">
        <v>3911</v>
      </c>
      <c r="E15" s="545" t="s">
        <v>4680</v>
      </c>
      <c r="F15" s="546">
        <v>42506</v>
      </c>
      <c r="G15" s="528" t="s">
        <v>4681</v>
      </c>
      <c r="H15" s="528"/>
      <c r="I15" s="528"/>
      <c r="J15" s="554"/>
      <c r="K15" s="529" t="s">
        <v>1089</v>
      </c>
      <c r="L15" s="547">
        <v>1</v>
      </c>
      <c r="M15" s="531">
        <f>L15*0.2*8.76</f>
        <v>1.752</v>
      </c>
      <c r="N15" s="532">
        <f>(13-MONTH(F15))/12*M15</f>
        <v>1.1679999999999999</v>
      </c>
      <c r="O15" s="551" t="s">
        <v>3912</v>
      </c>
      <c r="P15" s="534"/>
      <c r="Q15" s="549"/>
    </row>
    <row r="16" spans="1:83" s="511" customFormat="1" ht="27" customHeight="1">
      <c r="A16" s="523"/>
      <c r="B16" s="583" t="s">
        <v>3793</v>
      </c>
      <c r="C16" s="523"/>
      <c r="D16" s="525" t="s">
        <v>3792</v>
      </c>
      <c r="E16" s="526" t="s">
        <v>4682</v>
      </c>
      <c r="F16" s="527">
        <v>42705</v>
      </c>
      <c r="G16" s="523"/>
      <c r="H16" s="523"/>
      <c r="I16" s="523"/>
      <c r="J16" s="555" t="s">
        <v>4020</v>
      </c>
      <c r="K16" s="529" t="s">
        <v>1089</v>
      </c>
      <c r="L16" s="530">
        <f>300-186</f>
        <v>114</v>
      </c>
      <c r="M16" s="531">
        <f>114/300*673</f>
        <v>255.74</v>
      </c>
      <c r="N16" s="532">
        <f>(13-MONTH(F16))/12*M16</f>
        <v>21.311666666666667</v>
      </c>
      <c r="O16" s="533"/>
      <c r="P16" s="533" t="s">
        <v>475</v>
      </c>
      <c r="Q16" s="556"/>
    </row>
    <row r="17" spans="1:17" s="511" customFormat="1" ht="27" customHeight="1">
      <c r="A17" s="534" t="s">
        <v>4702</v>
      </c>
      <c r="B17" s="585" t="s">
        <v>4704</v>
      </c>
      <c r="C17" s="523"/>
      <c r="D17" s="523"/>
      <c r="E17" s="539" t="s">
        <v>4705</v>
      </c>
      <c r="F17" s="540">
        <v>42373</v>
      </c>
      <c r="G17" s="534"/>
      <c r="H17" s="534"/>
      <c r="I17" s="534"/>
      <c r="J17" s="541"/>
      <c r="K17" s="529" t="s">
        <v>1089</v>
      </c>
      <c r="L17" s="542">
        <v>0.93</v>
      </c>
      <c r="M17" s="531">
        <f>L17*0.2*8.76</f>
        <v>1.6293600000000001</v>
      </c>
      <c r="N17" s="532">
        <f>(13-MONTH(F17))/12*M17</f>
        <v>1.6293600000000001</v>
      </c>
      <c r="O17" s="537" t="s">
        <v>1914</v>
      </c>
      <c r="P17" s="523"/>
      <c r="Q17" s="543"/>
    </row>
    <row r="18" spans="1:17" s="511" customFormat="1" ht="27" customHeight="1">
      <c r="A18" s="534" t="s">
        <v>3903</v>
      </c>
      <c r="B18" s="585" t="s">
        <v>3858</v>
      </c>
      <c r="C18" s="523" t="s">
        <v>3859</v>
      </c>
      <c r="D18" s="539" t="s">
        <v>3913</v>
      </c>
      <c r="E18" s="540" t="s">
        <v>3939</v>
      </c>
      <c r="F18" s="540">
        <v>42447</v>
      </c>
      <c r="G18" s="534"/>
      <c r="H18" s="534">
        <v>60093</v>
      </c>
      <c r="I18" s="534"/>
      <c r="J18" s="541"/>
      <c r="K18" s="529" t="s">
        <v>1089</v>
      </c>
      <c r="L18" s="542">
        <v>110</v>
      </c>
      <c r="M18" s="531">
        <f>L18*0.2*8.76</f>
        <v>192.72</v>
      </c>
      <c r="N18" s="532">
        <f>(13-MONTH(F18))/12*M18</f>
        <v>160.6</v>
      </c>
      <c r="O18" s="533" t="s">
        <v>1942</v>
      </c>
      <c r="P18" s="534" t="s">
        <v>475</v>
      </c>
      <c r="Q18" s="543"/>
    </row>
    <row r="19" spans="1:17" s="511" customFormat="1" ht="27" customHeight="1">
      <c r="A19" s="534" t="s">
        <v>4750</v>
      </c>
      <c r="B19" s="585" t="s">
        <v>4751</v>
      </c>
      <c r="C19" s="523"/>
      <c r="D19" s="539"/>
      <c r="E19" s="540" t="s">
        <v>4752</v>
      </c>
      <c r="F19" s="540">
        <v>42614</v>
      </c>
      <c r="G19" s="534" t="s">
        <v>5090</v>
      </c>
      <c r="H19" s="534">
        <v>60182</v>
      </c>
      <c r="I19" s="534"/>
      <c r="J19" s="541"/>
      <c r="K19" s="529" t="s">
        <v>1089</v>
      </c>
      <c r="L19" s="542">
        <v>2</v>
      </c>
      <c r="M19" s="557">
        <v>3.8</v>
      </c>
      <c r="N19" s="557">
        <v>0.6</v>
      </c>
      <c r="O19" s="533"/>
      <c r="P19" s="534"/>
      <c r="Q19" s="543"/>
    </row>
    <row r="20" spans="1:17" s="511" customFormat="1" ht="27" customHeight="1">
      <c r="A20" s="523" t="s">
        <v>3832</v>
      </c>
      <c r="B20" s="524" t="s">
        <v>3832</v>
      </c>
      <c r="C20" s="523"/>
      <c r="D20" s="525"/>
      <c r="E20" s="526" t="s">
        <v>3976</v>
      </c>
      <c r="F20" s="527">
        <v>42389</v>
      </c>
      <c r="G20" s="528"/>
      <c r="H20" s="528"/>
      <c r="I20" s="528"/>
      <c r="J20" s="528" t="s">
        <v>3962</v>
      </c>
      <c r="K20" s="529" t="s">
        <v>1089</v>
      </c>
      <c r="L20" s="530">
        <v>1.5</v>
      </c>
      <c r="M20" s="531">
        <f>L20*0.2*8.76</f>
        <v>2.6280000000000001</v>
      </c>
      <c r="N20" s="532">
        <f>(13-MONTH(F20))/12*M20</f>
        <v>2.6280000000000001</v>
      </c>
      <c r="O20" s="533" t="s">
        <v>3833</v>
      </c>
      <c r="P20" s="534"/>
      <c r="Q20" s="535"/>
    </row>
    <row r="21" spans="1:17" s="511" customFormat="1" ht="27" customHeight="1">
      <c r="A21" s="534" t="s">
        <v>4734</v>
      </c>
      <c r="B21" s="587" t="s">
        <v>3914</v>
      </c>
      <c r="C21" s="523"/>
      <c r="D21" s="523"/>
      <c r="E21" s="539" t="s">
        <v>4008</v>
      </c>
      <c r="F21" s="540">
        <v>42725</v>
      </c>
      <c r="G21" s="534" t="s">
        <v>3893</v>
      </c>
      <c r="H21" s="534">
        <v>59964</v>
      </c>
      <c r="I21" s="534"/>
      <c r="J21" s="528" t="s">
        <v>3960</v>
      </c>
      <c r="K21" s="529" t="s">
        <v>1089</v>
      </c>
      <c r="L21" s="547">
        <v>40</v>
      </c>
      <c r="M21" s="531">
        <f>L21*0.2*8.76</f>
        <v>70.08</v>
      </c>
      <c r="N21" s="532">
        <f>(13-MONTH(F21))/12*M21</f>
        <v>5.84</v>
      </c>
      <c r="O21" s="551" t="s">
        <v>1914</v>
      </c>
      <c r="P21" s="534" t="s">
        <v>3893</v>
      </c>
      <c r="Q21" s="543">
        <v>25</v>
      </c>
    </row>
    <row r="22" spans="1:17" s="511" customFormat="1" ht="27" customHeight="1">
      <c r="A22" s="534"/>
      <c r="B22" s="585" t="s">
        <v>3952</v>
      </c>
      <c r="C22" s="523"/>
      <c r="D22" s="523" t="s">
        <v>4016</v>
      </c>
      <c r="E22" s="539" t="s">
        <v>3953</v>
      </c>
      <c r="F22" s="540">
        <v>42552</v>
      </c>
      <c r="G22" s="534"/>
      <c r="H22" s="558">
        <v>59523</v>
      </c>
      <c r="I22" s="523"/>
      <c r="J22" s="528" t="s">
        <v>3960</v>
      </c>
      <c r="K22" s="529" t="s">
        <v>1089</v>
      </c>
      <c r="L22" s="559">
        <v>60</v>
      </c>
      <c r="M22" s="531">
        <f>L22*0.2*8.76</f>
        <v>105.12</v>
      </c>
      <c r="N22" s="532">
        <f>(13-MONTH(F22))/12*M22</f>
        <v>52.56</v>
      </c>
      <c r="O22" s="534" t="s">
        <v>3954</v>
      </c>
      <c r="P22" s="543"/>
      <c r="Q22" s="541"/>
    </row>
    <row r="23" spans="1:17" s="511" customFormat="1" ht="27" customHeight="1">
      <c r="A23" s="534"/>
      <c r="B23" s="587" t="s">
        <v>3933</v>
      </c>
      <c r="C23" s="523"/>
      <c r="D23" s="539" t="s">
        <v>3934</v>
      </c>
      <c r="E23" s="539" t="s">
        <v>3951</v>
      </c>
      <c r="F23" s="540">
        <v>42522</v>
      </c>
      <c r="G23" s="534"/>
      <c r="H23" s="534"/>
      <c r="I23" s="534"/>
      <c r="J23" s="541"/>
      <c r="K23" s="529" t="s">
        <v>1089</v>
      </c>
      <c r="L23" s="542">
        <v>20</v>
      </c>
      <c r="M23" s="531">
        <f>L23*0.2*8.76</f>
        <v>35.04</v>
      </c>
      <c r="N23" s="532">
        <f>(13-MONTH(F23))/12*M23</f>
        <v>20.440000000000001</v>
      </c>
      <c r="O23" s="551" t="s">
        <v>3935</v>
      </c>
      <c r="P23" s="534"/>
      <c r="Q23" s="543"/>
    </row>
    <row r="24" spans="1:17" ht="27" customHeight="1">
      <c r="A24" s="544" t="s">
        <v>4015</v>
      </c>
      <c r="B24" s="587" t="s">
        <v>4778</v>
      </c>
      <c r="C24" s="523"/>
      <c r="D24" s="539" t="s">
        <v>4021</v>
      </c>
      <c r="E24" s="539" t="s">
        <v>4687</v>
      </c>
      <c r="F24" s="540">
        <v>42689</v>
      </c>
      <c r="G24" s="534" t="s">
        <v>5082</v>
      </c>
      <c r="H24" s="534">
        <v>60233</v>
      </c>
      <c r="I24" s="534"/>
      <c r="J24" s="541"/>
      <c r="K24" s="529" t="s">
        <v>1089</v>
      </c>
      <c r="L24" s="542">
        <v>180</v>
      </c>
      <c r="M24" s="531">
        <f>L24*0.2*8.76</f>
        <v>315.36</v>
      </c>
      <c r="N24" s="532">
        <f>(13-MONTH(F24))/12*M24</f>
        <v>52.56</v>
      </c>
      <c r="O24" s="551" t="s">
        <v>1702</v>
      </c>
      <c r="P24" s="534" t="s">
        <v>475</v>
      </c>
      <c r="Q24" s="543"/>
    </row>
    <row r="25" spans="1:17" ht="27" customHeight="1">
      <c r="A25" s="544" t="s">
        <v>4015</v>
      </c>
      <c r="B25" s="587" t="s">
        <v>4014</v>
      </c>
      <c r="C25" s="523"/>
      <c r="D25" s="539" t="s">
        <v>4021</v>
      </c>
      <c r="E25" s="539" t="s">
        <v>4686</v>
      </c>
      <c r="F25" s="540">
        <v>42636</v>
      </c>
      <c r="G25" s="534" t="s">
        <v>5093</v>
      </c>
      <c r="H25" s="534">
        <v>60386</v>
      </c>
      <c r="I25" s="534"/>
      <c r="J25" s="541" t="s">
        <v>475</v>
      </c>
      <c r="K25" s="529" t="s">
        <v>1089</v>
      </c>
      <c r="L25" s="542">
        <v>20</v>
      </c>
      <c r="M25" s="557">
        <v>61.71</v>
      </c>
      <c r="N25" s="557">
        <v>3</v>
      </c>
      <c r="O25" s="551" t="s">
        <v>1702</v>
      </c>
      <c r="P25" s="534" t="s">
        <v>475</v>
      </c>
      <c r="Q25" s="543"/>
    </row>
    <row r="26" spans="1:17" ht="27" customHeight="1">
      <c r="A26" s="544"/>
      <c r="B26" s="544" t="s">
        <v>2384</v>
      </c>
      <c r="C26" s="550" t="s">
        <v>3857</v>
      </c>
      <c r="D26" s="529"/>
      <c r="E26" s="545" t="s">
        <v>2971</v>
      </c>
      <c r="F26" s="546">
        <v>42719</v>
      </c>
      <c r="G26" s="528" t="s">
        <v>5083</v>
      </c>
      <c r="H26" s="528">
        <v>60153</v>
      </c>
      <c r="I26" s="523"/>
      <c r="J26" s="528" t="s">
        <v>3960</v>
      </c>
      <c r="K26" s="529" t="s">
        <v>1089</v>
      </c>
      <c r="L26" s="547">
        <v>1.25</v>
      </c>
      <c r="M26" s="531">
        <v>2.6</v>
      </c>
      <c r="N26" s="553">
        <v>0.4</v>
      </c>
      <c r="O26" s="551" t="s">
        <v>1914</v>
      </c>
      <c r="P26" s="534" t="s">
        <v>475</v>
      </c>
      <c r="Q26" s="549"/>
    </row>
    <row r="27" spans="1:17" ht="27" customHeight="1">
      <c r="A27" s="544" t="s">
        <v>3979</v>
      </c>
      <c r="B27" s="587" t="s">
        <v>3848</v>
      </c>
      <c r="C27" s="523"/>
      <c r="D27" s="529" t="s">
        <v>4030</v>
      </c>
      <c r="E27" s="545" t="s">
        <v>3980</v>
      </c>
      <c r="F27" s="546">
        <v>42644</v>
      </c>
      <c r="G27" s="528" t="s">
        <v>4949</v>
      </c>
      <c r="H27" s="528"/>
      <c r="I27" s="528"/>
      <c r="J27" s="528" t="s">
        <v>3960</v>
      </c>
      <c r="K27" s="529" t="s">
        <v>1089</v>
      </c>
      <c r="L27" s="547">
        <v>100</v>
      </c>
      <c r="M27" s="531">
        <v>244</v>
      </c>
      <c r="N27" s="532">
        <f>(13-MONTH(F27))/12*M27</f>
        <v>61</v>
      </c>
      <c r="O27" s="551" t="s">
        <v>3837</v>
      </c>
      <c r="P27" s="528" t="s">
        <v>474</v>
      </c>
      <c r="Q27" s="549">
        <v>20</v>
      </c>
    </row>
    <row r="28" spans="1:17" ht="27" customHeight="1">
      <c r="A28" s="544" t="s">
        <v>1675</v>
      </c>
      <c r="B28" s="587" t="s">
        <v>3231</v>
      </c>
      <c r="C28" s="523" t="s">
        <v>1676</v>
      </c>
      <c r="D28" s="525" t="s">
        <v>3905</v>
      </c>
      <c r="E28" s="545" t="s">
        <v>3004</v>
      </c>
      <c r="F28" s="546">
        <v>42472</v>
      </c>
      <c r="G28" s="528" t="s">
        <v>5126</v>
      </c>
      <c r="H28" s="528"/>
      <c r="I28" s="528"/>
      <c r="J28" s="550"/>
      <c r="K28" s="529" t="s">
        <v>1089</v>
      </c>
      <c r="L28" s="547">
        <v>148.69999999999999</v>
      </c>
      <c r="M28" s="531">
        <v>390</v>
      </c>
      <c r="N28" s="553">
        <v>150</v>
      </c>
      <c r="O28" s="551" t="s">
        <v>2904</v>
      </c>
      <c r="P28" s="528" t="s">
        <v>477</v>
      </c>
      <c r="Q28" s="549">
        <v>25</v>
      </c>
    </row>
    <row r="29" spans="1:17" ht="27" customHeight="1">
      <c r="A29" s="534"/>
      <c r="B29" s="585" t="s">
        <v>3862</v>
      </c>
      <c r="C29" s="523" t="s">
        <v>3864</v>
      </c>
      <c r="D29" s="523"/>
      <c r="E29" s="540" t="s">
        <v>3955</v>
      </c>
      <c r="F29" s="540">
        <v>42489</v>
      </c>
      <c r="G29" s="534"/>
      <c r="H29" s="534"/>
      <c r="I29" s="534"/>
      <c r="J29" s="541"/>
      <c r="K29" s="529" t="s">
        <v>1089</v>
      </c>
      <c r="L29" s="542">
        <v>20</v>
      </c>
      <c r="M29" s="531">
        <f>L29*0.2*8.76</f>
        <v>35.04</v>
      </c>
      <c r="N29" s="532">
        <f>(13-MONTH(F29))/12*M29</f>
        <v>26.28</v>
      </c>
      <c r="O29" s="537"/>
      <c r="P29" s="534"/>
      <c r="Q29" s="543"/>
    </row>
    <row r="30" spans="1:17" s="511" customFormat="1" ht="27" customHeight="1">
      <c r="A30" s="523"/>
      <c r="B30" s="585" t="s">
        <v>3863</v>
      </c>
      <c r="C30" s="523" t="s">
        <v>3865</v>
      </c>
      <c r="D30" s="525"/>
      <c r="E30" s="527" t="s">
        <v>3956</v>
      </c>
      <c r="F30" s="527">
        <v>42489</v>
      </c>
      <c r="G30" s="528" t="s">
        <v>3896</v>
      </c>
      <c r="H30" s="528"/>
      <c r="I30" s="528"/>
      <c r="J30" s="528" t="s">
        <v>4765</v>
      </c>
      <c r="K30" s="529" t="s">
        <v>1089</v>
      </c>
      <c r="L30" s="530">
        <v>20</v>
      </c>
      <c r="M30" s="531">
        <f>L30*0.2*8.76</f>
        <v>35.04</v>
      </c>
      <c r="N30" s="532">
        <f>(13-MONTH(F30))/12*M30</f>
        <v>26.28</v>
      </c>
      <c r="O30" s="533"/>
      <c r="P30" s="534"/>
      <c r="Q30" s="535"/>
    </row>
    <row r="31" spans="1:17" s="511" customFormat="1" ht="27" customHeight="1">
      <c r="A31" s="544" t="s">
        <v>3958</v>
      </c>
      <c r="B31" s="544" t="s">
        <v>3968</v>
      </c>
      <c r="C31" s="523" t="s">
        <v>3861</v>
      </c>
      <c r="D31" s="534"/>
      <c r="E31" s="545" t="s">
        <v>3957</v>
      </c>
      <c r="F31" s="546">
        <v>42397</v>
      </c>
      <c r="G31" s="528" t="s">
        <v>2631</v>
      </c>
      <c r="H31" s="528"/>
      <c r="I31" s="528"/>
      <c r="J31" s="550"/>
      <c r="K31" s="529" t="s">
        <v>1089</v>
      </c>
      <c r="L31" s="547">
        <v>1.5</v>
      </c>
      <c r="M31" s="531">
        <f>L31*0.2*8.76</f>
        <v>2.6280000000000001</v>
      </c>
      <c r="N31" s="532">
        <f>(13-MONTH(F31))/12*M31</f>
        <v>2.6280000000000001</v>
      </c>
      <c r="O31" s="551" t="s">
        <v>1770</v>
      </c>
      <c r="P31" s="528" t="s">
        <v>474</v>
      </c>
      <c r="Q31" s="549"/>
    </row>
    <row r="32" spans="1:17" s="511" customFormat="1" ht="27" customHeight="1">
      <c r="A32" s="523" t="s">
        <v>3839</v>
      </c>
      <c r="B32" s="524" t="s">
        <v>3838</v>
      </c>
      <c r="C32" s="523" t="s">
        <v>3867</v>
      </c>
      <c r="D32" s="525"/>
      <c r="E32" s="526" t="s">
        <v>5355</v>
      </c>
      <c r="F32" s="527">
        <v>42370</v>
      </c>
      <c r="G32" s="528" t="s">
        <v>3590</v>
      </c>
      <c r="H32" s="528"/>
      <c r="I32" s="528"/>
      <c r="J32" s="523"/>
      <c r="K32" s="529" t="s">
        <v>1089</v>
      </c>
      <c r="L32" s="530">
        <v>3</v>
      </c>
      <c r="M32" s="531">
        <v>9.9</v>
      </c>
      <c r="N32" s="553">
        <v>9.4</v>
      </c>
      <c r="O32" s="533" t="s">
        <v>1914</v>
      </c>
      <c r="P32" s="534" t="s">
        <v>475</v>
      </c>
      <c r="Q32" s="535"/>
    </row>
    <row r="33" spans="1:17" s="511" customFormat="1" ht="27" customHeight="1">
      <c r="A33" s="544" t="s">
        <v>1586</v>
      </c>
      <c r="B33" s="587" t="s">
        <v>1748</v>
      </c>
      <c r="C33" s="523"/>
      <c r="D33" s="529"/>
      <c r="E33" s="545" t="s">
        <v>3985</v>
      </c>
      <c r="F33" s="546">
        <v>42548</v>
      </c>
      <c r="G33" s="528" t="s">
        <v>3674</v>
      </c>
      <c r="H33" s="528"/>
      <c r="I33" s="528"/>
      <c r="J33" s="528" t="s">
        <v>1576</v>
      </c>
      <c r="K33" s="529" t="s">
        <v>1089</v>
      </c>
      <c r="L33" s="547">
        <v>20</v>
      </c>
      <c r="M33" s="531">
        <v>59.25</v>
      </c>
      <c r="N33" s="553">
        <v>36.799999999999997</v>
      </c>
      <c r="O33" s="551" t="s">
        <v>1584</v>
      </c>
      <c r="P33" s="534" t="s">
        <v>475</v>
      </c>
      <c r="Q33" s="549"/>
    </row>
    <row r="34" spans="1:17" s="511" customFormat="1" ht="27" customHeight="1">
      <c r="A34" s="544" t="s">
        <v>4757</v>
      </c>
      <c r="B34" s="544" t="s">
        <v>4758</v>
      </c>
      <c r="C34" s="523"/>
      <c r="D34" s="529"/>
      <c r="E34" s="560" t="s">
        <v>4759</v>
      </c>
      <c r="F34" s="546">
        <v>42675</v>
      </c>
      <c r="G34" s="528"/>
      <c r="H34" s="528">
        <v>60412</v>
      </c>
      <c r="I34" s="528"/>
      <c r="J34" s="528" t="s">
        <v>4760</v>
      </c>
      <c r="K34" s="529" t="s">
        <v>1089</v>
      </c>
      <c r="L34" s="547">
        <v>4</v>
      </c>
      <c r="M34" s="531">
        <f>L34*0.2*8.76</f>
        <v>7.008</v>
      </c>
      <c r="N34" s="532">
        <f>(13-MONTH(F34))/12*M34</f>
        <v>1.1679999999999999</v>
      </c>
      <c r="O34" s="551" t="s">
        <v>4761</v>
      </c>
      <c r="P34" s="534"/>
      <c r="Q34" s="549"/>
    </row>
    <row r="35" spans="1:17" s="511" customFormat="1" ht="27" customHeight="1">
      <c r="A35" s="544"/>
      <c r="B35" s="544" t="s">
        <v>2602</v>
      </c>
      <c r="C35" s="523"/>
      <c r="D35" s="529"/>
      <c r="E35" s="545" t="s">
        <v>3977</v>
      </c>
      <c r="F35" s="546">
        <v>42630</v>
      </c>
      <c r="G35" s="528" t="s">
        <v>5116</v>
      </c>
      <c r="H35" s="528"/>
      <c r="I35" s="528"/>
      <c r="J35" s="528" t="s">
        <v>2352</v>
      </c>
      <c r="K35" s="529" t="s">
        <v>1089</v>
      </c>
      <c r="L35" s="547">
        <v>3</v>
      </c>
      <c r="M35" s="531">
        <v>7.6</v>
      </c>
      <c r="N35" s="553">
        <v>1.5</v>
      </c>
      <c r="O35" s="551" t="s">
        <v>4106</v>
      </c>
      <c r="P35" s="528" t="s">
        <v>477</v>
      </c>
      <c r="Q35" s="549">
        <v>20</v>
      </c>
    </row>
    <row r="36" spans="1:17" s="511" customFormat="1" ht="27" customHeight="1">
      <c r="A36" s="523" t="s">
        <v>1585</v>
      </c>
      <c r="B36" s="583" t="s">
        <v>1545</v>
      </c>
      <c r="C36" s="523" t="s">
        <v>3870</v>
      </c>
      <c r="D36" s="525" t="s">
        <v>1546</v>
      </c>
      <c r="E36" s="526" t="s">
        <v>5354</v>
      </c>
      <c r="F36" s="527">
        <v>42388</v>
      </c>
      <c r="G36" s="528" t="s">
        <v>3672</v>
      </c>
      <c r="H36" s="528"/>
      <c r="I36" s="528"/>
      <c r="J36" s="528" t="s">
        <v>1576</v>
      </c>
      <c r="K36" s="529" t="s">
        <v>1089</v>
      </c>
      <c r="L36" s="530">
        <v>20</v>
      </c>
      <c r="M36" s="531">
        <v>63.41</v>
      </c>
      <c r="N36" s="553">
        <v>61.9</v>
      </c>
      <c r="O36" s="533" t="s">
        <v>1583</v>
      </c>
      <c r="P36" s="534" t="s">
        <v>475</v>
      </c>
      <c r="Q36" s="535">
        <v>20</v>
      </c>
    </row>
    <row r="37" spans="1:17" s="511" customFormat="1" ht="27" customHeight="1">
      <c r="A37" s="523"/>
      <c r="B37" s="524" t="s">
        <v>3843</v>
      </c>
      <c r="C37" s="523" t="s">
        <v>3866</v>
      </c>
      <c r="D37" s="525"/>
      <c r="E37" s="526" t="s">
        <v>4690</v>
      </c>
      <c r="F37" s="527">
        <v>42719</v>
      </c>
      <c r="G37" s="528" t="s">
        <v>5058</v>
      </c>
      <c r="H37" s="528"/>
      <c r="I37" s="528"/>
      <c r="J37" s="528" t="s">
        <v>3831</v>
      </c>
      <c r="K37" s="529" t="s">
        <v>1089</v>
      </c>
      <c r="L37" s="530">
        <v>2</v>
      </c>
      <c r="M37" s="531">
        <v>6.5</v>
      </c>
      <c r="N37" s="553">
        <v>0.3</v>
      </c>
      <c r="O37" s="533" t="s">
        <v>3845</v>
      </c>
      <c r="P37" s="534" t="s">
        <v>475</v>
      </c>
      <c r="Q37" s="535">
        <v>20</v>
      </c>
    </row>
    <row r="38" spans="1:17" s="511" customFormat="1" ht="27" customHeight="1">
      <c r="A38" s="534" t="s">
        <v>3967</v>
      </c>
      <c r="B38" s="523" t="s">
        <v>3966</v>
      </c>
      <c r="C38" s="523"/>
      <c r="D38" s="523"/>
      <c r="E38" s="539" t="s">
        <v>3978</v>
      </c>
      <c r="F38" s="540">
        <v>42403</v>
      </c>
      <c r="G38" s="534" t="s">
        <v>474</v>
      </c>
      <c r="H38" s="534"/>
      <c r="I38" s="523"/>
      <c r="J38" s="540"/>
      <c r="K38" s="529" t="s">
        <v>1089</v>
      </c>
      <c r="L38" s="559">
        <v>0.1</v>
      </c>
      <c r="M38" s="531">
        <f>L38*0.2*8.76</f>
        <v>0.17520000000000002</v>
      </c>
      <c r="N38" s="532">
        <f>(13-MONTH(F38))/12*M38</f>
        <v>0.16060000000000002</v>
      </c>
      <c r="O38" s="534" t="s">
        <v>1776</v>
      </c>
      <c r="P38" s="528" t="s">
        <v>474</v>
      </c>
      <c r="Q38" s="541"/>
    </row>
    <row r="39" spans="1:17" s="511" customFormat="1" ht="27" customHeight="1">
      <c r="A39" s="534" t="s">
        <v>4702</v>
      </c>
      <c r="B39" s="523" t="s">
        <v>3888</v>
      </c>
      <c r="C39" s="523"/>
      <c r="D39" s="523"/>
      <c r="E39" s="539" t="s">
        <v>4703</v>
      </c>
      <c r="F39" s="540">
        <v>42401</v>
      </c>
      <c r="G39" s="534" t="s">
        <v>480</v>
      </c>
      <c r="H39" s="534"/>
      <c r="I39" s="534"/>
      <c r="J39" s="541"/>
      <c r="K39" s="529" t="s">
        <v>1089</v>
      </c>
      <c r="L39" s="542">
        <v>0.91400000000000003</v>
      </c>
      <c r="M39" s="531">
        <f>L39*0.2*8.76</f>
        <v>1.6013280000000001</v>
      </c>
      <c r="N39" s="532">
        <f>(13-MONTH(F39))/12*M39</f>
        <v>1.467884</v>
      </c>
      <c r="O39" s="537" t="s">
        <v>1583</v>
      </c>
      <c r="P39" s="523"/>
      <c r="Q39" s="543"/>
    </row>
    <row r="40" spans="1:17" s="511" customFormat="1" ht="27" customHeight="1">
      <c r="A40" s="544"/>
      <c r="B40" s="586" t="s">
        <v>3876</v>
      </c>
      <c r="C40" s="523" t="s">
        <v>3877</v>
      </c>
      <c r="D40" s="529"/>
      <c r="E40" s="545" t="s">
        <v>3981</v>
      </c>
      <c r="F40" s="546">
        <v>42467</v>
      </c>
      <c r="G40" s="528"/>
      <c r="H40" s="528"/>
      <c r="I40" s="528"/>
      <c r="J40" s="528"/>
      <c r="K40" s="529" t="s">
        <v>3874</v>
      </c>
      <c r="L40" s="547">
        <v>8</v>
      </c>
      <c r="M40" s="531">
        <f>L40*0.65*8.76</f>
        <v>45.552</v>
      </c>
      <c r="N40" s="532">
        <f>(13-MONTH(F40))/12*M40</f>
        <v>34.164000000000001</v>
      </c>
      <c r="O40" s="548"/>
      <c r="P40" s="528" t="s">
        <v>474</v>
      </c>
      <c r="Q40" s="549"/>
    </row>
    <row r="41" spans="1:17" ht="27" customHeight="1">
      <c r="A41" s="544"/>
      <c r="B41" s="586" t="s">
        <v>3982</v>
      </c>
      <c r="C41" s="523"/>
      <c r="D41" s="529"/>
      <c r="E41" s="545" t="s">
        <v>3983</v>
      </c>
      <c r="F41" s="546">
        <v>42593</v>
      </c>
      <c r="G41" s="528" t="s">
        <v>478</v>
      </c>
      <c r="H41" s="528"/>
      <c r="I41" s="528"/>
      <c r="J41" s="528"/>
      <c r="K41" s="529" t="s">
        <v>1089</v>
      </c>
      <c r="L41" s="547">
        <v>10.9</v>
      </c>
      <c r="M41" s="531">
        <f>L41*0.2*8.76</f>
        <v>19.096800000000002</v>
      </c>
      <c r="N41" s="532">
        <f>(13-MONTH(F41))/12*M41</f>
        <v>7.9570000000000007</v>
      </c>
      <c r="O41" s="548" t="s">
        <v>3984</v>
      </c>
      <c r="P41" s="528"/>
      <c r="Q41" s="549"/>
    </row>
    <row r="42" spans="1:17" ht="27" customHeight="1">
      <c r="A42" s="544"/>
      <c r="B42" s="587" t="s">
        <v>4026</v>
      </c>
      <c r="C42" s="523"/>
      <c r="D42" s="529" t="s">
        <v>4027</v>
      </c>
      <c r="E42" s="545" t="s">
        <v>4688</v>
      </c>
      <c r="F42" s="546">
        <v>42479</v>
      </c>
      <c r="G42" s="528" t="s">
        <v>480</v>
      </c>
      <c r="H42" s="528"/>
      <c r="I42" s="528"/>
      <c r="J42" s="528"/>
      <c r="K42" s="529" t="s">
        <v>1089</v>
      </c>
      <c r="L42" s="547">
        <v>60</v>
      </c>
      <c r="M42" s="531">
        <f>L42*0.2*8.76</f>
        <v>105.12</v>
      </c>
      <c r="N42" s="532">
        <f>(13-MONTH(F42))/12*M42</f>
        <v>78.84</v>
      </c>
      <c r="O42" s="551" t="s">
        <v>1702</v>
      </c>
      <c r="P42" s="534"/>
      <c r="Q42" s="549"/>
    </row>
    <row r="43" spans="1:17" ht="27" customHeight="1">
      <c r="A43" s="544" t="s">
        <v>4714</v>
      </c>
      <c r="B43" s="587" t="s">
        <v>4708</v>
      </c>
      <c r="C43" s="523"/>
      <c r="D43" s="529"/>
      <c r="E43" s="545" t="s">
        <v>4711</v>
      </c>
      <c r="F43" s="546">
        <v>42558</v>
      </c>
      <c r="G43" s="528" t="s">
        <v>5143</v>
      </c>
      <c r="H43" s="528"/>
      <c r="I43" s="528"/>
      <c r="J43" s="528" t="s">
        <v>4717</v>
      </c>
      <c r="K43" s="529" t="s">
        <v>1089</v>
      </c>
      <c r="L43" s="547">
        <v>30</v>
      </c>
      <c r="M43" s="531">
        <v>83</v>
      </c>
      <c r="N43" s="553">
        <v>37</v>
      </c>
      <c r="O43" s="551" t="s">
        <v>1770</v>
      </c>
      <c r="P43" s="534" t="s">
        <v>4150</v>
      </c>
      <c r="Q43" s="549"/>
    </row>
    <row r="44" spans="1:17" ht="27" customHeight="1">
      <c r="A44" s="544" t="s">
        <v>4715</v>
      </c>
      <c r="B44" s="587" t="s">
        <v>4709</v>
      </c>
      <c r="C44" s="523"/>
      <c r="D44" s="529"/>
      <c r="E44" s="545" t="s">
        <v>4712</v>
      </c>
      <c r="F44" s="546">
        <v>42493</v>
      </c>
      <c r="G44" s="528" t="s">
        <v>5143</v>
      </c>
      <c r="H44" s="528"/>
      <c r="I44" s="528"/>
      <c r="J44" s="528" t="s">
        <v>4717</v>
      </c>
      <c r="K44" s="529" t="s">
        <v>1089</v>
      </c>
      <c r="L44" s="547">
        <v>40</v>
      </c>
      <c r="M44" s="531">
        <v>112</v>
      </c>
      <c r="N44" s="553">
        <v>96</v>
      </c>
      <c r="O44" s="551" t="s">
        <v>1770</v>
      </c>
      <c r="P44" s="534" t="s">
        <v>4150</v>
      </c>
      <c r="Q44" s="549"/>
    </row>
    <row r="45" spans="1:17" ht="27" customHeight="1">
      <c r="A45" s="544" t="s">
        <v>4716</v>
      </c>
      <c r="B45" s="587" t="s">
        <v>4710</v>
      </c>
      <c r="C45" s="523"/>
      <c r="D45" s="529"/>
      <c r="E45" s="545" t="s">
        <v>4713</v>
      </c>
      <c r="F45" s="546">
        <v>42523</v>
      </c>
      <c r="G45" s="528" t="s">
        <v>5143</v>
      </c>
      <c r="H45" s="528"/>
      <c r="I45" s="528"/>
      <c r="J45" s="528" t="s">
        <v>4717</v>
      </c>
      <c r="K45" s="529" t="s">
        <v>1089</v>
      </c>
      <c r="L45" s="547">
        <v>30</v>
      </c>
      <c r="M45" s="531">
        <v>83</v>
      </c>
      <c r="N45" s="553">
        <v>58</v>
      </c>
      <c r="O45" s="551" t="s">
        <v>1770</v>
      </c>
      <c r="P45" s="534" t="s">
        <v>4150</v>
      </c>
      <c r="Q45" s="549"/>
    </row>
    <row r="46" spans="1:17" s="511" customFormat="1" ht="27" customHeight="1">
      <c r="A46" s="544" t="s">
        <v>4015</v>
      </c>
      <c r="B46" s="587" t="s">
        <v>4718</v>
      </c>
      <c r="C46" s="523"/>
      <c r="D46" s="529" t="s">
        <v>4025</v>
      </c>
      <c r="E46" s="545" t="s">
        <v>4689</v>
      </c>
      <c r="F46" s="546">
        <v>42579</v>
      </c>
      <c r="G46" s="528" t="s">
        <v>4952</v>
      </c>
      <c r="H46" s="528"/>
      <c r="I46" s="528"/>
      <c r="J46" s="528"/>
      <c r="K46" s="529" t="s">
        <v>1089</v>
      </c>
      <c r="L46" s="547">
        <v>200</v>
      </c>
      <c r="M46" s="531">
        <v>555</v>
      </c>
      <c r="N46" s="532">
        <f>(13-MONTH(F46))/12*M46</f>
        <v>277.5</v>
      </c>
      <c r="O46" s="551" t="s">
        <v>3954</v>
      </c>
      <c r="P46" s="534" t="s">
        <v>475</v>
      </c>
      <c r="Q46" s="549"/>
    </row>
    <row r="47" spans="1:17" ht="27" customHeight="1">
      <c r="A47" s="534"/>
      <c r="B47" s="587" t="s">
        <v>3871</v>
      </c>
      <c r="C47" s="523" t="s">
        <v>3872</v>
      </c>
      <c r="D47" s="523"/>
      <c r="E47" s="539" t="s">
        <v>4691</v>
      </c>
      <c r="F47" s="540">
        <v>42705</v>
      </c>
      <c r="G47" s="534" t="s">
        <v>5102</v>
      </c>
      <c r="H47" s="534">
        <v>59249</v>
      </c>
      <c r="I47" s="534"/>
      <c r="J47" s="541"/>
      <c r="K47" s="529" t="s">
        <v>1089</v>
      </c>
      <c r="L47" s="542">
        <v>20</v>
      </c>
      <c r="M47" s="557">
        <v>55.79</v>
      </c>
      <c r="N47" s="557">
        <v>2.2000000000000002</v>
      </c>
      <c r="O47" s="537" t="s">
        <v>1702</v>
      </c>
      <c r="P47" s="528" t="s">
        <v>474</v>
      </c>
      <c r="Q47" s="543"/>
    </row>
    <row r="48" spans="1:17" ht="27" customHeight="1">
      <c r="A48" s="534"/>
      <c r="B48" s="523" t="s">
        <v>4719</v>
      </c>
      <c r="C48" s="523"/>
      <c r="D48" s="523"/>
      <c r="E48" s="539" t="s">
        <v>4720</v>
      </c>
      <c r="F48" s="540">
        <v>42573</v>
      </c>
      <c r="G48" s="534"/>
      <c r="H48" s="534"/>
      <c r="I48" s="534"/>
      <c r="J48" s="541"/>
      <c r="K48" s="529" t="s">
        <v>1089</v>
      </c>
      <c r="L48" s="542">
        <v>0.99</v>
      </c>
      <c r="M48" s="531">
        <f>L48*0.2*8.76</f>
        <v>1.73448</v>
      </c>
      <c r="N48" s="532">
        <f>(13-MONTH(F48))/12*M48</f>
        <v>0.86724000000000001</v>
      </c>
      <c r="O48" s="537" t="s">
        <v>4639</v>
      </c>
      <c r="P48" s="528"/>
      <c r="Q48" s="543"/>
    </row>
    <row r="49" spans="1:254" ht="27" customHeight="1">
      <c r="A49" s="544"/>
      <c r="B49" s="544" t="s">
        <v>1607</v>
      </c>
      <c r="C49" s="523"/>
      <c r="D49" s="529"/>
      <c r="E49" s="545" t="s">
        <v>5352</v>
      </c>
      <c r="F49" s="546">
        <v>42383</v>
      </c>
      <c r="G49" s="528" t="s">
        <v>3682</v>
      </c>
      <c r="H49" s="528"/>
      <c r="I49" s="528"/>
      <c r="J49" s="528" t="s">
        <v>1608</v>
      </c>
      <c r="K49" s="529" t="s">
        <v>1089</v>
      </c>
      <c r="L49" s="547">
        <v>2</v>
      </c>
      <c r="M49" s="531">
        <v>6.4</v>
      </c>
      <c r="N49" s="553">
        <v>6.2</v>
      </c>
      <c r="O49" s="551" t="s">
        <v>1583</v>
      </c>
      <c r="P49" s="534" t="s">
        <v>475</v>
      </c>
      <c r="Q49" s="549">
        <v>8</v>
      </c>
    </row>
    <row r="50" spans="1:254">
      <c r="A50" s="523"/>
      <c r="B50" s="583" t="s">
        <v>3897</v>
      </c>
      <c r="C50" s="529"/>
      <c r="D50" s="529"/>
      <c r="E50" s="526" t="s">
        <v>3996</v>
      </c>
      <c r="F50" s="527">
        <v>42724</v>
      </c>
      <c r="G50" s="529"/>
      <c r="H50" s="529">
        <v>60185</v>
      </c>
      <c r="I50" s="529"/>
      <c r="J50" s="525"/>
      <c r="K50" s="529" t="s">
        <v>1089</v>
      </c>
      <c r="L50" s="547">
        <v>85</v>
      </c>
      <c r="M50" s="531">
        <f t="shared" ref="M50:M56" si="0">L50*0.2*8.76</f>
        <v>148.91999999999999</v>
      </c>
      <c r="N50" s="532">
        <f t="shared" ref="N50:N56" si="1">(13-MONTH(F50))/12*M50</f>
        <v>12.409999999999998</v>
      </c>
      <c r="O50" s="529" t="s">
        <v>1583</v>
      </c>
      <c r="P50" s="528" t="s">
        <v>3898</v>
      </c>
      <c r="Q50" s="535">
        <v>20</v>
      </c>
      <c r="R50" s="511"/>
      <c r="CF50" s="511"/>
      <c r="CG50" s="511"/>
      <c r="CH50" s="511"/>
      <c r="CI50" s="511"/>
      <c r="CJ50" s="511"/>
      <c r="CK50" s="511"/>
      <c r="CL50" s="511"/>
      <c r="CM50" s="511"/>
      <c r="CN50" s="511"/>
      <c r="CO50" s="511"/>
      <c r="CP50" s="511"/>
      <c r="CQ50" s="511"/>
      <c r="CR50" s="511"/>
      <c r="CS50" s="511"/>
      <c r="CT50" s="511"/>
      <c r="CU50" s="511"/>
      <c r="CV50" s="511"/>
      <c r="CW50" s="511"/>
      <c r="CX50" s="511"/>
      <c r="CY50" s="511"/>
      <c r="CZ50" s="511"/>
      <c r="DA50" s="511"/>
      <c r="DB50" s="511"/>
      <c r="DC50" s="511"/>
      <c r="DD50" s="511"/>
      <c r="DE50" s="511"/>
      <c r="DF50" s="511"/>
      <c r="DG50" s="511"/>
      <c r="DH50" s="511"/>
      <c r="DI50" s="511"/>
      <c r="DJ50" s="511"/>
      <c r="DK50" s="511"/>
      <c r="DL50" s="511"/>
      <c r="DM50" s="511"/>
      <c r="DN50" s="511"/>
      <c r="DO50" s="511"/>
      <c r="DP50" s="511"/>
      <c r="DQ50" s="511"/>
      <c r="DR50" s="511"/>
      <c r="DS50" s="511"/>
      <c r="DT50" s="511"/>
      <c r="DU50" s="511"/>
      <c r="DV50" s="511"/>
      <c r="DW50" s="511"/>
      <c r="DX50" s="511"/>
      <c r="DY50" s="511"/>
      <c r="DZ50" s="511"/>
      <c r="EA50" s="511"/>
      <c r="EB50" s="511"/>
      <c r="EC50" s="511"/>
      <c r="ED50" s="511"/>
      <c r="EE50" s="511"/>
      <c r="EF50" s="511"/>
      <c r="EG50" s="511"/>
      <c r="EH50" s="511"/>
      <c r="EI50" s="511"/>
      <c r="EJ50" s="511"/>
      <c r="EK50" s="511"/>
      <c r="EL50" s="511"/>
      <c r="EM50" s="511"/>
      <c r="EN50" s="511"/>
      <c r="EO50" s="511"/>
      <c r="EP50" s="511"/>
      <c r="EQ50" s="511"/>
      <c r="ER50" s="511"/>
      <c r="ES50" s="511"/>
      <c r="ET50" s="511"/>
      <c r="EU50" s="511"/>
      <c r="EV50" s="511"/>
      <c r="EW50" s="511"/>
      <c r="EX50" s="511"/>
      <c r="EY50" s="511"/>
      <c r="EZ50" s="511"/>
      <c r="FA50" s="511"/>
      <c r="FB50" s="511"/>
      <c r="FC50" s="511"/>
      <c r="FD50" s="511"/>
      <c r="FE50" s="511"/>
      <c r="FF50" s="511"/>
      <c r="FG50" s="511"/>
      <c r="FH50" s="511"/>
      <c r="FI50" s="511"/>
      <c r="FJ50" s="511"/>
      <c r="FK50" s="511"/>
      <c r="FL50" s="511"/>
      <c r="FM50" s="511"/>
      <c r="FN50" s="511"/>
      <c r="FO50" s="511"/>
      <c r="FP50" s="511"/>
      <c r="FQ50" s="511"/>
      <c r="FR50" s="511"/>
      <c r="FS50" s="511"/>
      <c r="FT50" s="511"/>
      <c r="FU50" s="511"/>
      <c r="FV50" s="511"/>
      <c r="FW50" s="511"/>
      <c r="FX50" s="511"/>
      <c r="FY50" s="511"/>
      <c r="FZ50" s="511"/>
      <c r="GA50" s="511"/>
      <c r="GB50" s="511"/>
      <c r="GC50" s="511"/>
      <c r="GD50" s="511"/>
      <c r="GE50" s="511"/>
      <c r="GF50" s="511"/>
      <c r="GG50" s="511"/>
      <c r="GH50" s="511"/>
      <c r="GI50" s="511"/>
      <c r="GJ50" s="511"/>
      <c r="GK50" s="511"/>
      <c r="GL50" s="511"/>
      <c r="GM50" s="511"/>
      <c r="GN50" s="511"/>
      <c r="GO50" s="511"/>
      <c r="GP50" s="511"/>
      <c r="GQ50" s="511"/>
      <c r="GR50" s="511"/>
      <c r="GS50" s="511"/>
      <c r="GT50" s="511"/>
      <c r="GU50" s="511"/>
      <c r="GV50" s="511"/>
      <c r="GW50" s="511"/>
      <c r="GX50" s="511"/>
      <c r="GY50" s="511"/>
      <c r="GZ50" s="511"/>
      <c r="HA50" s="511"/>
      <c r="HB50" s="511"/>
      <c r="HC50" s="511"/>
      <c r="HD50" s="511"/>
      <c r="HE50" s="511"/>
      <c r="HF50" s="511"/>
      <c r="HG50" s="511"/>
      <c r="HH50" s="511"/>
      <c r="HI50" s="511"/>
      <c r="HJ50" s="511"/>
      <c r="HK50" s="511"/>
      <c r="HL50" s="511"/>
      <c r="HM50" s="511"/>
      <c r="HN50" s="511"/>
      <c r="HO50" s="511"/>
      <c r="HP50" s="511"/>
      <c r="HQ50" s="511"/>
      <c r="HR50" s="511"/>
      <c r="HS50" s="511"/>
      <c r="HT50" s="511"/>
      <c r="HU50" s="511"/>
      <c r="HV50" s="511"/>
      <c r="HW50" s="511"/>
      <c r="HX50" s="511"/>
      <c r="HY50" s="511"/>
      <c r="HZ50" s="511"/>
      <c r="IA50" s="511"/>
      <c r="IB50" s="511"/>
      <c r="IC50" s="511"/>
      <c r="ID50" s="511"/>
      <c r="IE50" s="511"/>
      <c r="IF50" s="511"/>
      <c r="IG50" s="511"/>
      <c r="IH50" s="511"/>
      <c r="II50" s="511"/>
      <c r="IJ50" s="511"/>
      <c r="IK50" s="511"/>
      <c r="IL50" s="511"/>
      <c r="IM50" s="511"/>
      <c r="IN50" s="511"/>
      <c r="IO50" s="511"/>
      <c r="IP50" s="511"/>
      <c r="IQ50" s="511"/>
      <c r="IR50" s="511"/>
      <c r="IS50" s="511"/>
      <c r="IT50" s="511"/>
    </row>
    <row r="51" spans="1:254" ht="27" customHeight="1">
      <c r="A51" s="534"/>
      <c r="B51" s="585" t="s">
        <v>3963</v>
      </c>
      <c r="C51" s="523"/>
      <c r="D51" s="523"/>
      <c r="E51" s="539" t="s">
        <v>3986</v>
      </c>
      <c r="F51" s="540">
        <v>42562</v>
      </c>
      <c r="G51" s="534" t="s">
        <v>4696</v>
      </c>
      <c r="H51" s="534"/>
      <c r="I51" s="523"/>
      <c r="J51" s="528" t="s">
        <v>3962</v>
      </c>
      <c r="K51" s="529" t="s">
        <v>1089</v>
      </c>
      <c r="L51" s="559">
        <v>107</v>
      </c>
      <c r="M51" s="531">
        <f t="shared" si="0"/>
        <v>187.46400000000003</v>
      </c>
      <c r="N51" s="532">
        <f t="shared" si="1"/>
        <v>93.732000000000014</v>
      </c>
      <c r="O51" s="534" t="s">
        <v>1702</v>
      </c>
      <c r="P51" s="543"/>
      <c r="Q51" s="541"/>
    </row>
    <row r="52" spans="1:254" s="511" customFormat="1" ht="27" customHeight="1">
      <c r="A52" s="534" t="s">
        <v>4779</v>
      </c>
      <c r="B52" s="585" t="s">
        <v>4024</v>
      </c>
      <c r="C52" s="523"/>
      <c r="D52" s="523"/>
      <c r="E52" s="539" t="s">
        <v>4694</v>
      </c>
      <c r="F52" s="540">
        <v>42705</v>
      </c>
      <c r="G52" s="534" t="s">
        <v>4696</v>
      </c>
      <c r="H52" s="534">
        <v>59840</v>
      </c>
      <c r="I52" s="523"/>
      <c r="J52" s="528" t="s">
        <v>5523</v>
      </c>
      <c r="K52" s="529" t="s">
        <v>1089</v>
      </c>
      <c r="L52" s="547">
        <v>155</v>
      </c>
      <c r="M52" s="531">
        <f t="shared" si="0"/>
        <v>271.56</v>
      </c>
      <c r="N52" s="532">
        <f t="shared" si="1"/>
        <v>22.63</v>
      </c>
      <c r="O52" s="534" t="s">
        <v>1702</v>
      </c>
      <c r="P52" s="543"/>
      <c r="Q52" s="541"/>
    </row>
    <row r="53" spans="1:254" s="511" customFormat="1" ht="27" customHeight="1">
      <c r="A53" s="534"/>
      <c r="B53" s="587" t="s">
        <v>5526</v>
      </c>
      <c r="C53" s="523"/>
      <c r="D53" s="523"/>
      <c r="E53" s="539">
        <v>63166</v>
      </c>
      <c r="F53" s="540">
        <v>42717</v>
      </c>
      <c r="G53" s="534" t="s">
        <v>5527</v>
      </c>
      <c r="H53" s="534"/>
      <c r="I53" s="523"/>
      <c r="J53" s="528"/>
      <c r="K53" s="529" t="s">
        <v>1089</v>
      </c>
      <c r="L53" s="547">
        <v>54</v>
      </c>
      <c r="M53" s="531">
        <f t="shared" si="0"/>
        <v>94.608000000000004</v>
      </c>
      <c r="N53" s="532">
        <f t="shared" si="1"/>
        <v>7.8840000000000003</v>
      </c>
      <c r="O53" s="534" t="s">
        <v>1702</v>
      </c>
      <c r="P53" s="543"/>
      <c r="Q53" s="541"/>
    </row>
    <row r="54" spans="1:254" s="511" customFormat="1" ht="27" customHeight="1">
      <c r="A54" s="534" t="s">
        <v>5529</v>
      </c>
      <c r="B54" s="587" t="s">
        <v>5528</v>
      </c>
      <c r="C54" s="523"/>
      <c r="D54" s="523"/>
      <c r="E54" s="539">
        <v>63167</v>
      </c>
      <c r="F54" s="540">
        <v>42717</v>
      </c>
      <c r="G54" s="534" t="s">
        <v>5184</v>
      </c>
      <c r="H54" s="534"/>
      <c r="I54" s="523"/>
      <c r="J54" s="528"/>
      <c r="K54" s="529" t="s">
        <v>1089</v>
      </c>
      <c r="L54" s="547">
        <v>54</v>
      </c>
      <c r="M54" s="531">
        <f t="shared" si="0"/>
        <v>94.608000000000004</v>
      </c>
      <c r="N54" s="532">
        <f t="shared" si="1"/>
        <v>7.8840000000000003</v>
      </c>
      <c r="O54" s="534" t="s">
        <v>1702</v>
      </c>
      <c r="P54" s="543"/>
      <c r="Q54" s="541"/>
    </row>
    <row r="55" spans="1:254" ht="27" customHeight="1">
      <c r="A55" s="544"/>
      <c r="B55" s="587" t="s">
        <v>4721</v>
      </c>
      <c r="C55" s="523"/>
      <c r="D55" s="529"/>
      <c r="E55" s="545" t="s">
        <v>4722</v>
      </c>
      <c r="F55" s="546">
        <v>42576</v>
      </c>
      <c r="G55" s="528" t="s">
        <v>3896</v>
      </c>
      <c r="H55" s="528"/>
      <c r="I55" s="528"/>
      <c r="J55" s="528" t="s">
        <v>4766</v>
      </c>
      <c r="K55" s="529" t="s">
        <v>1089</v>
      </c>
      <c r="L55" s="547">
        <v>20</v>
      </c>
      <c r="M55" s="531">
        <f t="shared" si="0"/>
        <v>35.04</v>
      </c>
      <c r="N55" s="532">
        <f t="shared" si="1"/>
        <v>17.52</v>
      </c>
      <c r="O55" s="551" t="s">
        <v>1583</v>
      </c>
      <c r="P55" s="534"/>
      <c r="Q55" s="549"/>
    </row>
    <row r="56" spans="1:254" s="561" customFormat="1" ht="27" customHeight="1">
      <c r="A56" s="544" t="s">
        <v>4994</v>
      </c>
      <c r="B56" s="544" t="s">
        <v>1625</v>
      </c>
      <c r="C56" s="550" t="s">
        <v>1623</v>
      </c>
      <c r="D56" s="529"/>
      <c r="E56" s="545" t="s">
        <v>3987</v>
      </c>
      <c r="F56" s="546">
        <v>42451</v>
      </c>
      <c r="G56" s="528" t="s">
        <v>4995</v>
      </c>
      <c r="H56" s="528"/>
      <c r="I56" s="528"/>
      <c r="J56" s="528" t="s">
        <v>1588</v>
      </c>
      <c r="K56" s="529" t="s">
        <v>1089</v>
      </c>
      <c r="L56" s="547">
        <v>1</v>
      </c>
      <c r="M56" s="531">
        <f t="shared" si="0"/>
        <v>1.752</v>
      </c>
      <c r="N56" s="532">
        <f t="shared" si="1"/>
        <v>1.46</v>
      </c>
      <c r="O56" s="551" t="s">
        <v>1624</v>
      </c>
      <c r="P56" s="534" t="s">
        <v>475</v>
      </c>
      <c r="Q56" s="549">
        <v>20</v>
      </c>
      <c r="R56" s="529"/>
      <c r="S56" s="511">
        <f>AVERAGE(M56:R56)</f>
        <v>7.737333333333333</v>
      </c>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T56" s="511"/>
      <c r="BU56" s="511"/>
      <c r="BV56" s="511"/>
      <c r="BW56" s="511"/>
      <c r="BX56" s="511"/>
      <c r="BY56" s="511"/>
      <c r="BZ56" s="511"/>
      <c r="CA56" s="511"/>
      <c r="CB56" s="511"/>
      <c r="CC56" s="511"/>
      <c r="CD56" s="511"/>
      <c r="CE56" s="511"/>
    </row>
    <row r="57" spans="1:254" ht="27" customHeight="1">
      <c r="A57" s="562" t="s">
        <v>4699</v>
      </c>
      <c r="B57" s="586" t="s">
        <v>4698</v>
      </c>
      <c r="C57" s="550"/>
      <c r="D57" s="529"/>
      <c r="E57" s="539" t="s">
        <v>5353</v>
      </c>
      <c r="F57" s="546">
        <v>42628</v>
      </c>
      <c r="G57" s="528" t="s">
        <v>5113</v>
      </c>
      <c r="H57" s="528">
        <v>59600</v>
      </c>
      <c r="I57" s="528"/>
      <c r="J57" s="528"/>
      <c r="K57" s="529" t="s">
        <v>1089</v>
      </c>
      <c r="L57" s="547">
        <v>20</v>
      </c>
      <c r="M57" s="531">
        <v>51</v>
      </c>
      <c r="N57" s="553">
        <v>11</v>
      </c>
      <c r="O57" s="548" t="s">
        <v>1776</v>
      </c>
      <c r="P57" s="534"/>
      <c r="Q57" s="549"/>
    </row>
    <row r="58" spans="1:254" ht="27" customHeight="1">
      <c r="A58" s="544" t="s">
        <v>4780</v>
      </c>
      <c r="B58" s="586" t="s">
        <v>4697</v>
      </c>
      <c r="C58" s="523" t="s">
        <v>3880</v>
      </c>
      <c r="D58" s="529"/>
      <c r="E58" s="545" t="s">
        <v>5356</v>
      </c>
      <c r="F58" s="546">
        <v>42644</v>
      </c>
      <c r="G58" s="528" t="s">
        <v>5112</v>
      </c>
      <c r="H58" s="528">
        <v>59599</v>
      </c>
      <c r="I58" s="528"/>
      <c r="J58" s="528" t="s">
        <v>3962</v>
      </c>
      <c r="K58" s="529" t="s">
        <v>1089</v>
      </c>
      <c r="L58" s="547">
        <v>14</v>
      </c>
      <c r="M58" s="531">
        <v>57</v>
      </c>
      <c r="N58" s="553">
        <v>11</v>
      </c>
      <c r="O58" s="548" t="s">
        <v>1776</v>
      </c>
      <c r="P58" s="528" t="s">
        <v>475</v>
      </c>
      <c r="Q58" s="549"/>
    </row>
    <row r="59" spans="1:254" s="511" customFormat="1" ht="27" customHeight="1">
      <c r="A59" s="544" t="s">
        <v>4728</v>
      </c>
      <c r="B59" s="544" t="s">
        <v>4723</v>
      </c>
      <c r="C59" s="523"/>
      <c r="D59" s="529"/>
      <c r="E59" s="545" t="s">
        <v>4725</v>
      </c>
      <c r="F59" s="546">
        <v>42636</v>
      </c>
      <c r="G59" s="528"/>
      <c r="H59" s="528"/>
      <c r="I59" s="528"/>
      <c r="J59" s="528" t="s">
        <v>4727</v>
      </c>
      <c r="K59" s="529" t="s">
        <v>1089</v>
      </c>
      <c r="L59" s="547">
        <v>0.9</v>
      </c>
      <c r="M59" s="531">
        <f>L59*0.2*8.76</f>
        <v>1.5768000000000002</v>
      </c>
      <c r="N59" s="532">
        <f>(13-MONTH(F59))/12*M59</f>
        <v>0.52560000000000007</v>
      </c>
      <c r="O59" s="551" t="s">
        <v>4639</v>
      </c>
      <c r="P59" s="534"/>
      <c r="Q59" s="549"/>
    </row>
    <row r="60" spans="1:254" s="511" customFormat="1" ht="27" customHeight="1">
      <c r="A60" s="544" t="s">
        <v>4728</v>
      </c>
      <c r="B60" s="544" t="s">
        <v>4724</v>
      </c>
      <c r="C60" s="523"/>
      <c r="D60" s="529"/>
      <c r="E60" s="545" t="s">
        <v>4726</v>
      </c>
      <c r="F60" s="546">
        <v>42636</v>
      </c>
      <c r="G60" s="528"/>
      <c r="H60" s="528"/>
      <c r="I60" s="528"/>
      <c r="J60" s="528" t="s">
        <v>4727</v>
      </c>
      <c r="K60" s="529" t="s">
        <v>1089</v>
      </c>
      <c r="L60" s="547">
        <v>0.9</v>
      </c>
      <c r="M60" s="531">
        <f>L60*0.2*8.76</f>
        <v>1.5768000000000002</v>
      </c>
      <c r="N60" s="532">
        <f>(13-MONTH(F60))/12*M60</f>
        <v>0.52560000000000007</v>
      </c>
      <c r="O60" s="551" t="s">
        <v>4639</v>
      </c>
      <c r="P60" s="534"/>
      <c r="Q60" s="549"/>
    </row>
    <row r="61" spans="1:254" s="511" customFormat="1" ht="27" customHeight="1">
      <c r="A61" s="544"/>
      <c r="B61" s="586" t="s">
        <v>3892</v>
      </c>
      <c r="C61" s="523"/>
      <c r="D61" s="529"/>
      <c r="E61" s="545" t="s">
        <v>3998</v>
      </c>
      <c r="F61" s="546">
        <v>42725</v>
      </c>
      <c r="G61" s="528" t="s">
        <v>3893</v>
      </c>
      <c r="H61" s="528">
        <v>59961</v>
      </c>
      <c r="I61" s="528"/>
      <c r="J61" s="523"/>
      <c r="K61" s="529" t="s">
        <v>1089</v>
      </c>
      <c r="L61" s="547">
        <v>20</v>
      </c>
      <c r="M61" s="531">
        <f>L61*0.2*8.76</f>
        <v>35.04</v>
      </c>
      <c r="N61" s="532">
        <f>(13-MONTH(F61))/12*M61</f>
        <v>2.92</v>
      </c>
      <c r="O61" s="548" t="s">
        <v>1583</v>
      </c>
      <c r="P61" s="528" t="s">
        <v>3893</v>
      </c>
      <c r="Q61" s="549">
        <v>25</v>
      </c>
    </row>
    <row r="62" spans="1:254" s="511" customFormat="1" ht="27" customHeight="1">
      <c r="A62" s="544"/>
      <c r="B62" s="586" t="s">
        <v>3908</v>
      </c>
      <c r="C62" s="523"/>
      <c r="D62" s="525" t="s">
        <v>3909</v>
      </c>
      <c r="E62" s="545"/>
      <c r="F62" s="546">
        <v>42522</v>
      </c>
      <c r="G62" s="528"/>
      <c r="H62" s="528"/>
      <c r="I62" s="528"/>
      <c r="J62" s="523"/>
      <c r="K62" s="529" t="s">
        <v>1089</v>
      </c>
      <c r="L62" s="547">
        <v>3</v>
      </c>
      <c r="M62" s="531">
        <f>L62*0.2*8.76</f>
        <v>5.2560000000000002</v>
      </c>
      <c r="N62" s="532">
        <f>(13-MONTH(F62))/12*M62</f>
        <v>3.0660000000000003</v>
      </c>
      <c r="O62" s="548" t="s">
        <v>1914</v>
      </c>
      <c r="P62" s="528"/>
      <c r="Q62" s="549"/>
    </row>
    <row r="63" spans="1:254" s="511" customFormat="1" ht="27" customHeight="1">
      <c r="A63" s="544"/>
      <c r="B63" s="586" t="s">
        <v>3881</v>
      </c>
      <c r="C63" s="523" t="s">
        <v>3882</v>
      </c>
      <c r="D63" s="529"/>
      <c r="E63" s="545" t="s">
        <v>4700</v>
      </c>
      <c r="F63" s="546">
        <v>42705</v>
      </c>
      <c r="G63" s="528" t="s">
        <v>5104</v>
      </c>
      <c r="H63" s="528">
        <v>59253</v>
      </c>
      <c r="I63" s="528"/>
      <c r="J63" s="523" t="s">
        <v>1576</v>
      </c>
      <c r="K63" s="529" t="s">
        <v>1089</v>
      </c>
      <c r="L63" s="547">
        <v>15</v>
      </c>
      <c r="M63" s="531">
        <v>44.2</v>
      </c>
      <c r="N63" s="553">
        <v>1.6</v>
      </c>
      <c r="O63" s="548" t="s">
        <v>1584</v>
      </c>
      <c r="P63" s="528" t="s">
        <v>475</v>
      </c>
      <c r="Q63" s="549"/>
    </row>
    <row r="64" spans="1:254" s="511" customFormat="1" ht="27" customHeight="1">
      <c r="A64" s="563" t="s">
        <v>3819</v>
      </c>
      <c r="B64" s="564" t="s">
        <v>3819</v>
      </c>
      <c r="C64" s="523"/>
      <c r="D64" s="565"/>
      <c r="E64" s="566"/>
      <c r="F64" s="527"/>
      <c r="G64" s="534"/>
      <c r="H64" s="534"/>
      <c r="I64" s="534"/>
      <c r="J64" s="565" t="s">
        <v>666</v>
      </c>
      <c r="K64" s="515"/>
      <c r="L64" s="567">
        <f>SUM(L3:L63)</f>
        <v>2096.5840000000003</v>
      </c>
      <c r="M64" s="567">
        <f>SUM(M3:M63)</f>
        <v>4478.1087680000001</v>
      </c>
      <c r="N64" s="567">
        <f>SUM(N3:N63)</f>
        <v>1754.8637840000001</v>
      </c>
      <c r="O64" s="534"/>
      <c r="P64" s="534"/>
      <c r="Q64" s="555"/>
    </row>
    <row r="65" spans="1:18" s="511" customFormat="1" ht="27" customHeight="1">
      <c r="A65" s="561" t="s">
        <v>3753</v>
      </c>
      <c r="B65" s="561"/>
      <c r="D65" s="561"/>
      <c r="E65" s="568"/>
      <c r="F65" s="569"/>
      <c r="G65" s="570"/>
      <c r="H65" s="570"/>
      <c r="I65" s="570"/>
      <c r="J65" s="561"/>
      <c r="K65" s="561"/>
      <c r="L65" s="571"/>
      <c r="M65" s="561"/>
      <c r="N65" s="561"/>
      <c r="O65" s="561"/>
      <c r="P65" s="570"/>
      <c r="Q65" s="572"/>
      <c r="R65" s="561"/>
    </row>
    <row r="66" spans="1:18" s="511" customFormat="1" ht="27" customHeight="1">
      <c r="A66" s="561" t="s">
        <v>1255</v>
      </c>
      <c r="E66" s="573"/>
      <c r="F66" s="569"/>
      <c r="G66" s="574"/>
      <c r="H66" s="574"/>
      <c r="I66" s="574"/>
      <c r="L66" s="575"/>
      <c r="P66" s="574"/>
      <c r="Q66" s="576"/>
    </row>
    <row r="71" spans="1:18">
      <c r="G71" s="582"/>
    </row>
    <row r="72" spans="1:18">
      <c r="G72" s="582"/>
    </row>
  </sheetData>
  <autoFilter ref="A2:Q66"/>
  <mergeCells count="1">
    <mergeCell ref="A1:Q1"/>
  </mergeCells>
  <conditionalFormatting sqref="J46">
    <cfRule type="duplicateValues" dxfId="47" priority="195"/>
  </conditionalFormatting>
  <conditionalFormatting sqref="C46">
    <cfRule type="duplicateValues" dxfId="46" priority="212"/>
  </conditionalFormatting>
  <conditionalFormatting sqref="D38:D40">
    <cfRule type="duplicateValues" dxfId="45" priority="9"/>
  </conditionalFormatting>
  <conditionalFormatting sqref="D56">
    <cfRule type="duplicateValues" dxfId="44" priority="3"/>
  </conditionalFormatting>
  <conditionalFormatting sqref="D56">
    <cfRule type="duplicateValues" dxfId="43" priority="2"/>
  </conditionalFormatting>
  <conditionalFormatting sqref="D56">
    <cfRule type="duplicateValues" dxfId="42" priority="1"/>
  </conditionalFormatting>
  <pageMargins left="0.5" right="0.5" top="0" bottom="0" header="0" footer="0"/>
  <pageSetup scale="7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932"/>
  <sheetViews>
    <sheetView topLeftCell="A2" zoomScale="70" zoomScaleNormal="70" workbookViewId="0">
      <pane ySplit="735" activePane="bottomLeft"/>
      <selection activeCell="A2" sqref="A1:XFD1048576"/>
      <selection pane="bottomLeft" activeCell="N14" sqref="N14"/>
    </sheetView>
  </sheetViews>
  <sheetFormatPr defaultRowHeight="12.75"/>
  <cols>
    <col min="1" max="1" width="32.28515625" style="255" customWidth="1"/>
    <col min="2" max="2" width="51.7109375" style="255" customWidth="1"/>
    <col min="3" max="3" width="12.42578125" style="255" customWidth="1"/>
    <col min="4" max="4" width="7" style="16" customWidth="1"/>
    <col min="5" max="5" width="9.85546875" style="16" customWidth="1"/>
    <col min="6" max="7" width="12.42578125" style="21" customWidth="1"/>
    <col min="8" max="9" width="9.28515625" style="245" customWidth="1"/>
    <col min="10" max="10" width="6.5703125" style="245" customWidth="1"/>
    <col min="11" max="11" width="9.28515625" style="255" customWidth="1"/>
    <col min="12" max="12" width="10.85546875" style="255" customWidth="1"/>
    <col min="13" max="14" width="15" style="60" customWidth="1"/>
    <col min="15" max="16384" width="9.140625" style="255"/>
  </cols>
  <sheetData>
    <row r="1" spans="1:14" s="342" customFormat="1" ht="57" customHeight="1">
      <c r="A1" s="602" t="s">
        <v>3770</v>
      </c>
      <c r="B1" s="603"/>
      <c r="C1" s="603"/>
      <c r="D1" s="603"/>
      <c r="E1" s="603"/>
      <c r="F1" s="603"/>
      <c r="G1" s="603"/>
      <c r="H1" s="603"/>
      <c r="I1" s="603"/>
      <c r="J1" s="603"/>
      <c r="K1" s="603"/>
      <c r="L1" s="603"/>
      <c r="M1" s="603"/>
      <c r="N1" s="603"/>
    </row>
    <row r="2" spans="1:14" s="6" customFormat="1" ht="38.25">
      <c r="A2" s="22" t="s">
        <v>16</v>
      </c>
      <c r="B2" s="23" t="s">
        <v>1</v>
      </c>
      <c r="C2" s="26" t="s">
        <v>1636</v>
      </c>
      <c r="D2" s="61" t="s">
        <v>1096</v>
      </c>
      <c r="E2" s="61" t="s">
        <v>1943</v>
      </c>
      <c r="F2" s="26" t="s">
        <v>665</v>
      </c>
      <c r="G2" s="26" t="s">
        <v>4792</v>
      </c>
      <c r="H2" s="242" t="s">
        <v>2104</v>
      </c>
      <c r="I2" s="242" t="s">
        <v>3538</v>
      </c>
      <c r="J2" s="242" t="s">
        <v>3700</v>
      </c>
      <c r="K2" s="23" t="s">
        <v>2687</v>
      </c>
      <c r="L2" s="75" t="s">
        <v>3755</v>
      </c>
      <c r="M2" s="57" t="s">
        <v>664</v>
      </c>
      <c r="N2" s="57" t="s">
        <v>4791</v>
      </c>
    </row>
    <row r="3" spans="1:14" ht="27" customHeight="1">
      <c r="A3" s="257" t="s">
        <v>4790</v>
      </c>
      <c r="B3" s="46"/>
      <c r="C3" s="257"/>
      <c r="D3" s="48"/>
      <c r="E3" s="48"/>
      <c r="F3" s="43"/>
      <c r="G3" s="43">
        <v>44926</v>
      </c>
      <c r="H3" s="243"/>
      <c r="I3" s="46"/>
      <c r="J3" s="46"/>
      <c r="K3" s="257" t="s">
        <v>4793</v>
      </c>
      <c r="L3" s="257" t="s">
        <v>9</v>
      </c>
      <c r="M3" s="266"/>
      <c r="N3" s="266">
        <v>51.6</v>
      </c>
    </row>
    <row r="4" spans="1:14" ht="27" customHeight="1">
      <c r="A4" s="143"/>
      <c r="B4" s="143" t="s">
        <v>4794</v>
      </c>
      <c r="C4" s="257"/>
      <c r="D4" s="48"/>
      <c r="E4" s="209"/>
      <c r="F4" s="151"/>
      <c r="G4" s="151">
        <v>47848</v>
      </c>
      <c r="H4" s="262"/>
      <c r="I4" s="262"/>
      <c r="J4" s="188"/>
      <c r="K4" s="257" t="s">
        <v>4793</v>
      </c>
      <c r="L4" s="257" t="s">
        <v>1601</v>
      </c>
      <c r="M4" s="261"/>
      <c r="N4" s="144">
        <v>2</v>
      </c>
    </row>
    <row r="5" spans="1:14" ht="27" customHeight="1">
      <c r="A5" s="257"/>
      <c r="B5" s="143" t="s">
        <v>4794</v>
      </c>
      <c r="C5" s="257"/>
      <c r="D5" s="48"/>
      <c r="E5" s="209"/>
      <c r="F5" s="151"/>
      <c r="G5" s="151">
        <v>44926</v>
      </c>
      <c r="H5" s="262"/>
      <c r="I5" s="262"/>
      <c r="J5" s="188"/>
      <c r="K5" s="257" t="s">
        <v>4793</v>
      </c>
      <c r="L5" s="257" t="s">
        <v>1601</v>
      </c>
      <c r="M5" s="261"/>
      <c r="N5" s="144">
        <v>0.1</v>
      </c>
    </row>
    <row r="6" spans="1:14" ht="27" customHeight="1">
      <c r="A6" s="252"/>
      <c r="B6" s="256" t="s">
        <v>4796</v>
      </c>
      <c r="C6" s="252"/>
      <c r="D6" s="250"/>
      <c r="E6" s="163"/>
      <c r="F6" s="251"/>
      <c r="G6" s="251">
        <v>43465</v>
      </c>
      <c r="H6" s="262"/>
      <c r="I6" s="262"/>
      <c r="J6" s="188"/>
      <c r="K6" s="257" t="s">
        <v>4793</v>
      </c>
      <c r="L6" s="257" t="s">
        <v>1601</v>
      </c>
      <c r="M6" s="258"/>
      <c r="N6" s="258">
        <v>50</v>
      </c>
    </row>
    <row r="7" spans="1:14" ht="27" customHeight="1">
      <c r="A7" s="252"/>
      <c r="B7" s="256" t="s">
        <v>4797</v>
      </c>
      <c r="C7" s="252"/>
      <c r="D7" s="250"/>
      <c r="E7" s="163"/>
      <c r="F7" s="251"/>
      <c r="G7" s="251">
        <v>43465</v>
      </c>
      <c r="H7" s="262"/>
      <c r="I7" s="262"/>
      <c r="J7" s="188"/>
      <c r="K7" s="257" t="s">
        <v>4793</v>
      </c>
      <c r="L7" s="257" t="s">
        <v>9</v>
      </c>
      <c r="M7" s="258"/>
      <c r="N7" s="258">
        <v>21.3</v>
      </c>
    </row>
    <row r="8" spans="1:14" ht="27" customHeight="1">
      <c r="A8" s="252"/>
      <c r="B8" s="252" t="s">
        <v>4798</v>
      </c>
      <c r="C8" s="257"/>
      <c r="D8" s="48"/>
      <c r="E8" s="48"/>
      <c r="F8" s="257"/>
      <c r="G8" s="251">
        <v>43465</v>
      </c>
      <c r="H8" s="252"/>
      <c r="I8" s="252"/>
      <c r="J8" s="252"/>
      <c r="K8" s="257" t="s">
        <v>4793</v>
      </c>
      <c r="L8" s="252" t="s">
        <v>9</v>
      </c>
      <c r="M8" s="268"/>
      <c r="N8" s="268">
        <v>21.3</v>
      </c>
    </row>
    <row r="9" spans="1:14" ht="27" customHeight="1">
      <c r="A9" s="252" t="s">
        <v>4810</v>
      </c>
      <c r="B9" s="252"/>
      <c r="C9" s="257"/>
      <c r="D9" s="48"/>
      <c r="E9" s="48"/>
      <c r="F9" s="257"/>
      <c r="G9" s="172">
        <v>43830</v>
      </c>
      <c r="H9" s="252"/>
      <c r="I9" s="252"/>
      <c r="J9" s="252"/>
      <c r="K9" s="257" t="s">
        <v>4793</v>
      </c>
      <c r="L9" s="252" t="s">
        <v>4813</v>
      </c>
      <c r="M9" s="268"/>
      <c r="N9" s="268">
        <v>115</v>
      </c>
    </row>
    <row r="10" spans="1:14" ht="27" customHeight="1">
      <c r="A10" s="261" t="s">
        <v>4811</v>
      </c>
      <c r="B10" s="260"/>
      <c r="C10" s="257"/>
      <c r="D10" s="260"/>
      <c r="E10" s="257"/>
      <c r="F10" s="156"/>
      <c r="G10" s="156">
        <v>44926</v>
      </c>
      <c r="H10" s="257"/>
      <c r="I10" s="257"/>
      <c r="J10" s="257"/>
      <c r="K10" s="257" t="s">
        <v>4793</v>
      </c>
      <c r="L10" s="252" t="s">
        <v>4812</v>
      </c>
      <c r="M10" s="261"/>
      <c r="N10" s="257">
        <v>1</v>
      </c>
    </row>
    <row r="11" spans="1:14" ht="27" customHeight="1">
      <c r="A11" s="252" t="s">
        <v>4969</v>
      </c>
      <c r="B11" s="27"/>
      <c r="C11" s="252"/>
      <c r="D11" s="250"/>
      <c r="E11" s="250"/>
      <c r="F11" s="251"/>
      <c r="G11" s="251">
        <v>44926</v>
      </c>
      <c r="H11" s="281"/>
      <c r="I11" s="27"/>
      <c r="J11" s="27"/>
      <c r="K11" s="257" t="s">
        <v>4793</v>
      </c>
      <c r="L11" s="27" t="s">
        <v>9</v>
      </c>
      <c r="M11" s="58"/>
      <c r="N11" s="58">
        <v>0.32</v>
      </c>
    </row>
    <row r="12" spans="1:14" ht="27" customHeight="1">
      <c r="A12" s="252" t="s">
        <v>4970</v>
      </c>
      <c r="B12" s="254" t="s">
        <v>4971</v>
      </c>
      <c r="C12" s="252"/>
      <c r="D12" s="261"/>
      <c r="E12" s="261"/>
      <c r="F12" s="138"/>
      <c r="G12" s="138">
        <v>45291</v>
      </c>
      <c r="H12" s="277"/>
      <c r="I12" s="254"/>
      <c r="J12" s="254"/>
      <c r="K12" s="257" t="s">
        <v>4793</v>
      </c>
      <c r="L12" s="257" t="s">
        <v>3</v>
      </c>
      <c r="M12" s="272"/>
      <c r="N12" s="272">
        <v>0.18</v>
      </c>
    </row>
    <row r="13" spans="1:14" s="259" customFormat="1" ht="27" customHeight="1">
      <c r="A13" s="252" t="s">
        <v>5141</v>
      </c>
      <c r="B13" s="256" t="s">
        <v>5142</v>
      </c>
      <c r="C13" s="252"/>
      <c r="D13" s="250"/>
      <c r="E13" s="250"/>
      <c r="F13" s="251"/>
      <c r="G13" s="251">
        <v>44926</v>
      </c>
      <c r="H13" s="282"/>
      <c r="I13" s="256"/>
      <c r="J13" s="256"/>
      <c r="K13" s="257" t="s">
        <v>4793</v>
      </c>
      <c r="L13" s="257" t="s">
        <v>1601</v>
      </c>
      <c r="M13" s="258"/>
      <c r="N13" s="258">
        <v>5</v>
      </c>
    </row>
    <row r="14" spans="1:14" ht="27" customHeight="1">
      <c r="A14" s="252"/>
      <c r="B14" s="257"/>
      <c r="C14" s="252"/>
      <c r="D14" s="250"/>
      <c r="E14" s="250"/>
      <c r="F14" s="137"/>
      <c r="G14" s="137"/>
      <c r="H14" s="188"/>
      <c r="I14" s="257"/>
      <c r="J14" s="257"/>
      <c r="K14" s="257"/>
      <c r="L14" s="27"/>
      <c r="M14" s="268"/>
      <c r="N14" s="268"/>
    </row>
    <row r="15" spans="1:14" ht="27" customHeight="1">
      <c r="A15" s="143"/>
      <c r="B15" s="143"/>
      <c r="C15" s="260"/>
      <c r="D15" s="254"/>
      <c r="E15" s="209"/>
      <c r="F15" s="151"/>
      <c r="G15" s="151"/>
      <c r="H15" s="262"/>
      <c r="I15" s="262"/>
      <c r="J15" s="188"/>
      <c r="K15" s="262"/>
      <c r="L15" s="254"/>
      <c r="M15" s="261"/>
      <c r="N15" s="258"/>
    </row>
    <row r="16" spans="1:14" ht="27" customHeight="1">
      <c r="A16" s="143"/>
      <c r="B16" s="143"/>
      <c r="C16" s="260"/>
      <c r="D16" s="254"/>
      <c r="E16" s="209"/>
      <c r="F16" s="151"/>
      <c r="G16" s="151"/>
      <c r="H16" s="56"/>
      <c r="I16" s="262"/>
      <c r="J16" s="188"/>
      <c r="K16" s="262"/>
      <c r="L16" s="254"/>
      <c r="M16" s="261"/>
      <c r="N16" s="258"/>
    </row>
    <row r="17" spans="1:14" ht="27" customHeight="1">
      <c r="A17" s="252"/>
      <c r="B17" s="257"/>
      <c r="C17" s="252"/>
      <c r="D17" s="250"/>
      <c r="E17" s="250"/>
      <c r="F17" s="137"/>
      <c r="G17" s="137"/>
      <c r="H17" s="188"/>
      <c r="I17" s="257"/>
      <c r="J17" s="257"/>
      <c r="K17" s="257"/>
      <c r="L17" s="27"/>
      <c r="M17" s="268"/>
      <c r="N17" s="268"/>
    </row>
    <row r="18" spans="1:14" ht="27" customHeight="1">
      <c r="A18" s="252"/>
      <c r="B18" s="256"/>
      <c r="C18" s="252"/>
      <c r="D18" s="261"/>
      <c r="E18" s="261"/>
      <c r="F18" s="138"/>
      <c r="G18" s="138"/>
      <c r="H18" s="282"/>
      <c r="I18" s="256"/>
      <c r="J18" s="256"/>
      <c r="K18" s="257"/>
      <c r="L18" s="257"/>
      <c r="M18" s="258"/>
      <c r="N18" s="258"/>
    </row>
    <row r="19" spans="1:14" ht="27" customHeight="1">
      <c r="A19" s="261"/>
      <c r="B19" s="260"/>
      <c r="C19" s="257"/>
      <c r="D19" s="260"/>
      <c r="E19" s="257"/>
      <c r="F19" s="156"/>
      <c r="G19" s="156"/>
      <c r="H19" s="257"/>
      <c r="I19" s="257"/>
      <c r="J19" s="257"/>
      <c r="K19" s="257"/>
      <c r="L19" s="252"/>
      <c r="M19" s="261"/>
      <c r="N19" s="257"/>
    </row>
    <row r="20" spans="1:14" ht="27" customHeight="1">
      <c r="A20" s="27"/>
      <c r="B20" s="27"/>
      <c r="C20" s="252"/>
      <c r="D20" s="29"/>
      <c r="E20" s="29"/>
      <c r="F20" s="251"/>
      <c r="G20" s="251"/>
      <c r="H20" s="281"/>
      <c r="I20" s="27"/>
      <c r="J20" s="27"/>
      <c r="K20" s="257"/>
      <c r="L20" s="27"/>
      <c r="M20" s="58"/>
      <c r="N20" s="58"/>
    </row>
    <row r="21" spans="1:14" ht="27" customHeight="1">
      <c r="A21" s="27"/>
      <c r="B21" s="27"/>
      <c r="C21" s="252"/>
      <c r="D21" s="29"/>
      <c r="E21" s="29"/>
      <c r="F21" s="251"/>
      <c r="G21" s="251"/>
      <c r="H21" s="281"/>
      <c r="I21" s="27"/>
      <c r="J21" s="27"/>
      <c r="K21" s="257"/>
      <c r="L21" s="27"/>
      <c r="M21" s="58"/>
      <c r="N21" s="58"/>
    </row>
    <row r="22" spans="1:14" ht="27" customHeight="1">
      <c r="A22" s="252"/>
      <c r="B22" s="252"/>
      <c r="C22" s="257"/>
      <c r="D22" s="48"/>
      <c r="E22" s="48"/>
      <c r="F22" s="257"/>
      <c r="G22" s="257"/>
      <c r="H22" s="252"/>
      <c r="I22" s="252"/>
      <c r="J22" s="252"/>
      <c r="K22" s="257"/>
      <c r="L22" s="252"/>
      <c r="M22" s="268"/>
      <c r="N22" s="268"/>
    </row>
    <row r="23" spans="1:14" s="342" customFormat="1" ht="27" customHeight="1">
      <c r="A23" s="261"/>
      <c r="B23" s="260"/>
      <c r="C23" s="257"/>
      <c r="D23" s="260"/>
      <c r="E23" s="257"/>
      <c r="F23" s="156"/>
      <c r="G23" s="156"/>
      <c r="H23" s="257"/>
      <c r="I23" s="257"/>
      <c r="J23" s="257"/>
      <c r="K23" s="257"/>
      <c r="L23" s="252"/>
      <c r="M23" s="261"/>
      <c r="N23" s="257"/>
    </row>
    <row r="24" spans="1:14" s="342" customFormat="1" ht="27" customHeight="1">
      <c r="A24" s="27"/>
      <c r="B24" s="27"/>
      <c r="C24" s="252"/>
      <c r="D24" s="250"/>
      <c r="E24" s="250"/>
      <c r="F24" s="43"/>
      <c r="G24" s="43"/>
      <c r="H24" s="27"/>
      <c r="I24" s="27"/>
      <c r="J24" s="27"/>
      <c r="K24" s="257"/>
      <c r="L24" s="27"/>
      <c r="M24" s="58"/>
      <c r="N24" s="58"/>
    </row>
    <row r="25" spans="1:14" s="342" customFormat="1" ht="27" customHeight="1">
      <c r="A25" s="261"/>
      <c r="B25" s="260"/>
      <c r="C25" s="257"/>
      <c r="D25" s="260"/>
      <c r="E25" s="257"/>
      <c r="F25" s="156"/>
      <c r="G25" s="156"/>
      <c r="H25" s="257"/>
      <c r="I25" s="257"/>
      <c r="J25" s="257"/>
      <c r="K25" s="257"/>
      <c r="L25" s="252"/>
      <c r="M25" s="261"/>
      <c r="N25" s="257"/>
    </row>
    <row r="26" spans="1:14" s="342" customFormat="1" ht="27" customHeight="1">
      <c r="A26" s="261"/>
      <c r="B26" s="260"/>
      <c r="C26" s="257"/>
      <c r="D26" s="260"/>
      <c r="E26" s="257"/>
      <c r="F26" s="156"/>
      <c r="G26" s="156"/>
      <c r="H26" s="257"/>
      <c r="I26" s="257"/>
      <c r="J26" s="257"/>
      <c r="K26" s="257"/>
      <c r="L26" s="252"/>
      <c r="M26" s="261"/>
      <c r="N26" s="257"/>
    </row>
    <row r="27" spans="1:14" s="342" customFormat="1" ht="27" customHeight="1">
      <c r="A27" s="252"/>
      <c r="B27" s="256"/>
      <c r="C27" s="252"/>
      <c r="D27" s="250"/>
      <c r="E27" s="163"/>
      <c r="F27" s="251"/>
      <c r="G27" s="251"/>
      <c r="H27" s="262"/>
      <c r="I27" s="262"/>
      <c r="J27" s="257"/>
      <c r="K27" s="262"/>
      <c r="L27" s="257"/>
      <c r="M27" s="258"/>
      <c r="N27" s="144"/>
    </row>
    <row r="28" spans="1:14" s="342" customFormat="1" ht="27" customHeight="1">
      <c r="A28" s="252"/>
      <c r="B28" s="256"/>
      <c r="C28" s="252"/>
      <c r="D28" s="250"/>
      <c r="E28" s="250"/>
      <c r="F28" s="251"/>
      <c r="G28" s="251"/>
      <c r="H28" s="200"/>
      <c r="I28" s="256"/>
      <c r="J28" s="256"/>
      <c r="K28" s="257"/>
      <c r="L28" s="257"/>
      <c r="M28" s="258"/>
      <c r="N28" s="258"/>
    </row>
    <row r="29" spans="1:14" s="342" customFormat="1" ht="27" customHeight="1">
      <c r="A29" s="261"/>
      <c r="B29" s="260"/>
      <c r="C29" s="257"/>
      <c r="D29" s="260"/>
      <c r="E29" s="257"/>
      <c r="F29" s="156"/>
      <c r="G29" s="156"/>
      <c r="H29" s="257"/>
      <c r="I29" s="257"/>
      <c r="J29" s="257"/>
      <c r="K29" s="257"/>
      <c r="L29" s="252"/>
      <c r="M29" s="261"/>
      <c r="N29" s="257"/>
    </row>
    <row r="30" spans="1:14" s="342" customFormat="1" ht="27" customHeight="1">
      <c r="A30" s="252"/>
      <c r="B30" s="257"/>
      <c r="C30" s="252"/>
      <c r="D30" s="48"/>
      <c r="E30" s="48"/>
      <c r="F30" s="49"/>
      <c r="G30" s="49"/>
      <c r="H30" s="188"/>
      <c r="I30" s="257"/>
      <c r="J30" s="257"/>
      <c r="K30" s="257"/>
      <c r="L30" s="257"/>
      <c r="M30" s="266"/>
      <c r="N30" s="266"/>
    </row>
    <row r="31" spans="1:14" s="342" customFormat="1" ht="27" customHeight="1">
      <c r="A31" s="252"/>
      <c r="B31" s="252"/>
      <c r="C31" s="257"/>
      <c r="D31" s="48"/>
      <c r="E31" s="48"/>
      <c r="F31" s="257"/>
      <c r="G31" s="257"/>
      <c r="H31" s="252"/>
      <c r="I31" s="252"/>
      <c r="J31" s="252"/>
      <c r="K31" s="257"/>
      <c r="L31" s="252"/>
      <c r="M31" s="268"/>
      <c r="N31" s="268"/>
    </row>
    <row r="32" spans="1:14" s="342" customFormat="1" ht="27" customHeight="1">
      <c r="A32" s="252"/>
      <c r="B32" s="252"/>
      <c r="C32" s="257"/>
      <c r="D32" s="48"/>
      <c r="E32" s="48"/>
      <c r="F32" s="257"/>
      <c r="G32" s="257"/>
      <c r="H32" s="252"/>
      <c r="I32" s="252"/>
      <c r="J32" s="252"/>
      <c r="K32" s="257"/>
      <c r="L32" s="252"/>
      <c r="M32" s="268"/>
      <c r="N32" s="268"/>
    </row>
    <row r="33" spans="1:14" s="342" customFormat="1" ht="27" customHeight="1">
      <c r="A33" s="252"/>
      <c r="B33" s="252"/>
      <c r="C33" s="257"/>
      <c r="D33" s="48"/>
      <c r="E33" s="48"/>
      <c r="F33" s="257"/>
      <c r="G33" s="257"/>
      <c r="H33" s="252"/>
      <c r="I33" s="252"/>
      <c r="J33" s="252"/>
      <c r="K33" s="257"/>
      <c r="L33" s="252"/>
      <c r="M33" s="268"/>
      <c r="N33" s="268"/>
    </row>
    <row r="34" spans="1:14" s="342" customFormat="1" ht="27" customHeight="1">
      <c r="A34" s="252"/>
      <c r="B34" s="252"/>
      <c r="C34" s="257"/>
      <c r="D34" s="48"/>
      <c r="E34" s="48"/>
      <c r="F34" s="257"/>
      <c r="G34" s="257"/>
      <c r="H34" s="252"/>
      <c r="I34" s="252"/>
      <c r="J34" s="252"/>
      <c r="K34" s="257"/>
      <c r="L34" s="252"/>
      <c r="M34" s="268"/>
      <c r="N34" s="268"/>
    </row>
    <row r="35" spans="1:14" s="342" customFormat="1" ht="27" customHeight="1">
      <c r="A35" s="252"/>
      <c r="B35" s="252"/>
      <c r="C35" s="257"/>
      <c r="D35" s="48"/>
      <c r="E35" s="48"/>
      <c r="F35" s="257"/>
      <c r="G35" s="257"/>
      <c r="H35" s="252"/>
      <c r="I35" s="252"/>
      <c r="J35" s="252"/>
      <c r="K35" s="257"/>
      <c r="L35" s="252"/>
      <c r="M35" s="268"/>
      <c r="N35" s="268"/>
    </row>
    <row r="36" spans="1:14" s="342" customFormat="1" ht="27" customHeight="1">
      <c r="A36" s="252"/>
      <c r="B36" s="252"/>
      <c r="C36" s="257"/>
      <c r="D36" s="48"/>
      <c r="E36" s="48"/>
      <c r="F36" s="257"/>
      <c r="G36" s="257"/>
      <c r="H36" s="252"/>
      <c r="I36" s="252"/>
      <c r="J36" s="252"/>
      <c r="K36" s="257"/>
      <c r="L36" s="252"/>
      <c r="M36" s="268"/>
      <c r="N36" s="268"/>
    </row>
    <row r="37" spans="1:14" ht="27" customHeight="1">
      <c r="A37" s="252"/>
      <c r="B37" s="252"/>
      <c r="C37" s="257"/>
      <c r="D37" s="48"/>
      <c r="E37" s="48"/>
      <c r="F37" s="257"/>
      <c r="G37" s="257"/>
      <c r="H37" s="252"/>
      <c r="I37" s="252"/>
      <c r="J37" s="252"/>
      <c r="K37" s="257"/>
      <c r="L37" s="252"/>
      <c r="M37" s="268"/>
      <c r="N37" s="268"/>
    </row>
    <row r="38" spans="1:14" ht="27" customHeight="1">
      <c r="A38" s="252"/>
      <c r="B38" s="252"/>
      <c r="C38" s="257"/>
      <c r="D38" s="48"/>
      <c r="E38" s="48"/>
      <c r="F38" s="257"/>
      <c r="G38" s="257"/>
      <c r="H38" s="252"/>
      <c r="I38" s="252"/>
      <c r="J38" s="252"/>
      <c r="K38" s="257"/>
      <c r="L38" s="252"/>
      <c r="M38" s="268"/>
      <c r="N38" s="268"/>
    </row>
    <row r="39" spans="1:14" ht="27" customHeight="1">
      <c r="A39" s="252"/>
      <c r="B39" s="252"/>
      <c r="C39" s="257"/>
      <c r="D39" s="48"/>
      <c r="E39" s="48"/>
      <c r="F39" s="257"/>
      <c r="G39" s="257"/>
      <c r="H39" s="252"/>
      <c r="I39" s="252"/>
      <c r="J39" s="252"/>
      <c r="K39" s="257"/>
      <c r="L39" s="252"/>
      <c r="M39" s="268"/>
      <c r="N39" s="268"/>
    </row>
    <row r="40" spans="1:14" ht="27" customHeight="1">
      <c r="A40" s="252"/>
      <c r="B40" s="252"/>
      <c r="C40" s="257"/>
      <c r="D40" s="48"/>
      <c r="E40" s="48"/>
      <c r="F40" s="257"/>
      <c r="G40" s="257"/>
      <c r="H40" s="252"/>
      <c r="I40" s="252"/>
      <c r="J40" s="252"/>
      <c r="K40" s="257"/>
      <c r="L40" s="252"/>
      <c r="M40" s="268"/>
      <c r="N40" s="268"/>
    </row>
    <row r="41" spans="1:14" ht="27" customHeight="1">
      <c r="A41" s="27"/>
      <c r="B41" s="27"/>
      <c r="C41" s="252"/>
      <c r="D41" s="250"/>
      <c r="E41" s="250"/>
      <c r="F41" s="251"/>
      <c r="G41" s="251"/>
      <c r="H41" s="281"/>
      <c r="I41" s="27"/>
      <c r="J41" s="27"/>
      <c r="K41" s="257"/>
      <c r="L41" s="27"/>
      <c r="M41" s="58"/>
      <c r="N41" s="58"/>
    </row>
    <row r="42" spans="1:14" ht="27" customHeight="1">
      <c r="A42" s="252"/>
      <c r="B42" s="252"/>
      <c r="C42" s="257"/>
      <c r="D42" s="48"/>
      <c r="E42" s="48"/>
      <c r="F42" s="257"/>
      <c r="G42" s="257"/>
      <c r="H42" s="252"/>
      <c r="I42" s="252"/>
      <c r="J42" s="252"/>
      <c r="K42" s="257"/>
      <c r="L42" s="252"/>
      <c r="M42" s="268"/>
      <c r="N42" s="268"/>
    </row>
    <row r="43" spans="1:14" ht="27" customHeight="1">
      <c r="A43" s="252"/>
      <c r="B43" s="252"/>
      <c r="C43" s="257"/>
      <c r="D43" s="48"/>
      <c r="E43" s="48"/>
      <c r="F43" s="257"/>
      <c r="G43" s="257"/>
      <c r="H43" s="252"/>
      <c r="I43" s="252"/>
      <c r="J43" s="252"/>
      <c r="K43" s="257"/>
      <c r="L43" s="252"/>
      <c r="M43" s="268"/>
      <c r="N43" s="268"/>
    </row>
    <row r="44" spans="1:14" ht="27" customHeight="1">
      <c r="A44" s="261"/>
      <c r="B44" s="260"/>
      <c r="C44" s="257"/>
      <c r="D44" s="260"/>
      <c r="E44" s="257"/>
      <c r="F44" s="156"/>
      <c r="G44" s="156"/>
      <c r="H44" s="257"/>
      <c r="I44" s="257"/>
      <c r="J44" s="257"/>
      <c r="K44" s="257"/>
      <c r="L44" s="252"/>
      <c r="M44" s="261"/>
      <c r="N44" s="257"/>
    </row>
    <row r="45" spans="1:14" ht="27" customHeight="1">
      <c r="A45" s="252"/>
      <c r="B45" s="46"/>
      <c r="C45" s="252"/>
      <c r="D45" s="48"/>
      <c r="E45" s="48"/>
      <c r="F45" s="43"/>
      <c r="G45" s="43"/>
      <c r="H45" s="46"/>
      <c r="I45" s="46"/>
      <c r="J45" s="46"/>
      <c r="K45" s="257"/>
      <c r="L45" s="257"/>
      <c r="M45" s="270"/>
      <c r="N45" s="270"/>
    </row>
    <row r="46" spans="1:14" ht="27" customHeight="1">
      <c r="A46" s="54"/>
      <c r="B46" s="257"/>
      <c r="C46" s="252"/>
      <c r="D46" s="250"/>
      <c r="E46" s="250"/>
      <c r="F46" s="251"/>
      <c r="G46" s="251"/>
      <c r="H46" s="188"/>
      <c r="I46" s="257"/>
      <c r="J46" s="257"/>
      <c r="K46" s="257"/>
      <c r="L46" s="27"/>
      <c r="M46" s="58"/>
      <c r="N46" s="58"/>
    </row>
    <row r="47" spans="1:14" ht="27" customHeight="1">
      <c r="A47" s="54"/>
      <c r="B47" s="257"/>
      <c r="C47" s="252"/>
      <c r="D47" s="250"/>
      <c r="E47" s="250"/>
      <c r="F47" s="251"/>
      <c r="G47" s="251"/>
      <c r="H47" s="188"/>
      <c r="I47" s="257"/>
      <c r="J47" s="257"/>
      <c r="K47" s="257"/>
      <c r="L47" s="27"/>
      <c r="M47" s="58"/>
      <c r="N47" s="58"/>
    </row>
    <row r="48" spans="1:14" ht="27" customHeight="1">
      <c r="A48" s="54"/>
      <c r="B48" s="257"/>
      <c r="C48" s="252"/>
      <c r="D48" s="250"/>
      <c r="E48" s="250"/>
      <c r="F48" s="251"/>
      <c r="G48" s="251"/>
      <c r="H48" s="188"/>
      <c r="I48" s="257"/>
      <c r="J48" s="257"/>
      <c r="K48" s="257"/>
      <c r="L48" s="27"/>
      <c r="M48" s="58"/>
      <c r="N48" s="58"/>
    </row>
    <row r="49" spans="1:14" ht="27" customHeight="1">
      <c r="A49" s="54"/>
      <c r="B49" s="257"/>
      <c r="C49" s="252"/>
      <c r="D49" s="250"/>
      <c r="E49" s="250"/>
      <c r="F49" s="251"/>
      <c r="G49" s="251"/>
      <c r="H49" s="188"/>
      <c r="I49" s="257"/>
      <c r="J49" s="257"/>
      <c r="K49" s="257"/>
      <c r="L49" s="27"/>
      <c r="M49" s="58"/>
      <c r="N49" s="58"/>
    </row>
    <row r="50" spans="1:14" ht="27" customHeight="1">
      <c r="A50" s="54"/>
      <c r="B50" s="257"/>
      <c r="C50" s="252"/>
      <c r="D50" s="250"/>
      <c r="E50" s="250"/>
      <c r="F50" s="251"/>
      <c r="G50" s="251"/>
      <c r="H50" s="188"/>
      <c r="I50" s="257"/>
      <c r="J50" s="257"/>
      <c r="K50" s="257"/>
      <c r="L50" s="27"/>
      <c r="M50" s="58"/>
      <c r="N50" s="58"/>
    </row>
    <row r="51" spans="1:14" ht="27" customHeight="1">
      <c r="A51" s="261"/>
      <c r="B51" s="260"/>
      <c r="C51" s="257"/>
      <c r="D51" s="260"/>
      <c r="E51" s="257"/>
      <c r="F51" s="156"/>
      <c r="G51" s="156"/>
      <c r="H51" s="257"/>
      <c r="I51" s="257"/>
      <c r="J51" s="257"/>
      <c r="K51" s="257"/>
      <c r="L51" s="252"/>
      <c r="M51" s="261"/>
      <c r="N51" s="257"/>
    </row>
    <row r="52" spans="1:14" ht="27" customHeight="1">
      <c r="A52" s="261"/>
      <c r="B52" s="260"/>
      <c r="C52" s="257"/>
      <c r="D52" s="260"/>
      <c r="E52" s="257"/>
      <c r="F52" s="156"/>
      <c r="G52" s="156"/>
      <c r="H52" s="257"/>
      <c r="I52" s="257"/>
      <c r="J52" s="257"/>
      <c r="K52" s="257"/>
      <c r="L52" s="252"/>
      <c r="M52" s="261"/>
      <c r="N52" s="257"/>
    </row>
    <row r="53" spans="1:14" ht="27" customHeight="1">
      <c r="A53" s="54"/>
      <c r="B53" s="257"/>
      <c r="C53" s="252"/>
      <c r="D53" s="250"/>
      <c r="E53" s="250"/>
      <c r="F53" s="251"/>
      <c r="G53" s="251"/>
      <c r="H53" s="188"/>
      <c r="I53" s="257"/>
      <c r="J53" s="257"/>
      <c r="K53" s="257"/>
      <c r="L53" s="27"/>
      <c r="M53" s="58"/>
      <c r="N53" s="58"/>
    </row>
    <row r="54" spans="1:14" ht="27" customHeight="1">
      <c r="A54" s="261"/>
      <c r="B54" s="260"/>
      <c r="C54" s="257"/>
      <c r="D54" s="260"/>
      <c r="E54" s="257"/>
      <c r="F54" s="156"/>
      <c r="G54" s="156"/>
      <c r="H54" s="257"/>
      <c r="I54" s="257"/>
      <c r="J54" s="257"/>
      <c r="K54" s="257"/>
      <c r="L54" s="252"/>
      <c r="M54" s="261"/>
      <c r="N54" s="257"/>
    </row>
    <row r="55" spans="1:14" ht="27" customHeight="1">
      <c r="A55" s="261"/>
      <c r="B55" s="260"/>
      <c r="C55" s="257"/>
      <c r="D55" s="260"/>
      <c r="E55" s="257"/>
      <c r="F55" s="156"/>
      <c r="G55" s="156"/>
      <c r="H55" s="257"/>
      <c r="I55" s="257"/>
      <c r="J55" s="257"/>
      <c r="K55" s="257"/>
      <c r="L55" s="252"/>
      <c r="M55" s="261"/>
      <c r="N55" s="257"/>
    </row>
    <row r="56" spans="1:14" ht="27" customHeight="1">
      <c r="A56" s="261"/>
      <c r="B56" s="260"/>
      <c r="C56" s="257"/>
      <c r="D56" s="260"/>
      <c r="E56" s="257"/>
      <c r="F56" s="156"/>
      <c r="G56" s="156"/>
      <c r="H56" s="257"/>
      <c r="I56" s="257"/>
      <c r="J56" s="257"/>
      <c r="K56" s="257"/>
      <c r="L56" s="252"/>
      <c r="M56" s="261"/>
      <c r="N56" s="257"/>
    </row>
    <row r="57" spans="1:14" ht="27" customHeight="1">
      <c r="A57" s="252"/>
      <c r="B57" s="252"/>
      <c r="C57" s="257"/>
      <c r="D57" s="48"/>
      <c r="E57" s="48"/>
      <c r="F57" s="257"/>
      <c r="G57" s="257"/>
      <c r="H57" s="252"/>
      <c r="I57" s="252"/>
      <c r="J57" s="252"/>
      <c r="K57" s="257"/>
      <c r="L57" s="252"/>
      <c r="M57" s="268"/>
      <c r="N57" s="268"/>
    </row>
    <row r="58" spans="1:14" ht="27" customHeight="1">
      <c r="A58" s="252"/>
      <c r="B58" s="252"/>
      <c r="C58" s="257"/>
      <c r="D58" s="48"/>
      <c r="E58" s="48"/>
      <c r="F58" s="257"/>
      <c r="G58" s="257"/>
      <c r="H58" s="252"/>
      <c r="I58" s="252"/>
      <c r="J58" s="252"/>
      <c r="K58" s="257"/>
      <c r="L58" s="252"/>
      <c r="M58" s="268"/>
      <c r="N58" s="268"/>
    </row>
    <row r="59" spans="1:14" ht="27" customHeight="1">
      <c r="A59" s="261"/>
      <c r="B59" s="260"/>
      <c r="C59" s="257"/>
      <c r="D59" s="260"/>
      <c r="E59" s="257"/>
      <c r="F59" s="156"/>
      <c r="G59" s="156"/>
      <c r="H59" s="257"/>
      <c r="I59" s="257"/>
      <c r="J59" s="257"/>
      <c r="K59" s="257"/>
      <c r="L59" s="252"/>
      <c r="M59" s="261"/>
      <c r="N59" s="257"/>
    </row>
    <row r="60" spans="1:14" ht="27" customHeight="1">
      <c r="A60" s="252"/>
      <c r="B60" s="257"/>
      <c r="C60" s="252"/>
      <c r="D60" s="250"/>
      <c r="E60" s="250"/>
      <c r="F60" s="251"/>
      <c r="G60" s="251"/>
      <c r="H60" s="188"/>
      <c r="I60" s="257"/>
      <c r="J60" s="257"/>
      <c r="K60" s="257"/>
      <c r="L60" s="257"/>
      <c r="M60" s="268"/>
      <c r="N60" s="268"/>
    </row>
    <row r="61" spans="1:14" ht="27" customHeight="1">
      <c r="A61" s="143"/>
      <c r="B61" s="143"/>
      <c r="C61" s="252"/>
      <c r="D61" s="257"/>
      <c r="E61" s="209"/>
      <c r="F61" s="151"/>
      <c r="G61" s="151"/>
      <c r="H61" s="262"/>
      <c r="I61" s="262"/>
      <c r="J61" s="188"/>
      <c r="K61" s="262"/>
      <c r="L61" s="257"/>
      <c r="M61" s="261"/>
      <c r="N61" s="258"/>
    </row>
    <row r="62" spans="1:14" ht="27" customHeight="1">
      <c r="A62" s="261"/>
      <c r="B62" s="260"/>
      <c r="C62" s="257"/>
      <c r="D62" s="260"/>
      <c r="E62" s="257"/>
      <c r="F62" s="156"/>
      <c r="G62" s="156"/>
      <c r="H62" s="257"/>
      <c r="I62" s="257"/>
      <c r="J62" s="257"/>
      <c r="K62" s="257"/>
      <c r="L62" s="252"/>
      <c r="M62" s="261"/>
      <c r="N62" s="257"/>
    </row>
    <row r="63" spans="1:14" ht="27" customHeight="1">
      <c r="A63" s="252"/>
      <c r="B63" s="256"/>
      <c r="C63" s="252"/>
      <c r="D63" s="250"/>
      <c r="E63" s="250"/>
      <c r="F63" s="251"/>
      <c r="G63" s="251"/>
      <c r="H63" s="282"/>
      <c r="I63" s="256"/>
      <c r="J63" s="256"/>
      <c r="K63" s="257"/>
      <c r="L63" s="257"/>
      <c r="M63" s="258"/>
      <c r="N63" s="258"/>
    </row>
    <row r="64" spans="1:14" ht="27" customHeight="1">
      <c r="A64" s="257"/>
      <c r="B64" s="256"/>
      <c r="C64" s="257"/>
      <c r="D64" s="250"/>
      <c r="E64" s="250"/>
      <c r="F64" s="251"/>
      <c r="G64" s="251"/>
      <c r="H64" s="282"/>
      <c r="I64" s="256"/>
      <c r="J64" s="256"/>
      <c r="K64" s="257"/>
      <c r="L64" s="257"/>
      <c r="M64" s="258"/>
      <c r="N64" s="258"/>
    </row>
    <row r="65" spans="1:14" ht="27" customHeight="1">
      <c r="A65" s="257"/>
      <c r="B65" s="256"/>
      <c r="C65" s="257"/>
      <c r="D65" s="250"/>
      <c r="E65" s="250"/>
      <c r="F65" s="251"/>
      <c r="G65" s="251"/>
      <c r="H65" s="282"/>
      <c r="I65" s="256"/>
      <c r="J65" s="256"/>
      <c r="K65" s="257"/>
      <c r="L65" s="257"/>
      <c r="M65" s="258"/>
      <c r="N65" s="258"/>
    </row>
    <row r="66" spans="1:14" ht="27" customHeight="1">
      <c r="A66" s="257"/>
      <c r="B66" s="256"/>
      <c r="C66" s="257"/>
      <c r="D66" s="250"/>
      <c r="E66" s="250"/>
      <c r="F66" s="251"/>
      <c r="G66" s="251"/>
      <c r="H66" s="282"/>
      <c r="I66" s="256"/>
      <c r="J66" s="256"/>
      <c r="K66" s="257"/>
      <c r="L66" s="257"/>
      <c r="M66" s="258"/>
      <c r="N66" s="258"/>
    </row>
    <row r="67" spans="1:14" ht="27" customHeight="1">
      <c r="A67" s="261"/>
      <c r="B67" s="260"/>
      <c r="C67" s="257"/>
      <c r="D67" s="260"/>
      <c r="E67" s="257"/>
      <c r="F67" s="156"/>
      <c r="G67" s="156"/>
      <c r="H67" s="257"/>
      <c r="I67" s="257"/>
      <c r="J67" s="257"/>
      <c r="K67" s="257"/>
      <c r="L67" s="252"/>
      <c r="M67" s="261"/>
      <c r="N67" s="257"/>
    </row>
    <row r="68" spans="1:14" ht="27" customHeight="1">
      <c r="A68" s="261"/>
      <c r="B68" s="260"/>
      <c r="C68" s="257"/>
      <c r="D68" s="260"/>
      <c r="E68" s="257"/>
      <c r="F68" s="156"/>
      <c r="G68" s="156"/>
      <c r="H68" s="257"/>
      <c r="I68" s="257"/>
      <c r="J68" s="257"/>
      <c r="K68" s="257"/>
      <c r="L68" s="252"/>
      <c r="M68" s="261"/>
      <c r="N68" s="257"/>
    </row>
    <row r="69" spans="1:14" ht="27" customHeight="1">
      <c r="A69" s="261"/>
      <c r="B69" s="260"/>
      <c r="C69" s="257"/>
      <c r="D69" s="260"/>
      <c r="E69" s="257"/>
      <c r="F69" s="156"/>
      <c r="G69" s="156"/>
      <c r="H69" s="257"/>
      <c r="I69" s="257"/>
      <c r="J69" s="257"/>
      <c r="K69" s="257"/>
      <c r="L69" s="252"/>
      <c r="M69" s="261"/>
      <c r="N69" s="257"/>
    </row>
    <row r="70" spans="1:14" ht="27" customHeight="1">
      <c r="A70" s="252"/>
      <c r="B70" s="46"/>
      <c r="C70" s="252"/>
      <c r="D70" s="250"/>
      <c r="E70" s="250"/>
      <c r="F70" s="43"/>
      <c r="G70" s="43"/>
      <c r="H70" s="243"/>
      <c r="I70" s="46"/>
      <c r="J70" s="46"/>
      <c r="K70" s="257"/>
      <c r="L70" s="257"/>
      <c r="M70" s="258"/>
      <c r="N70" s="258"/>
    </row>
    <row r="71" spans="1:14" s="259" customFormat="1" ht="27" customHeight="1">
      <c r="A71" s="252"/>
      <c r="B71" s="256"/>
      <c r="C71" s="260"/>
      <c r="D71" s="250"/>
      <c r="E71" s="163"/>
      <c r="F71" s="251"/>
      <c r="G71" s="251"/>
      <c r="H71" s="262"/>
      <c r="I71" s="262"/>
      <c r="J71" s="188"/>
      <c r="K71" s="262"/>
      <c r="L71" s="257"/>
      <c r="M71" s="258"/>
      <c r="N71" s="258"/>
    </row>
    <row r="72" spans="1:14" ht="27" customHeight="1">
      <c r="A72" s="27"/>
      <c r="B72" s="52"/>
      <c r="C72" s="252"/>
      <c r="D72" s="53"/>
      <c r="E72" s="53"/>
      <c r="F72" s="50"/>
      <c r="G72" s="50"/>
      <c r="H72" s="276"/>
      <c r="I72" s="52"/>
      <c r="J72" s="52"/>
      <c r="K72" s="257"/>
      <c r="L72" s="27"/>
      <c r="M72" s="58"/>
      <c r="N72" s="58"/>
    </row>
    <row r="73" spans="1:14" ht="27" customHeight="1">
      <c r="A73" s="261"/>
      <c r="B73" s="260"/>
      <c r="C73" s="257"/>
      <c r="D73" s="260"/>
      <c r="E73" s="257"/>
      <c r="F73" s="156"/>
      <c r="G73" s="156"/>
      <c r="H73" s="257"/>
      <c r="I73" s="257"/>
      <c r="J73" s="257"/>
      <c r="K73" s="257"/>
      <c r="L73" s="252"/>
      <c r="M73" s="261"/>
      <c r="N73" s="257"/>
    </row>
    <row r="74" spans="1:14" ht="27" customHeight="1">
      <c r="A74" s="143"/>
      <c r="B74" s="143"/>
      <c r="C74" s="260"/>
      <c r="D74" s="254"/>
      <c r="E74" s="209"/>
      <c r="F74" s="151"/>
      <c r="G74" s="151"/>
      <c r="H74" s="262"/>
      <c r="I74" s="262"/>
      <c r="J74" s="188"/>
      <c r="K74" s="257"/>
      <c r="L74" s="257"/>
      <c r="M74" s="250"/>
      <c r="N74" s="258"/>
    </row>
    <row r="75" spans="1:14" ht="27" customHeight="1">
      <c r="A75" s="27"/>
      <c r="B75" s="27"/>
      <c r="C75" s="252"/>
      <c r="D75" s="250"/>
      <c r="E75" s="250"/>
      <c r="F75" s="43"/>
      <c r="G75" s="43"/>
      <c r="H75" s="27"/>
      <c r="I75" s="27"/>
      <c r="J75" s="27"/>
      <c r="K75" s="257"/>
      <c r="L75" s="27"/>
      <c r="M75" s="58"/>
      <c r="N75" s="58"/>
    </row>
    <row r="76" spans="1:14" ht="27" customHeight="1">
      <c r="A76" s="252"/>
      <c r="B76" s="46"/>
      <c r="C76" s="252"/>
      <c r="D76" s="48"/>
      <c r="E76" s="48"/>
      <c r="F76" s="43"/>
      <c r="G76" s="43"/>
      <c r="H76" s="243"/>
      <c r="I76" s="46"/>
      <c r="J76" s="46"/>
      <c r="K76" s="257"/>
      <c r="L76" s="257"/>
      <c r="M76" s="266"/>
      <c r="N76" s="266"/>
    </row>
    <row r="77" spans="1:14" ht="27" customHeight="1">
      <c r="A77" s="261"/>
      <c r="B77" s="260"/>
      <c r="C77" s="257"/>
      <c r="D77" s="260"/>
      <c r="E77" s="257"/>
      <c r="F77" s="156"/>
      <c r="G77" s="156"/>
      <c r="H77" s="257"/>
      <c r="I77" s="257"/>
      <c r="J77" s="257"/>
      <c r="K77" s="257"/>
      <c r="L77" s="252"/>
      <c r="M77" s="261"/>
      <c r="N77" s="257"/>
    </row>
    <row r="78" spans="1:14" ht="27" customHeight="1">
      <c r="A78" s="27"/>
      <c r="B78" s="27"/>
      <c r="C78" s="252"/>
      <c r="D78" s="250"/>
      <c r="E78" s="250"/>
      <c r="F78" s="43"/>
      <c r="G78" s="43"/>
      <c r="H78" s="27"/>
      <c r="I78" s="27"/>
      <c r="J78" s="27"/>
      <c r="K78" s="257"/>
      <c r="L78" s="27"/>
      <c r="M78" s="58"/>
      <c r="N78" s="58"/>
    </row>
    <row r="79" spans="1:14" ht="27" customHeight="1">
      <c r="A79" s="143"/>
      <c r="B79" s="143"/>
      <c r="C79" s="260"/>
      <c r="D79" s="254"/>
      <c r="E79" s="209"/>
      <c r="F79" s="151"/>
      <c r="G79" s="151"/>
      <c r="H79" s="252"/>
      <c r="I79" s="252"/>
      <c r="J79" s="188"/>
      <c r="K79" s="257"/>
      <c r="L79" s="257"/>
      <c r="M79" s="250"/>
      <c r="N79" s="258"/>
    </row>
    <row r="80" spans="1:14" ht="27" customHeight="1">
      <c r="A80" s="27"/>
      <c r="B80" s="27"/>
      <c r="C80" s="252"/>
      <c r="D80" s="250"/>
      <c r="E80" s="250"/>
      <c r="F80" s="251"/>
      <c r="G80" s="251"/>
      <c r="H80" s="281"/>
      <c r="I80" s="27"/>
      <c r="J80" s="27"/>
      <c r="K80" s="257"/>
      <c r="L80" s="252"/>
      <c r="M80" s="58"/>
      <c r="N80" s="58"/>
    </row>
    <row r="81" spans="1:14" ht="27" customHeight="1">
      <c r="A81" s="27"/>
      <c r="B81" s="27"/>
      <c r="C81" s="252"/>
      <c r="D81" s="250"/>
      <c r="E81" s="250"/>
      <c r="F81" s="251"/>
      <c r="G81" s="251"/>
      <c r="H81" s="281"/>
      <c r="I81" s="27"/>
      <c r="J81" s="27"/>
      <c r="K81" s="257"/>
      <c r="L81" s="27"/>
      <c r="M81" s="58"/>
      <c r="N81" s="58"/>
    </row>
    <row r="82" spans="1:14" ht="27" customHeight="1">
      <c r="A82" s="252"/>
      <c r="B82" s="257"/>
      <c r="C82" s="252"/>
      <c r="D82" s="29"/>
      <c r="E82" s="37"/>
      <c r="F82" s="251"/>
      <c r="G82" s="251"/>
      <c r="H82" s="188"/>
      <c r="I82" s="257"/>
      <c r="J82" s="257"/>
      <c r="K82" s="257"/>
      <c r="L82" s="27"/>
      <c r="M82" s="58"/>
      <c r="N82" s="58"/>
    </row>
    <row r="83" spans="1:14" ht="27" customHeight="1">
      <c r="A83" s="261"/>
      <c r="B83" s="260"/>
      <c r="C83" s="257"/>
      <c r="D83" s="260"/>
      <c r="E83" s="257"/>
      <c r="F83" s="156"/>
      <c r="G83" s="156"/>
      <c r="H83" s="257"/>
      <c r="I83" s="257"/>
      <c r="J83" s="257"/>
      <c r="K83" s="257"/>
      <c r="L83" s="252"/>
      <c r="M83" s="261"/>
      <c r="N83" s="257"/>
    </row>
    <row r="84" spans="1:14" ht="27" customHeight="1">
      <c r="A84" s="252"/>
      <c r="B84" s="257"/>
      <c r="C84" s="252"/>
      <c r="D84" s="48"/>
      <c r="E84" s="48"/>
      <c r="F84" s="49"/>
      <c r="G84" s="49"/>
      <c r="H84" s="188"/>
      <c r="I84" s="257"/>
      <c r="J84" s="257"/>
      <c r="K84" s="257"/>
      <c r="L84" s="257"/>
      <c r="M84" s="266"/>
      <c r="N84" s="266"/>
    </row>
    <row r="85" spans="1:14" ht="27" customHeight="1">
      <c r="A85" s="261"/>
      <c r="B85" s="260"/>
      <c r="C85" s="257"/>
      <c r="D85" s="260"/>
      <c r="E85" s="257"/>
      <c r="F85" s="156"/>
      <c r="G85" s="156"/>
      <c r="H85" s="257"/>
      <c r="I85" s="257"/>
      <c r="J85" s="257"/>
      <c r="K85" s="257"/>
      <c r="L85" s="252"/>
      <c r="M85" s="261"/>
      <c r="N85" s="257"/>
    </row>
    <row r="86" spans="1:14" ht="27" customHeight="1">
      <c r="A86" s="27"/>
      <c r="B86" s="27"/>
      <c r="C86" s="252"/>
      <c r="D86" s="250"/>
      <c r="E86" s="250"/>
      <c r="F86" s="43"/>
      <c r="G86" s="43"/>
      <c r="H86" s="27"/>
      <c r="I86" s="27"/>
      <c r="J86" s="27"/>
      <c r="K86" s="257"/>
      <c r="L86" s="27"/>
      <c r="M86" s="58"/>
      <c r="N86" s="58"/>
    </row>
    <row r="87" spans="1:14" ht="27" customHeight="1">
      <c r="A87" s="27"/>
      <c r="B87" s="27"/>
      <c r="C87" s="252"/>
      <c r="D87" s="250"/>
      <c r="E87" s="250"/>
      <c r="F87" s="251"/>
      <c r="G87" s="251"/>
      <c r="H87" s="281"/>
      <c r="I87" s="27"/>
      <c r="J87" s="27"/>
      <c r="K87" s="257"/>
      <c r="L87" s="27"/>
      <c r="M87" s="58"/>
      <c r="N87" s="58"/>
    </row>
    <row r="88" spans="1:14" ht="27" customHeight="1">
      <c r="A88" s="54"/>
      <c r="B88" s="257"/>
      <c r="C88" s="252"/>
      <c r="D88" s="250"/>
      <c r="E88" s="250"/>
      <c r="F88" s="251"/>
      <c r="G88" s="251"/>
      <c r="H88" s="188"/>
      <c r="I88" s="257"/>
      <c r="J88" s="257"/>
      <c r="K88" s="257"/>
      <c r="L88" s="27"/>
      <c r="M88" s="258"/>
      <c r="N88" s="258"/>
    </row>
    <row r="89" spans="1:14" ht="27" customHeight="1">
      <c r="A89" s="27"/>
      <c r="B89" s="27"/>
      <c r="C89" s="252"/>
      <c r="D89" s="250"/>
      <c r="E89" s="139"/>
      <c r="F89" s="251"/>
      <c r="G89" s="251"/>
      <c r="H89" s="281"/>
      <c r="I89" s="27"/>
      <c r="J89" s="27"/>
      <c r="K89" s="257"/>
      <c r="L89" s="27"/>
      <c r="M89" s="58"/>
      <c r="N89" s="58"/>
    </row>
    <row r="90" spans="1:14" ht="27" customHeight="1">
      <c r="A90" s="27"/>
      <c r="B90" s="27"/>
      <c r="C90" s="252"/>
      <c r="D90" s="250"/>
      <c r="E90" s="250"/>
      <c r="F90" s="251"/>
      <c r="G90" s="251"/>
      <c r="H90" s="281"/>
      <c r="I90" s="27"/>
      <c r="J90" s="27"/>
      <c r="K90" s="257"/>
      <c r="L90" s="27"/>
      <c r="M90" s="58"/>
      <c r="N90" s="58"/>
    </row>
    <row r="91" spans="1:14" ht="27" customHeight="1">
      <c r="A91" s="143"/>
      <c r="B91" s="143"/>
      <c r="C91" s="252"/>
      <c r="D91" s="257"/>
      <c r="E91" s="209"/>
      <c r="F91" s="151"/>
      <c r="G91" s="151"/>
      <c r="H91" s="262"/>
      <c r="I91" s="262"/>
      <c r="J91" s="188"/>
      <c r="K91" s="262"/>
      <c r="L91" s="257"/>
      <c r="M91" s="261"/>
      <c r="N91" s="258"/>
    </row>
    <row r="92" spans="1:14" ht="27" customHeight="1">
      <c r="A92" s="143"/>
      <c r="B92" s="143"/>
      <c r="C92" s="252"/>
      <c r="D92" s="257"/>
      <c r="E92" s="209"/>
      <c r="F92" s="151"/>
      <c r="G92" s="151"/>
      <c r="H92" s="262"/>
      <c r="I92" s="262"/>
      <c r="J92" s="252"/>
      <c r="K92" s="262"/>
      <c r="L92" s="257"/>
      <c r="M92" s="261"/>
      <c r="N92" s="252"/>
    </row>
    <row r="93" spans="1:14" ht="27" customHeight="1">
      <c r="A93" s="252"/>
      <c r="B93" s="257"/>
      <c r="C93" s="252"/>
      <c r="D93" s="250"/>
      <c r="E93" s="250"/>
      <c r="F93" s="251"/>
      <c r="G93" s="251"/>
      <c r="H93" s="188"/>
      <c r="I93" s="257"/>
      <c r="J93" s="257"/>
      <c r="K93" s="257"/>
      <c r="L93" s="252"/>
      <c r="M93" s="268"/>
      <c r="N93" s="268"/>
    </row>
    <row r="94" spans="1:14" ht="25.5" customHeight="1">
      <c r="A94" s="252"/>
      <c r="B94" s="252"/>
      <c r="C94" s="257"/>
      <c r="D94" s="48"/>
      <c r="E94" s="48"/>
      <c r="F94" s="257"/>
      <c r="G94" s="257"/>
      <c r="H94" s="252"/>
      <c r="I94" s="252"/>
      <c r="J94" s="252"/>
      <c r="K94" s="257"/>
      <c r="L94" s="252"/>
      <c r="M94" s="268"/>
      <c r="N94" s="268"/>
    </row>
    <row r="95" spans="1:14" ht="27" customHeight="1">
      <c r="A95" s="27"/>
      <c r="B95" s="27"/>
      <c r="C95" s="252"/>
      <c r="D95" s="29"/>
      <c r="E95" s="29"/>
      <c r="F95" s="251"/>
      <c r="G95" s="251"/>
      <c r="H95" s="281"/>
      <c r="I95" s="39"/>
      <c r="J95" s="39"/>
      <c r="K95" s="257"/>
      <c r="L95" s="252"/>
      <c r="M95" s="58"/>
      <c r="N95" s="58"/>
    </row>
    <row r="96" spans="1:14" ht="27" customHeight="1">
      <c r="A96" s="252"/>
      <c r="B96" s="257"/>
      <c r="C96" s="252"/>
      <c r="D96" s="250"/>
      <c r="E96" s="250"/>
      <c r="F96" s="251"/>
      <c r="G96" s="251"/>
      <c r="H96" s="188"/>
      <c r="I96" s="257"/>
      <c r="J96" s="257"/>
      <c r="K96" s="257"/>
      <c r="L96" s="27"/>
      <c r="M96" s="268"/>
      <c r="N96" s="268"/>
    </row>
    <row r="97" spans="1:14" ht="27" customHeight="1">
      <c r="A97" s="261"/>
      <c r="B97" s="260"/>
      <c r="C97" s="257"/>
      <c r="D97" s="260"/>
      <c r="E97" s="257"/>
      <c r="F97" s="156"/>
      <c r="G97" s="156"/>
      <c r="H97" s="257"/>
      <c r="I97" s="257"/>
      <c r="J97" s="257"/>
      <c r="K97" s="257"/>
      <c r="L97" s="252"/>
      <c r="M97" s="261"/>
      <c r="N97" s="257"/>
    </row>
    <row r="98" spans="1:14" ht="27" customHeight="1">
      <c r="A98" s="261"/>
      <c r="B98" s="260"/>
      <c r="C98" s="257"/>
      <c r="D98" s="260"/>
      <c r="E98" s="257"/>
      <c r="F98" s="156"/>
      <c r="G98" s="156"/>
      <c r="H98" s="257"/>
      <c r="I98" s="257"/>
      <c r="J98" s="257"/>
      <c r="K98" s="257"/>
      <c r="L98" s="252"/>
      <c r="M98" s="261"/>
      <c r="N98" s="257"/>
    </row>
    <row r="99" spans="1:14" ht="27" customHeight="1">
      <c r="A99" s="261"/>
      <c r="B99" s="260"/>
      <c r="C99" s="257"/>
      <c r="D99" s="260"/>
      <c r="E99" s="257"/>
      <c r="F99" s="156"/>
      <c r="G99" s="156"/>
      <c r="H99" s="257"/>
      <c r="I99" s="257"/>
      <c r="J99" s="257"/>
      <c r="K99" s="257"/>
      <c r="L99" s="252"/>
      <c r="M99" s="261"/>
      <c r="N99" s="257"/>
    </row>
    <row r="100" spans="1:14" ht="27" customHeight="1">
      <c r="A100" s="261"/>
      <c r="B100" s="260"/>
      <c r="C100" s="257"/>
      <c r="D100" s="260"/>
      <c r="E100" s="257"/>
      <c r="F100" s="156"/>
      <c r="G100" s="156"/>
      <c r="H100" s="257"/>
      <c r="I100" s="257"/>
      <c r="J100" s="257"/>
      <c r="K100" s="257"/>
      <c r="L100" s="252"/>
      <c r="M100" s="261"/>
      <c r="N100" s="257"/>
    </row>
    <row r="101" spans="1:14" ht="27" customHeight="1">
      <c r="A101" s="261"/>
      <c r="B101" s="260"/>
      <c r="C101" s="257"/>
      <c r="D101" s="260"/>
      <c r="E101" s="257"/>
      <c r="F101" s="156"/>
      <c r="G101" s="156"/>
      <c r="H101" s="257"/>
      <c r="I101" s="257"/>
      <c r="J101" s="257"/>
      <c r="K101" s="257"/>
      <c r="L101" s="252"/>
      <c r="M101" s="261"/>
      <c r="N101" s="257"/>
    </row>
    <row r="102" spans="1:14" ht="27" customHeight="1">
      <c r="A102" s="261"/>
      <c r="B102" s="260"/>
      <c r="C102" s="257"/>
      <c r="D102" s="260"/>
      <c r="E102" s="257"/>
      <c r="F102" s="156"/>
      <c r="G102" s="156"/>
      <c r="H102" s="257"/>
      <c r="I102" s="257"/>
      <c r="J102" s="257"/>
      <c r="K102" s="257"/>
      <c r="L102" s="252"/>
      <c r="M102" s="261"/>
      <c r="N102" s="257"/>
    </row>
    <row r="103" spans="1:14" ht="27" customHeight="1">
      <c r="A103" s="261"/>
      <c r="B103" s="260"/>
      <c r="C103" s="257"/>
      <c r="D103" s="260"/>
      <c r="E103" s="257"/>
      <c r="F103" s="156"/>
      <c r="G103" s="156"/>
      <c r="H103" s="257"/>
      <c r="I103" s="257"/>
      <c r="J103" s="257"/>
      <c r="K103" s="257"/>
      <c r="L103" s="252"/>
      <c r="M103" s="261"/>
      <c r="N103" s="257"/>
    </row>
    <row r="104" spans="1:14" s="259" customFormat="1" ht="27" customHeight="1">
      <c r="A104" s="261"/>
      <c r="B104" s="260"/>
      <c r="C104" s="257"/>
      <c r="D104" s="260"/>
      <c r="E104" s="257"/>
      <c r="F104" s="156"/>
      <c r="G104" s="156"/>
      <c r="H104" s="257"/>
      <c r="I104" s="257"/>
      <c r="J104" s="257"/>
      <c r="K104" s="257"/>
      <c r="L104" s="252"/>
      <c r="M104" s="261"/>
      <c r="N104" s="257"/>
    </row>
    <row r="105" spans="1:14" s="259" customFormat="1" ht="27" customHeight="1">
      <c r="A105" s="261"/>
      <c r="B105" s="260"/>
      <c r="C105" s="257"/>
      <c r="D105" s="260"/>
      <c r="E105" s="257"/>
      <c r="F105" s="156"/>
      <c r="G105" s="156"/>
      <c r="H105" s="257"/>
      <c r="I105" s="257"/>
      <c r="J105" s="257"/>
      <c r="K105" s="257"/>
      <c r="L105" s="252"/>
      <c r="M105" s="261"/>
      <c r="N105" s="257"/>
    </row>
    <row r="106" spans="1:14" s="259" customFormat="1" ht="27" customHeight="1">
      <c r="A106" s="252"/>
      <c r="B106" s="252"/>
      <c r="C106" s="257"/>
      <c r="D106" s="48"/>
      <c r="E106" s="48"/>
      <c r="F106" s="257"/>
      <c r="G106" s="257"/>
      <c r="H106" s="252"/>
      <c r="I106" s="252"/>
      <c r="J106" s="252"/>
      <c r="K106" s="257"/>
      <c r="L106" s="252"/>
      <c r="M106" s="268"/>
      <c r="N106" s="268"/>
    </row>
    <row r="107" spans="1:14" ht="27" customHeight="1">
      <c r="A107" s="252"/>
      <c r="B107" s="252"/>
      <c r="C107" s="257"/>
      <c r="D107" s="48"/>
      <c r="E107" s="48"/>
      <c r="F107" s="257"/>
      <c r="G107" s="257"/>
      <c r="H107" s="252"/>
      <c r="I107" s="252"/>
      <c r="J107" s="252"/>
      <c r="K107" s="257"/>
      <c r="L107" s="252"/>
      <c r="M107" s="268"/>
      <c r="N107" s="268"/>
    </row>
    <row r="108" spans="1:14" ht="27" customHeight="1">
      <c r="A108" s="54"/>
      <c r="B108" s="257"/>
      <c r="C108" s="252"/>
      <c r="D108" s="250"/>
      <c r="E108" s="250"/>
      <c r="F108" s="251"/>
      <c r="G108" s="251"/>
      <c r="H108" s="188"/>
      <c r="I108" s="257"/>
      <c r="J108" s="257"/>
      <c r="K108" s="257"/>
      <c r="L108" s="27"/>
      <c r="M108" s="58"/>
      <c r="N108" s="58"/>
    </row>
    <row r="109" spans="1:14" ht="27" customHeight="1">
      <c r="A109" s="257"/>
      <c r="B109" s="257"/>
      <c r="C109" s="257"/>
      <c r="D109" s="29"/>
      <c r="E109" s="29"/>
      <c r="F109" s="251"/>
      <c r="G109" s="251"/>
      <c r="H109" s="188"/>
      <c r="I109" s="188"/>
      <c r="J109" s="188"/>
      <c r="K109" s="172"/>
      <c r="L109" s="257"/>
      <c r="M109" s="257"/>
      <c r="N109" s="258"/>
    </row>
    <row r="110" spans="1:14" ht="27" customHeight="1">
      <c r="A110" s="261"/>
      <c r="B110" s="260"/>
      <c r="C110" s="257"/>
      <c r="D110" s="260"/>
      <c r="E110" s="257"/>
      <c r="F110" s="156"/>
      <c r="G110" s="156"/>
      <c r="H110" s="257"/>
      <c r="I110" s="257"/>
      <c r="J110" s="257"/>
      <c r="K110" s="257"/>
      <c r="L110" s="252"/>
      <c r="M110" s="261"/>
      <c r="N110" s="257"/>
    </row>
    <row r="111" spans="1:14" ht="27" customHeight="1">
      <c r="A111" s="261"/>
      <c r="B111" s="260"/>
      <c r="C111" s="257"/>
      <c r="D111" s="260"/>
      <c r="E111" s="257"/>
      <c r="F111" s="156"/>
      <c r="G111" s="156"/>
      <c r="H111" s="257"/>
      <c r="I111" s="257"/>
      <c r="J111" s="257"/>
      <c r="K111" s="257"/>
      <c r="L111" s="252"/>
      <c r="M111" s="261"/>
      <c r="N111" s="257"/>
    </row>
    <row r="112" spans="1:14" ht="27" customHeight="1">
      <c r="A112" s="143"/>
      <c r="B112" s="143"/>
      <c r="C112" s="254"/>
      <c r="D112" s="260"/>
      <c r="E112" s="343"/>
      <c r="F112" s="151"/>
      <c r="G112" s="151"/>
      <c r="H112" s="241"/>
      <c r="I112" s="241"/>
      <c r="J112" s="241"/>
      <c r="K112" s="134"/>
      <c r="L112" s="257"/>
      <c r="M112" s="269"/>
      <c r="N112" s="269"/>
    </row>
    <row r="113" spans="1:14" ht="27" customHeight="1">
      <c r="A113" s="252"/>
      <c r="B113" s="257"/>
      <c r="C113" s="252"/>
      <c r="D113" s="250"/>
      <c r="E113" s="250"/>
      <c r="F113" s="251"/>
      <c r="G113" s="251"/>
      <c r="H113" s="188"/>
      <c r="I113" s="257"/>
      <c r="J113" s="257"/>
      <c r="K113" s="257"/>
      <c r="L113" s="27"/>
      <c r="M113" s="268"/>
      <c r="N113" s="268"/>
    </row>
    <row r="114" spans="1:14" ht="27" customHeight="1">
      <c r="A114" s="27"/>
      <c r="B114" s="27"/>
      <c r="C114" s="252"/>
      <c r="D114" s="250"/>
      <c r="E114" s="250"/>
      <c r="F114" s="43"/>
      <c r="G114" s="43"/>
      <c r="H114" s="27"/>
      <c r="I114" s="27"/>
      <c r="J114" s="27"/>
      <c r="K114" s="257"/>
      <c r="L114" s="27"/>
      <c r="M114" s="58"/>
      <c r="N114" s="58"/>
    </row>
    <row r="115" spans="1:14" ht="27" customHeight="1">
      <c r="A115" s="27"/>
      <c r="B115" s="27"/>
      <c r="C115" s="252"/>
      <c r="D115" s="29"/>
      <c r="E115" s="29"/>
      <c r="F115" s="251"/>
      <c r="G115" s="251"/>
      <c r="H115" s="281"/>
      <c r="I115" s="27"/>
      <c r="J115" s="27"/>
      <c r="K115" s="257"/>
      <c r="L115" s="27"/>
      <c r="M115" s="58"/>
      <c r="N115" s="58"/>
    </row>
    <row r="116" spans="1:14" ht="27" customHeight="1">
      <c r="A116" s="252"/>
      <c r="B116" s="256"/>
      <c r="C116" s="252"/>
      <c r="D116" s="250"/>
      <c r="E116" s="250"/>
      <c r="F116" s="251"/>
      <c r="G116" s="251"/>
      <c r="H116" s="282"/>
      <c r="I116" s="256"/>
      <c r="J116" s="256"/>
      <c r="K116" s="257"/>
      <c r="L116" s="257"/>
      <c r="M116" s="258"/>
      <c r="N116" s="258"/>
    </row>
    <row r="117" spans="1:14" s="259" customFormat="1" ht="27" customHeight="1">
      <c r="A117" s="252"/>
      <c r="B117" s="252"/>
      <c r="C117" s="257"/>
      <c r="D117" s="48"/>
      <c r="E117" s="181"/>
      <c r="F117" s="257"/>
      <c r="G117" s="257"/>
      <c r="H117" s="252"/>
      <c r="I117" s="252"/>
      <c r="J117" s="252"/>
      <c r="K117" s="257"/>
      <c r="L117" s="252"/>
      <c r="M117" s="268"/>
      <c r="N117" s="268"/>
    </row>
    <row r="118" spans="1:14" s="259" customFormat="1" ht="27" customHeight="1">
      <c r="A118" s="261"/>
      <c r="B118" s="260"/>
      <c r="C118" s="257"/>
      <c r="D118" s="260"/>
      <c r="E118" s="257"/>
      <c r="F118" s="156"/>
      <c r="G118" s="156"/>
      <c r="H118" s="257"/>
      <c r="I118" s="257"/>
      <c r="J118" s="257"/>
      <c r="K118" s="257"/>
      <c r="L118" s="252"/>
      <c r="M118" s="261"/>
      <c r="N118" s="257"/>
    </row>
    <row r="119" spans="1:14" ht="27" customHeight="1">
      <c r="A119" s="252"/>
      <c r="B119" s="256"/>
      <c r="C119" s="252"/>
      <c r="D119" s="261"/>
      <c r="E119" s="261"/>
      <c r="F119" s="138"/>
      <c r="G119" s="138"/>
      <c r="H119" s="282"/>
      <c r="I119" s="256"/>
      <c r="J119" s="256"/>
      <c r="K119" s="257"/>
      <c r="L119" s="257"/>
      <c r="M119" s="258"/>
      <c r="N119" s="258"/>
    </row>
    <row r="120" spans="1:14" ht="27" customHeight="1">
      <c r="A120" s="252"/>
      <c r="B120" s="257"/>
      <c r="C120" s="252"/>
      <c r="D120" s="250"/>
      <c r="E120" s="250"/>
      <c r="F120" s="251"/>
      <c r="G120" s="251"/>
      <c r="H120" s="188"/>
      <c r="I120" s="257"/>
      <c r="J120" s="257"/>
      <c r="K120" s="257"/>
      <c r="L120" s="27"/>
      <c r="M120" s="268"/>
      <c r="N120" s="268"/>
    </row>
    <row r="121" spans="1:14" ht="27" customHeight="1">
      <c r="A121" s="261"/>
      <c r="B121" s="260"/>
      <c r="C121" s="257"/>
      <c r="D121" s="260"/>
      <c r="E121" s="257"/>
      <c r="F121" s="156"/>
      <c r="G121" s="156"/>
      <c r="H121" s="257"/>
      <c r="I121" s="257"/>
      <c r="J121" s="257"/>
      <c r="K121" s="257"/>
      <c r="L121" s="252"/>
      <c r="M121" s="261"/>
      <c r="N121" s="257"/>
    </row>
    <row r="122" spans="1:14" ht="27" customHeight="1">
      <c r="A122" s="261"/>
      <c r="B122" s="260"/>
      <c r="C122" s="257"/>
      <c r="D122" s="260"/>
      <c r="E122" s="257"/>
      <c r="F122" s="156"/>
      <c r="G122" s="156"/>
      <c r="H122" s="257"/>
      <c r="I122" s="257"/>
      <c r="J122" s="257"/>
      <c r="K122" s="257"/>
      <c r="L122" s="252"/>
      <c r="M122" s="261"/>
      <c r="N122" s="257"/>
    </row>
    <row r="123" spans="1:14" ht="27" customHeight="1">
      <c r="A123" s="252"/>
      <c r="B123" s="46"/>
      <c r="C123" s="252"/>
      <c r="D123" s="48"/>
      <c r="E123" s="48"/>
      <c r="F123" s="43"/>
      <c r="G123" s="43"/>
      <c r="H123" s="243"/>
      <c r="I123" s="46"/>
      <c r="J123" s="46"/>
      <c r="K123" s="257"/>
      <c r="L123" s="257"/>
      <c r="M123" s="266"/>
      <c r="N123" s="266"/>
    </row>
    <row r="124" spans="1:14" ht="27" customHeight="1">
      <c r="A124" s="252"/>
      <c r="B124" s="257"/>
      <c r="C124" s="252"/>
      <c r="D124" s="139"/>
      <c r="E124" s="139"/>
      <c r="F124" s="137"/>
      <c r="G124" s="137"/>
      <c r="H124" s="188"/>
      <c r="I124" s="257"/>
      <c r="J124" s="257"/>
      <c r="K124" s="257"/>
      <c r="L124" s="27"/>
      <c r="M124" s="268"/>
      <c r="N124" s="268"/>
    </row>
    <row r="125" spans="1:14" ht="27" customHeight="1">
      <c r="A125" s="252"/>
      <c r="B125" s="256"/>
      <c r="C125" s="260"/>
      <c r="D125" s="250"/>
      <c r="E125" s="163"/>
      <c r="F125" s="251"/>
      <c r="G125" s="251"/>
      <c r="H125" s="262"/>
      <c r="I125" s="262"/>
      <c r="J125" s="188"/>
      <c r="K125" s="262"/>
      <c r="L125" s="257"/>
      <c r="M125" s="258"/>
      <c r="N125" s="258"/>
    </row>
    <row r="126" spans="1:14" ht="27" customHeight="1">
      <c r="A126" s="261"/>
      <c r="B126" s="260"/>
      <c r="C126" s="257"/>
      <c r="D126" s="260"/>
      <c r="E126" s="257"/>
      <c r="F126" s="156"/>
      <c r="G126" s="156"/>
      <c r="H126" s="257"/>
      <c r="I126" s="257"/>
      <c r="J126" s="257"/>
      <c r="K126" s="257"/>
      <c r="L126" s="252"/>
      <c r="M126" s="261"/>
      <c r="N126" s="257"/>
    </row>
    <row r="127" spans="1:14" ht="27" customHeight="1">
      <c r="A127" s="27"/>
      <c r="B127" s="27"/>
      <c r="C127" s="252"/>
      <c r="D127" s="250"/>
      <c r="E127" s="250"/>
      <c r="F127" s="43"/>
      <c r="G127" s="43"/>
      <c r="H127" s="27"/>
      <c r="I127" s="27"/>
      <c r="J127" s="27"/>
      <c r="K127" s="257"/>
      <c r="L127" s="27"/>
      <c r="M127" s="58"/>
      <c r="N127" s="58"/>
    </row>
    <row r="128" spans="1:14" ht="27" customHeight="1">
      <c r="A128" s="252"/>
      <c r="B128" s="257"/>
      <c r="C128" s="252"/>
      <c r="D128" s="250"/>
      <c r="E128" s="250"/>
      <c r="F128" s="251"/>
      <c r="G128" s="251"/>
      <c r="H128" s="282"/>
      <c r="I128" s="257"/>
      <c r="J128" s="257"/>
      <c r="K128" s="257"/>
      <c r="L128" s="257"/>
      <c r="M128" s="268"/>
      <c r="N128" s="268"/>
    </row>
    <row r="129" spans="1:14" ht="27" customHeight="1">
      <c r="A129" s="252"/>
      <c r="B129" s="257"/>
      <c r="C129" s="252"/>
      <c r="D129" s="250"/>
      <c r="E129" s="250"/>
      <c r="F129" s="251"/>
      <c r="G129" s="251"/>
      <c r="H129" s="188"/>
      <c r="I129" s="257"/>
      <c r="J129" s="257"/>
      <c r="K129" s="257"/>
      <c r="L129" s="257"/>
      <c r="M129" s="268"/>
      <c r="N129" s="268"/>
    </row>
    <row r="130" spans="1:14" ht="27" customHeight="1">
      <c r="A130" s="252"/>
      <c r="B130" s="252"/>
      <c r="C130" s="257"/>
      <c r="D130" s="48"/>
      <c r="E130" s="48"/>
      <c r="F130" s="257"/>
      <c r="G130" s="257"/>
      <c r="H130" s="252"/>
      <c r="I130" s="252"/>
      <c r="J130" s="252"/>
      <c r="K130" s="257"/>
      <c r="L130" s="252"/>
      <c r="M130" s="268"/>
      <c r="N130" s="268"/>
    </row>
    <row r="131" spans="1:14" ht="27" customHeight="1">
      <c r="A131" s="261"/>
      <c r="B131" s="260"/>
      <c r="C131" s="257"/>
      <c r="D131" s="260"/>
      <c r="E131" s="257"/>
      <c r="F131" s="156"/>
      <c r="G131" s="156"/>
      <c r="H131" s="257"/>
      <c r="I131" s="257"/>
      <c r="J131" s="257"/>
      <c r="K131" s="257"/>
      <c r="L131" s="252"/>
      <c r="M131" s="261"/>
      <c r="N131" s="257"/>
    </row>
    <row r="132" spans="1:14" ht="27" customHeight="1">
      <c r="A132" s="252"/>
      <c r="B132" s="252"/>
      <c r="C132" s="257"/>
      <c r="D132" s="48"/>
      <c r="E132" s="48"/>
      <c r="F132" s="257"/>
      <c r="G132" s="257"/>
      <c r="H132" s="252"/>
      <c r="I132" s="252"/>
      <c r="J132" s="252"/>
      <c r="K132" s="257"/>
      <c r="L132" s="252"/>
      <c r="M132" s="268"/>
      <c r="N132" s="268"/>
    </row>
    <row r="133" spans="1:14" ht="27" customHeight="1">
      <c r="A133" s="252"/>
      <c r="B133" s="252"/>
      <c r="C133" s="257"/>
      <c r="D133" s="48"/>
      <c r="E133" s="48"/>
      <c r="F133" s="257"/>
      <c r="G133" s="257"/>
      <c r="H133" s="252"/>
      <c r="I133" s="252"/>
      <c r="J133" s="252"/>
      <c r="K133" s="257"/>
      <c r="L133" s="252"/>
      <c r="M133" s="268"/>
      <c r="N133" s="268"/>
    </row>
    <row r="134" spans="1:14" ht="27" customHeight="1">
      <c r="A134" s="252"/>
      <c r="B134" s="256"/>
      <c r="C134" s="252"/>
      <c r="D134" s="250"/>
      <c r="E134" s="250"/>
      <c r="F134" s="43"/>
      <c r="G134" s="43"/>
      <c r="H134" s="282"/>
      <c r="I134" s="256"/>
      <c r="J134" s="256"/>
      <c r="K134" s="257"/>
      <c r="L134" s="257"/>
      <c r="M134" s="258"/>
      <c r="N134" s="258"/>
    </row>
    <row r="135" spans="1:14" s="259" customFormat="1" ht="27" customHeight="1">
      <c r="A135" s="261"/>
      <c r="B135" s="260"/>
      <c r="C135" s="257"/>
      <c r="D135" s="260"/>
      <c r="E135" s="257"/>
      <c r="F135" s="156"/>
      <c r="G135" s="156"/>
      <c r="H135" s="257"/>
      <c r="I135" s="257"/>
      <c r="J135" s="257"/>
      <c r="K135" s="257"/>
      <c r="L135" s="252"/>
      <c r="M135" s="261"/>
      <c r="N135" s="257"/>
    </row>
    <row r="136" spans="1:14" ht="27" customHeight="1">
      <c r="A136" s="54"/>
      <c r="B136" s="252"/>
      <c r="C136" s="252"/>
      <c r="D136" s="250"/>
      <c r="E136" s="250"/>
      <c r="F136" s="251"/>
      <c r="G136" s="251"/>
      <c r="H136" s="200"/>
      <c r="I136" s="252"/>
      <c r="J136" s="252"/>
      <c r="K136" s="257"/>
      <c r="L136" s="27"/>
      <c r="M136" s="58"/>
      <c r="N136" s="58"/>
    </row>
    <row r="137" spans="1:14" ht="27" customHeight="1">
      <c r="A137" s="54"/>
      <c r="B137" s="252"/>
      <c r="C137" s="252"/>
      <c r="D137" s="250"/>
      <c r="E137" s="250"/>
      <c r="F137" s="251"/>
      <c r="G137" s="251"/>
      <c r="H137" s="200"/>
      <c r="I137" s="252"/>
      <c r="J137" s="252"/>
      <c r="K137" s="257"/>
      <c r="L137" s="27"/>
      <c r="M137" s="58"/>
      <c r="N137" s="58"/>
    </row>
    <row r="138" spans="1:14" ht="27" customHeight="1">
      <c r="A138" s="261"/>
      <c r="B138" s="260"/>
      <c r="C138" s="257"/>
      <c r="D138" s="260"/>
      <c r="E138" s="257"/>
      <c r="F138" s="156"/>
      <c r="G138" s="156"/>
      <c r="H138" s="257"/>
      <c r="I138" s="257"/>
      <c r="J138" s="257"/>
      <c r="K138" s="257"/>
      <c r="L138" s="252"/>
      <c r="M138" s="261"/>
      <c r="N138" s="257"/>
    </row>
    <row r="139" spans="1:14" ht="27" customHeight="1">
      <c r="A139" s="261"/>
      <c r="B139" s="260"/>
      <c r="C139" s="257"/>
      <c r="D139" s="260"/>
      <c r="E139" s="257"/>
      <c r="F139" s="156"/>
      <c r="G139" s="156"/>
      <c r="H139" s="257"/>
      <c r="I139" s="257"/>
      <c r="J139" s="257"/>
      <c r="K139" s="257"/>
      <c r="L139" s="252"/>
      <c r="M139" s="261"/>
      <c r="N139" s="257"/>
    </row>
    <row r="140" spans="1:14" ht="27" customHeight="1">
      <c r="A140" s="261"/>
      <c r="B140" s="260"/>
      <c r="C140" s="257"/>
      <c r="D140" s="260"/>
      <c r="E140" s="257"/>
      <c r="F140" s="156"/>
      <c r="G140" s="156"/>
      <c r="H140" s="257"/>
      <c r="I140" s="257"/>
      <c r="J140" s="257"/>
      <c r="K140" s="257"/>
      <c r="L140" s="252"/>
      <c r="M140" s="261"/>
      <c r="N140" s="257"/>
    </row>
    <row r="141" spans="1:14" ht="27" customHeight="1">
      <c r="A141" s="261"/>
      <c r="B141" s="260"/>
      <c r="C141" s="257"/>
      <c r="D141" s="260"/>
      <c r="E141" s="257"/>
      <c r="F141" s="156"/>
      <c r="G141" s="156"/>
      <c r="H141" s="257"/>
      <c r="I141" s="257"/>
      <c r="J141" s="257"/>
      <c r="K141" s="257"/>
      <c r="L141" s="252"/>
      <c r="M141" s="261"/>
      <c r="N141" s="257"/>
    </row>
    <row r="142" spans="1:14" ht="27" customHeight="1">
      <c r="A142" s="252"/>
      <c r="B142" s="256"/>
      <c r="C142" s="252"/>
      <c r="D142" s="250"/>
      <c r="E142" s="250"/>
      <c r="F142" s="251"/>
      <c r="G142" s="251"/>
      <c r="H142" s="282"/>
      <c r="I142" s="256"/>
      <c r="J142" s="256"/>
      <c r="K142" s="252"/>
      <c r="L142" s="257"/>
      <c r="M142" s="258"/>
      <c r="N142" s="258"/>
    </row>
    <row r="143" spans="1:14" ht="27" customHeight="1">
      <c r="A143" s="261"/>
      <c r="B143" s="260"/>
      <c r="C143" s="257"/>
      <c r="D143" s="260"/>
      <c r="E143" s="257"/>
      <c r="F143" s="156"/>
      <c r="G143" s="156"/>
      <c r="H143" s="257"/>
      <c r="I143" s="257"/>
      <c r="J143" s="257"/>
      <c r="K143" s="257"/>
      <c r="L143" s="252"/>
      <c r="M143" s="261"/>
      <c r="N143" s="257"/>
    </row>
    <row r="144" spans="1:14" ht="27" customHeight="1">
      <c r="A144" s="36"/>
      <c r="B144" s="36"/>
      <c r="C144" s="252"/>
      <c r="D144" s="29"/>
      <c r="E144" s="29"/>
      <c r="F144" s="251"/>
      <c r="G144" s="251"/>
      <c r="H144" s="279"/>
      <c r="I144" s="36"/>
      <c r="J144" s="36"/>
      <c r="K144" s="257"/>
      <c r="L144" s="27"/>
      <c r="M144" s="58"/>
      <c r="N144" s="58"/>
    </row>
    <row r="145" spans="1:14" ht="27" customHeight="1">
      <c r="A145" s="27"/>
      <c r="B145" s="27"/>
      <c r="C145" s="252"/>
      <c r="D145" s="29"/>
      <c r="E145" s="29"/>
      <c r="F145" s="251"/>
      <c r="G145" s="251"/>
      <c r="H145" s="281"/>
      <c r="I145" s="27"/>
      <c r="J145" s="27"/>
      <c r="K145" s="257"/>
      <c r="L145" s="252"/>
      <c r="M145" s="58"/>
      <c r="N145" s="58"/>
    </row>
    <row r="146" spans="1:14" ht="27" customHeight="1">
      <c r="A146" s="143"/>
      <c r="B146" s="143"/>
      <c r="C146" s="260"/>
      <c r="D146" s="257"/>
      <c r="E146" s="209"/>
      <c r="F146" s="151"/>
      <c r="G146" s="151"/>
      <c r="H146" s="262"/>
      <c r="I146" s="262"/>
      <c r="J146" s="188"/>
      <c r="K146" s="262"/>
      <c r="L146" s="257"/>
      <c r="M146" s="261"/>
      <c r="N146" s="258"/>
    </row>
    <row r="147" spans="1:14" ht="27" customHeight="1">
      <c r="A147" s="261"/>
      <c r="B147" s="260"/>
      <c r="C147" s="257"/>
      <c r="D147" s="260"/>
      <c r="E147" s="257"/>
      <c r="F147" s="156"/>
      <c r="G147" s="156"/>
      <c r="H147" s="257"/>
      <c r="I147" s="257"/>
      <c r="J147" s="257"/>
      <c r="K147" s="257"/>
      <c r="L147" s="252"/>
      <c r="M147" s="261"/>
      <c r="N147" s="257"/>
    </row>
    <row r="148" spans="1:14" ht="27" customHeight="1">
      <c r="A148" s="261"/>
      <c r="B148" s="260"/>
      <c r="C148" s="257"/>
      <c r="D148" s="260"/>
      <c r="E148" s="257"/>
      <c r="F148" s="156"/>
      <c r="G148" s="156"/>
      <c r="H148" s="257"/>
      <c r="I148" s="257"/>
      <c r="J148" s="257"/>
      <c r="K148" s="257"/>
      <c r="L148" s="252"/>
      <c r="M148" s="261"/>
      <c r="N148" s="257"/>
    </row>
    <row r="149" spans="1:14" ht="27" customHeight="1">
      <c r="A149" s="261"/>
      <c r="B149" s="260"/>
      <c r="C149" s="257"/>
      <c r="D149" s="260"/>
      <c r="E149" s="257"/>
      <c r="F149" s="156"/>
      <c r="G149" s="156"/>
      <c r="H149" s="257"/>
      <c r="I149" s="257"/>
      <c r="J149" s="257"/>
      <c r="K149" s="257"/>
      <c r="L149" s="252"/>
      <c r="M149" s="261"/>
      <c r="N149" s="257"/>
    </row>
    <row r="150" spans="1:14" ht="27" customHeight="1">
      <c r="A150" s="261"/>
      <c r="B150" s="260"/>
      <c r="C150" s="257"/>
      <c r="D150" s="260"/>
      <c r="E150" s="257"/>
      <c r="F150" s="156"/>
      <c r="G150" s="156"/>
      <c r="H150" s="257"/>
      <c r="I150" s="257"/>
      <c r="J150" s="257"/>
      <c r="K150" s="257"/>
      <c r="L150" s="252"/>
      <c r="M150" s="261"/>
      <c r="N150" s="257"/>
    </row>
    <row r="151" spans="1:14" ht="27" customHeight="1">
      <c r="A151" s="261"/>
      <c r="B151" s="260"/>
      <c r="C151" s="257"/>
      <c r="D151" s="260"/>
      <c r="E151" s="257"/>
      <c r="F151" s="156"/>
      <c r="G151" s="156"/>
      <c r="H151" s="257"/>
      <c r="I151" s="257"/>
      <c r="J151" s="257"/>
      <c r="K151" s="257"/>
      <c r="L151" s="252"/>
      <c r="M151" s="261"/>
      <c r="N151" s="257"/>
    </row>
    <row r="152" spans="1:14" ht="27" customHeight="1">
      <c r="A152" s="261"/>
      <c r="B152" s="260"/>
      <c r="C152" s="257"/>
      <c r="D152" s="260"/>
      <c r="E152" s="257"/>
      <c r="F152" s="156"/>
      <c r="G152" s="156"/>
      <c r="H152" s="257"/>
      <c r="I152" s="257"/>
      <c r="J152" s="257"/>
      <c r="K152" s="257"/>
      <c r="L152" s="252"/>
      <c r="M152" s="261"/>
      <c r="N152" s="257"/>
    </row>
    <row r="153" spans="1:14" ht="27" customHeight="1">
      <c r="A153" s="261"/>
      <c r="B153" s="260"/>
      <c r="C153" s="257"/>
      <c r="D153" s="260"/>
      <c r="E153" s="257"/>
      <c r="F153" s="156"/>
      <c r="G153" s="156"/>
      <c r="H153" s="257"/>
      <c r="I153" s="257"/>
      <c r="J153" s="257"/>
      <c r="K153" s="257"/>
      <c r="L153" s="252"/>
      <c r="M153" s="261"/>
      <c r="N153" s="257"/>
    </row>
    <row r="154" spans="1:14" ht="27" customHeight="1">
      <c r="A154" s="261"/>
      <c r="B154" s="260"/>
      <c r="C154" s="257"/>
      <c r="D154" s="260"/>
      <c r="E154" s="257"/>
      <c r="F154" s="156"/>
      <c r="G154" s="156"/>
      <c r="H154" s="257"/>
      <c r="I154" s="257"/>
      <c r="J154" s="257"/>
      <c r="K154" s="257"/>
      <c r="L154" s="252"/>
      <c r="M154" s="261"/>
      <c r="N154" s="257"/>
    </row>
    <row r="155" spans="1:14" ht="27" customHeight="1">
      <c r="A155" s="261"/>
      <c r="B155" s="260"/>
      <c r="C155" s="257"/>
      <c r="D155" s="260"/>
      <c r="E155" s="257"/>
      <c r="F155" s="156"/>
      <c r="G155" s="156"/>
      <c r="H155" s="257"/>
      <c r="I155" s="257"/>
      <c r="J155" s="257"/>
      <c r="K155" s="257"/>
      <c r="L155" s="252"/>
      <c r="M155" s="261"/>
      <c r="N155" s="257"/>
    </row>
    <row r="156" spans="1:14" ht="27" customHeight="1">
      <c r="A156" s="252"/>
      <c r="B156" s="252"/>
      <c r="C156" s="257"/>
      <c r="D156" s="48"/>
      <c r="E156" s="48"/>
      <c r="F156" s="257"/>
      <c r="G156" s="257"/>
      <c r="H156" s="252"/>
      <c r="I156" s="252"/>
      <c r="J156" s="252"/>
      <c r="K156" s="257"/>
      <c r="L156" s="252"/>
      <c r="M156" s="268"/>
      <c r="N156" s="268"/>
    </row>
    <row r="157" spans="1:14" ht="27" customHeight="1">
      <c r="A157" s="261"/>
      <c r="B157" s="260"/>
      <c r="C157" s="257"/>
      <c r="D157" s="260"/>
      <c r="E157" s="257"/>
      <c r="F157" s="156"/>
      <c r="G157" s="156"/>
      <c r="H157" s="257"/>
      <c r="I157" s="257"/>
      <c r="J157" s="257"/>
      <c r="K157" s="257"/>
      <c r="L157" s="252"/>
      <c r="M157" s="261"/>
      <c r="N157" s="257"/>
    </row>
    <row r="158" spans="1:14" ht="27" customHeight="1">
      <c r="A158" s="261"/>
      <c r="B158" s="260"/>
      <c r="C158" s="257"/>
      <c r="D158" s="260"/>
      <c r="E158" s="257"/>
      <c r="F158" s="156"/>
      <c r="G158" s="156"/>
      <c r="H158" s="257"/>
      <c r="I158" s="257"/>
      <c r="J158" s="257"/>
      <c r="K158" s="257"/>
      <c r="L158" s="252"/>
      <c r="M158" s="261"/>
      <c r="N158" s="257"/>
    </row>
    <row r="159" spans="1:14" ht="27" customHeight="1">
      <c r="A159" s="261"/>
      <c r="B159" s="260"/>
      <c r="C159" s="257"/>
      <c r="D159" s="260"/>
      <c r="E159" s="257"/>
      <c r="F159" s="156"/>
      <c r="G159" s="156"/>
      <c r="H159" s="257"/>
      <c r="I159" s="257"/>
      <c r="J159" s="257"/>
      <c r="K159" s="257"/>
      <c r="L159" s="252"/>
      <c r="M159" s="261"/>
      <c r="N159" s="257"/>
    </row>
    <row r="160" spans="1:14" ht="27" customHeight="1">
      <c r="A160" s="261"/>
      <c r="B160" s="260"/>
      <c r="C160" s="257"/>
      <c r="D160" s="260"/>
      <c r="E160" s="257"/>
      <c r="F160" s="156"/>
      <c r="G160" s="156"/>
      <c r="H160" s="257"/>
      <c r="I160" s="257"/>
      <c r="J160" s="257"/>
      <c r="K160" s="257"/>
      <c r="L160" s="252"/>
      <c r="M160" s="261"/>
      <c r="N160" s="257"/>
    </row>
    <row r="161" spans="1:14" ht="27" customHeight="1">
      <c r="A161" s="261"/>
      <c r="B161" s="260"/>
      <c r="C161" s="257"/>
      <c r="D161" s="260"/>
      <c r="E161" s="257"/>
      <c r="F161" s="156"/>
      <c r="G161" s="156"/>
      <c r="H161" s="257"/>
      <c r="I161" s="257"/>
      <c r="J161" s="257"/>
      <c r="K161" s="257"/>
      <c r="L161" s="252"/>
      <c r="M161" s="261"/>
      <c r="N161" s="257"/>
    </row>
    <row r="162" spans="1:14" ht="27" customHeight="1">
      <c r="A162" s="261"/>
      <c r="B162" s="260"/>
      <c r="C162" s="257"/>
      <c r="D162" s="260"/>
      <c r="E162" s="257"/>
      <c r="F162" s="156"/>
      <c r="G162" s="156"/>
      <c r="H162" s="257"/>
      <c r="I162" s="257"/>
      <c r="J162" s="257"/>
      <c r="K162" s="257"/>
      <c r="L162" s="252"/>
      <c r="M162" s="261"/>
      <c r="N162" s="257"/>
    </row>
    <row r="163" spans="1:14" ht="27" customHeight="1">
      <c r="A163" s="252"/>
      <c r="B163" s="46"/>
      <c r="C163" s="252"/>
      <c r="D163" s="48"/>
      <c r="E163" s="48"/>
      <c r="F163" s="43"/>
      <c r="G163" s="43"/>
      <c r="H163" s="243"/>
      <c r="I163" s="46"/>
      <c r="J163" s="46"/>
      <c r="K163" s="257"/>
      <c r="L163" s="257"/>
      <c r="M163" s="266"/>
      <c r="N163" s="266"/>
    </row>
    <row r="164" spans="1:14" ht="27" customHeight="1">
      <c r="A164" s="261"/>
      <c r="B164" s="260"/>
      <c r="C164" s="257"/>
      <c r="D164" s="260"/>
      <c r="E164" s="257"/>
      <c r="F164" s="156"/>
      <c r="G164" s="156"/>
      <c r="H164" s="257"/>
      <c r="I164" s="257"/>
      <c r="J164" s="257"/>
      <c r="K164" s="257"/>
      <c r="L164" s="252"/>
      <c r="M164" s="261"/>
      <c r="N164" s="257"/>
    </row>
    <row r="165" spans="1:14" ht="27" customHeight="1">
      <c r="A165" s="261"/>
      <c r="B165" s="260"/>
      <c r="C165" s="257"/>
      <c r="D165" s="260"/>
      <c r="E165" s="257"/>
      <c r="F165" s="156"/>
      <c r="G165" s="156"/>
      <c r="H165" s="257"/>
      <c r="I165" s="257"/>
      <c r="J165" s="257"/>
      <c r="K165" s="257"/>
      <c r="L165" s="252"/>
      <c r="M165" s="261"/>
      <c r="N165" s="257"/>
    </row>
    <row r="166" spans="1:14" ht="27" customHeight="1">
      <c r="A166" s="27"/>
      <c r="B166" s="27"/>
      <c r="C166" s="252"/>
      <c r="D166" s="250"/>
      <c r="E166" s="250"/>
      <c r="F166" s="43"/>
      <c r="G166" s="43"/>
      <c r="H166" s="27"/>
      <c r="I166" s="27"/>
      <c r="J166" s="27"/>
      <c r="K166" s="257"/>
      <c r="L166" s="27"/>
      <c r="M166" s="58"/>
      <c r="N166" s="58"/>
    </row>
    <row r="167" spans="1:14" ht="27" customHeight="1">
      <c r="A167" s="261"/>
      <c r="B167" s="260"/>
      <c r="C167" s="257"/>
      <c r="D167" s="260"/>
      <c r="E167" s="257"/>
      <c r="F167" s="156"/>
      <c r="G167" s="156"/>
      <c r="H167" s="257"/>
      <c r="I167" s="257"/>
      <c r="J167" s="257"/>
      <c r="K167" s="257"/>
      <c r="L167" s="252"/>
      <c r="M167" s="261"/>
      <c r="N167" s="257"/>
    </row>
    <row r="168" spans="1:14" ht="27" customHeight="1">
      <c r="A168" s="261"/>
      <c r="B168" s="260"/>
      <c r="C168" s="257"/>
      <c r="D168" s="260"/>
      <c r="E168" s="257"/>
      <c r="F168" s="156"/>
      <c r="G168" s="156"/>
      <c r="H168" s="257"/>
      <c r="I168" s="257"/>
      <c r="J168" s="257"/>
      <c r="K168" s="257"/>
      <c r="L168" s="252"/>
      <c r="M168" s="261"/>
      <c r="N168" s="257"/>
    </row>
    <row r="169" spans="1:14" ht="27" customHeight="1">
      <c r="A169" s="252"/>
      <c r="B169" s="257"/>
      <c r="C169" s="252"/>
      <c r="D169" s="48"/>
      <c r="E169" s="48"/>
      <c r="F169" s="43"/>
      <c r="G169" s="43"/>
      <c r="H169" s="188"/>
      <c r="I169" s="257"/>
      <c r="J169" s="257"/>
      <c r="K169" s="257"/>
      <c r="L169" s="27"/>
      <c r="M169" s="266"/>
      <c r="N169" s="266"/>
    </row>
    <row r="170" spans="1:14" ht="27" customHeight="1">
      <c r="A170" s="261"/>
      <c r="B170" s="260"/>
      <c r="C170" s="257"/>
      <c r="D170" s="260"/>
      <c r="E170" s="257"/>
      <c r="F170" s="156"/>
      <c r="G170" s="156"/>
      <c r="H170" s="257"/>
      <c r="I170" s="257"/>
      <c r="J170" s="257"/>
      <c r="K170" s="257"/>
      <c r="L170" s="252"/>
      <c r="M170" s="261"/>
      <c r="N170" s="257"/>
    </row>
    <row r="171" spans="1:14" ht="27" customHeight="1">
      <c r="A171" s="261"/>
      <c r="B171" s="260"/>
      <c r="C171" s="257"/>
      <c r="D171" s="260"/>
      <c r="E171" s="257"/>
      <c r="F171" s="156"/>
      <c r="G171" s="156"/>
      <c r="H171" s="257"/>
      <c r="I171" s="257"/>
      <c r="J171" s="257"/>
      <c r="K171" s="257"/>
      <c r="L171" s="252"/>
      <c r="M171" s="261"/>
      <c r="N171" s="257"/>
    </row>
    <row r="172" spans="1:14" ht="27" customHeight="1">
      <c r="A172" s="261"/>
      <c r="B172" s="260"/>
      <c r="C172" s="257"/>
      <c r="D172" s="260"/>
      <c r="E172" s="257"/>
      <c r="F172" s="156"/>
      <c r="G172" s="156"/>
      <c r="H172" s="257"/>
      <c r="I172" s="257"/>
      <c r="J172" s="257"/>
      <c r="K172" s="257"/>
      <c r="L172" s="252"/>
      <c r="M172" s="261"/>
      <c r="N172" s="257"/>
    </row>
    <row r="173" spans="1:14" ht="27" customHeight="1">
      <c r="A173" s="27"/>
      <c r="B173" s="27"/>
      <c r="C173" s="252"/>
      <c r="D173" s="250"/>
      <c r="E173" s="250"/>
      <c r="F173" s="251"/>
      <c r="G173" s="251"/>
      <c r="H173" s="281"/>
      <c r="I173" s="27"/>
      <c r="J173" s="27"/>
      <c r="K173" s="257"/>
      <c r="L173" s="252"/>
      <c r="M173" s="58"/>
      <c r="N173" s="58"/>
    </row>
    <row r="174" spans="1:14" ht="27" customHeight="1">
      <c r="A174" s="252"/>
      <c r="B174" s="256"/>
      <c r="C174" s="252"/>
      <c r="D174" s="250"/>
      <c r="E174" s="163"/>
      <c r="F174" s="251"/>
      <c r="G174" s="251"/>
      <c r="H174" s="262"/>
      <c r="I174" s="262"/>
      <c r="J174" s="262"/>
      <c r="K174" s="252"/>
      <c r="L174" s="257"/>
      <c r="M174" s="258"/>
      <c r="N174" s="144"/>
    </row>
    <row r="175" spans="1:14" ht="27" customHeight="1">
      <c r="A175" s="252"/>
      <c r="B175" s="257"/>
      <c r="C175" s="260"/>
      <c r="D175" s="250"/>
      <c r="E175" s="163"/>
      <c r="F175" s="251"/>
      <c r="G175" s="251"/>
      <c r="H175" s="262"/>
      <c r="I175" s="262"/>
      <c r="J175" s="262"/>
      <c r="K175" s="252"/>
      <c r="L175" s="257"/>
      <c r="M175" s="258"/>
      <c r="N175" s="144"/>
    </row>
    <row r="176" spans="1:14" ht="27" customHeight="1">
      <c r="A176" s="252"/>
      <c r="B176" s="257"/>
      <c r="C176" s="260"/>
      <c r="D176" s="250"/>
      <c r="E176" s="163"/>
      <c r="F176" s="251"/>
      <c r="G176" s="251"/>
      <c r="H176" s="262"/>
      <c r="I176" s="262"/>
      <c r="J176" s="262"/>
      <c r="K176" s="252"/>
      <c r="L176" s="257"/>
      <c r="M176" s="284"/>
      <c r="N176" s="144"/>
    </row>
    <row r="177" spans="1:14" ht="27" customHeight="1">
      <c r="A177" s="143"/>
      <c r="B177" s="143"/>
      <c r="C177" s="260"/>
      <c r="D177" s="260"/>
      <c r="E177" s="209"/>
      <c r="F177" s="151"/>
      <c r="G177" s="151"/>
      <c r="H177" s="262"/>
      <c r="I177" s="262"/>
      <c r="J177" s="188"/>
      <c r="K177" s="257"/>
      <c r="L177" s="257"/>
      <c r="M177" s="261"/>
      <c r="N177" s="258"/>
    </row>
    <row r="178" spans="1:14" ht="27" customHeight="1">
      <c r="A178" s="252"/>
      <c r="B178" s="256"/>
      <c r="C178" s="252"/>
      <c r="D178" s="250"/>
      <c r="E178" s="250"/>
      <c r="F178" s="251"/>
      <c r="G178" s="251"/>
      <c r="H178" s="282"/>
      <c r="I178" s="256"/>
      <c r="J178" s="256"/>
      <c r="K178" s="257"/>
      <c r="L178" s="257"/>
      <c r="M178" s="258"/>
      <c r="N178" s="258"/>
    </row>
    <row r="179" spans="1:14" ht="27" customHeight="1">
      <c r="A179" s="261"/>
      <c r="B179" s="260"/>
      <c r="C179" s="257"/>
      <c r="D179" s="260"/>
      <c r="E179" s="257"/>
      <c r="F179" s="156"/>
      <c r="G179" s="156"/>
      <c r="H179" s="257"/>
      <c r="I179" s="257"/>
      <c r="J179" s="257"/>
      <c r="K179" s="257"/>
      <c r="L179" s="252"/>
      <c r="M179" s="261"/>
      <c r="N179" s="257"/>
    </row>
    <row r="180" spans="1:14" ht="27" customHeight="1">
      <c r="A180" s="261"/>
      <c r="B180" s="260"/>
      <c r="C180" s="257"/>
      <c r="D180" s="260"/>
      <c r="E180" s="257"/>
      <c r="F180" s="156"/>
      <c r="G180" s="156"/>
      <c r="H180" s="257"/>
      <c r="I180" s="257"/>
      <c r="J180" s="257"/>
      <c r="K180" s="257"/>
      <c r="L180" s="252"/>
      <c r="M180" s="261"/>
      <c r="N180" s="257"/>
    </row>
    <row r="181" spans="1:14" ht="27" customHeight="1">
      <c r="A181" s="261"/>
      <c r="B181" s="260"/>
      <c r="C181" s="257"/>
      <c r="D181" s="260"/>
      <c r="E181" s="257"/>
      <c r="F181" s="156"/>
      <c r="G181" s="156"/>
      <c r="H181" s="257"/>
      <c r="I181" s="257"/>
      <c r="J181" s="257"/>
      <c r="K181" s="257"/>
      <c r="L181" s="252"/>
      <c r="M181" s="261"/>
      <c r="N181" s="257"/>
    </row>
    <row r="182" spans="1:14" ht="27" customHeight="1">
      <c r="A182" s="252"/>
      <c r="B182" s="257"/>
      <c r="C182" s="252"/>
      <c r="D182" s="139"/>
      <c r="E182" s="139"/>
      <c r="F182" s="137"/>
      <c r="G182" s="137"/>
      <c r="H182" s="188"/>
      <c r="I182" s="257"/>
      <c r="J182" s="257"/>
      <c r="K182" s="257"/>
      <c r="L182" s="27"/>
      <c r="M182" s="268"/>
      <c r="N182" s="268"/>
    </row>
    <row r="183" spans="1:14" ht="27" customHeight="1">
      <c r="A183" s="261"/>
      <c r="B183" s="260"/>
      <c r="C183" s="257"/>
      <c r="D183" s="260"/>
      <c r="E183" s="257"/>
      <c r="F183" s="156"/>
      <c r="G183" s="156"/>
      <c r="H183" s="257"/>
      <c r="I183" s="257"/>
      <c r="J183" s="257"/>
      <c r="K183" s="257"/>
      <c r="L183" s="252"/>
      <c r="M183" s="261"/>
      <c r="N183" s="257"/>
    </row>
    <row r="184" spans="1:14" ht="27" customHeight="1">
      <c r="A184" s="261"/>
      <c r="B184" s="260"/>
      <c r="C184" s="257"/>
      <c r="D184" s="260"/>
      <c r="E184" s="257"/>
      <c r="F184" s="156"/>
      <c r="G184" s="156"/>
      <c r="H184" s="257"/>
      <c r="I184" s="257"/>
      <c r="J184" s="257"/>
      <c r="K184" s="257"/>
      <c r="L184" s="252"/>
      <c r="M184" s="261"/>
      <c r="N184" s="257"/>
    </row>
    <row r="185" spans="1:14" ht="27" customHeight="1">
      <c r="A185" s="252"/>
      <c r="B185" s="252"/>
      <c r="C185" s="257"/>
      <c r="D185" s="48"/>
      <c r="E185" s="48"/>
      <c r="F185" s="172"/>
      <c r="G185" s="172"/>
      <c r="H185" s="160"/>
      <c r="I185" s="160"/>
      <c r="J185" s="160"/>
      <c r="K185" s="257"/>
      <c r="L185" s="252"/>
      <c r="M185" s="268"/>
      <c r="N185" s="268"/>
    </row>
    <row r="186" spans="1:14" s="259" customFormat="1" ht="22.5" customHeight="1">
      <c r="A186" s="252"/>
      <c r="B186" s="252"/>
      <c r="C186" s="257"/>
      <c r="D186" s="48"/>
      <c r="E186" s="48"/>
      <c r="F186" s="257"/>
      <c r="G186" s="257"/>
      <c r="H186" s="252"/>
      <c r="I186" s="252"/>
      <c r="J186" s="252"/>
      <c r="K186" s="257"/>
      <c r="L186" s="252"/>
      <c r="M186" s="268"/>
      <c r="N186" s="268"/>
    </row>
    <row r="187" spans="1:14" s="259" customFormat="1" ht="27" customHeight="1">
      <c r="A187" s="252"/>
      <c r="B187" s="252"/>
      <c r="C187" s="257"/>
      <c r="D187" s="48"/>
      <c r="E187" s="48"/>
      <c r="F187" s="257"/>
      <c r="G187" s="257"/>
      <c r="H187" s="252"/>
      <c r="I187" s="252"/>
      <c r="J187" s="252"/>
      <c r="K187" s="257"/>
      <c r="L187" s="252"/>
      <c r="M187" s="268"/>
      <c r="N187" s="268"/>
    </row>
    <row r="188" spans="1:14" ht="27" customHeight="1">
      <c r="A188" s="252"/>
      <c r="B188" s="252"/>
      <c r="C188" s="257"/>
      <c r="D188" s="48"/>
      <c r="E188" s="48"/>
      <c r="F188" s="257"/>
      <c r="G188" s="257"/>
      <c r="H188" s="252"/>
      <c r="I188" s="252"/>
      <c r="J188" s="252"/>
      <c r="K188" s="257"/>
      <c r="L188" s="252"/>
      <c r="M188" s="268"/>
      <c r="N188" s="268"/>
    </row>
    <row r="189" spans="1:14" ht="27" customHeight="1">
      <c r="A189" s="252"/>
      <c r="B189" s="252"/>
      <c r="C189" s="257"/>
      <c r="D189" s="48"/>
      <c r="E189" s="48"/>
      <c r="F189" s="257"/>
      <c r="G189" s="257"/>
      <c r="H189" s="252"/>
      <c r="I189" s="252"/>
      <c r="J189" s="252"/>
      <c r="K189" s="257"/>
      <c r="L189" s="252"/>
      <c r="M189" s="268"/>
      <c r="N189" s="268"/>
    </row>
    <row r="190" spans="1:14" ht="27" customHeight="1">
      <c r="A190" s="252"/>
      <c r="B190" s="256"/>
      <c r="C190" s="260"/>
      <c r="D190" s="250"/>
      <c r="E190" s="163"/>
      <c r="F190" s="251"/>
      <c r="G190" s="251"/>
      <c r="H190" s="262"/>
      <c r="I190" s="262"/>
      <c r="J190" s="188"/>
      <c r="K190" s="257"/>
      <c r="L190" s="257"/>
      <c r="M190" s="32"/>
      <c r="N190" s="258"/>
    </row>
    <row r="191" spans="1:14" ht="27" customHeight="1">
      <c r="A191" s="252"/>
      <c r="B191" s="256"/>
      <c r="C191" s="252"/>
      <c r="D191" s="250"/>
      <c r="E191" s="250"/>
      <c r="F191" s="251"/>
      <c r="G191" s="251"/>
      <c r="H191" s="200"/>
      <c r="I191" s="252"/>
      <c r="J191" s="252"/>
      <c r="K191" s="257"/>
      <c r="L191" s="257"/>
      <c r="M191" s="258"/>
      <c r="N191" s="258"/>
    </row>
    <row r="192" spans="1:14" ht="27" customHeight="1">
      <c r="A192" s="143"/>
      <c r="B192" s="143"/>
      <c r="C192" s="260"/>
      <c r="D192" s="254"/>
      <c r="E192" s="209"/>
      <c r="F192" s="151"/>
      <c r="G192" s="151"/>
      <c r="H192" s="262"/>
      <c r="I192" s="262"/>
      <c r="J192" s="188"/>
      <c r="K192" s="262"/>
      <c r="L192" s="257"/>
      <c r="M192" s="261"/>
      <c r="N192" s="258"/>
    </row>
    <row r="193" spans="1:14" ht="27" customHeight="1">
      <c r="A193" s="261"/>
      <c r="B193" s="260"/>
      <c r="C193" s="257"/>
      <c r="D193" s="260"/>
      <c r="E193" s="257"/>
      <c r="F193" s="156"/>
      <c r="G193" s="156"/>
      <c r="H193" s="257"/>
      <c r="I193" s="257"/>
      <c r="J193" s="257"/>
      <c r="K193" s="257"/>
      <c r="L193" s="252"/>
      <c r="M193" s="261"/>
      <c r="N193" s="257"/>
    </row>
    <row r="194" spans="1:14" ht="27" customHeight="1">
      <c r="A194" s="261"/>
      <c r="B194" s="260"/>
      <c r="C194" s="257"/>
      <c r="D194" s="260"/>
      <c r="E194" s="257"/>
      <c r="F194" s="156"/>
      <c r="G194" s="156"/>
      <c r="H194" s="257"/>
      <c r="I194" s="257"/>
      <c r="J194" s="257"/>
      <c r="K194" s="257"/>
      <c r="L194" s="252"/>
      <c r="M194" s="261"/>
      <c r="N194" s="257"/>
    </row>
    <row r="195" spans="1:14" s="259" customFormat="1" ht="27" customHeight="1">
      <c r="A195" s="261"/>
      <c r="B195" s="260"/>
      <c r="C195" s="257"/>
      <c r="D195" s="260"/>
      <c r="E195" s="257"/>
      <c r="F195" s="156"/>
      <c r="G195" s="156"/>
      <c r="H195" s="257"/>
      <c r="I195" s="257"/>
      <c r="J195" s="257"/>
      <c r="K195" s="257"/>
      <c r="L195" s="252"/>
      <c r="M195" s="261"/>
      <c r="N195" s="257"/>
    </row>
    <row r="196" spans="1:14" s="259" customFormat="1" ht="27" customHeight="1">
      <c r="A196" s="143"/>
      <c r="B196" s="143"/>
      <c r="C196" s="260"/>
      <c r="D196" s="254"/>
      <c r="E196" s="209"/>
      <c r="F196" s="151"/>
      <c r="G196" s="151"/>
      <c r="H196" s="262"/>
      <c r="I196" s="262"/>
      <c r="J196" s="262"/>
      <c r="K196" s="252"/>
      <c r="L196" s="257"/>
      <c r="M196" s="261"/>
      <c r="N196" s="144"/>
    </row>
    <row r="197" spans="1:14" s="259" customFormat="1" ht="27" customHeight="1">
      <c r="A197" s="143"/>
      <c r="B197" s="143"/>
      <c r="C197" s="260"/>
      <c r="D197" s="254"/>
      <c r="E197" s="209"/>
      <c r="F197" s="151"/>
      <c r="G197" s="151"/>
      <c r="H197" s="262"/>
      <c r="I197" s="262"/>
      <c r="J197" s="262"/>
      <c r="K197" s="252"/>
      <c r="L197" s="257"/>
      <c r="M197" s="261"/>
      <c r="N197" s="144"/>
    </row>
    <row r="198" spans="1:14" s="259" customFormat="1" ht="27" customHeight="1">
      <c r="A198" s="261"/>
      <c r="B198" s="260"/>
      <c r="C198" s="257"/>
      <c r="D198" s="260"/>
      <c r="E198" s="257"/>
      <c r="F198" s="156"/>
      <c r="G198" s="156"/>
      <c r="H198" s="257"/>
      <c r="I198" s="257"/>
      <c r="J198" s="257"/>
      <c r="K198" s="257"/>
      <c r="L198" s="252"/>
      <c r="M198" s="261"/>
      <c r="N198" s="257"/>
    </row>
    <row r="199" spans="1:14" s="157" customFormat="1" ht="27" customHeight="1">
      <c r="A199" s="261"/>
      <c r="B199" s="260"/>
      <c r="C199" s="257"/>
      <c r="D199" s="260"/>
      <c r="E199" s="257"/>
      <c r="F199" s="156"/>
      <c r="G199" s="156"/>
      <c r="H199" s="257"/>
      <c r="I199" s="257"/>
      <c r="J199" s="257"/>
      <c r="K199" s="257"/>
      <c r="L199" s="252"/>
      <c r="M199" s="261"/>
      <c r="N199" s="257"/>
    </row>
    <row r="200" spans="1:14" s="259" customFormat="1" ht="27" customHeight="1">
      <c r="A200" s="261"/>
      <c r="B200" s="260"/>
      <c r="C200" s="257"/>
      <c r="D200" s="260"/>
      <c r="E200" s="257"/>
      <c r="F200" s="156"/>
      <c r="G200" s="156"/>
      <c r="H200" s="257"/>
      <c r="I200" s="257"/>
      <c r="J200" s="257"/>
      <c r="K200" s="257"/>
      <c r="L200" s="252"/>
      <c r="M200" s="261"/>
      <c r="N200" s="257"/>
    </row>
    <row r="201" spans="1:14" ht="27" customHeight="1">
      <c r="A201" s="261"/>
      <c r="B201" s="260"/>
      <c r="C201" s="257"/>
      <c r="D201" s="260"/>
      <c r="E201" s="257"/>
      <c r="F201" s="156"/>
      <c r="G201" s="156"/>
      <c r="H201" s="257"/>
      <c r="I201" s="257"/>
      <c r="J201" s="257"/>
      <c r="K201" s="257"/>
      <c r="L201" s="252"/>
      <c r="M201" s="261"/>
      <c r="N201" s="257"/>
    </row>
    <row r="202" spans="1:14" ht="27" customHeight="1">
      <c r="A202" s="261"/>
      <c r="B202" s="260"/>
      <c r="C202" s="257"/>
      <c r="D202" s="260"/>
      <c r="E202" s="257"/>
      <c r="F202" s="156"/>
      <c r="G202" s="156"/>
      <c r="H202" s="257"/>
      <c r="I202" s="257"/>
      <c r="J202" s="257"/>
      <c r="K202" s="257"/>
      <c r="L202" s="252"/>
      <c r="M202" s="261"/>
      <c r="N202" s="257"/>
    </row>
    <row r="203" spans="1:14" ht="27" customHeight="1">
      <c r="A203" s="261"/>
      <c r="B203" s="260"/>
      <c r="C203" s="257"/>
      <c r="D203" s="260"/>
      <c r="E203" s="257"/>
      <c r="F203" s="156"/>
      <c r="G203" s="156"/>
      <c r="H203" s="257"/>
      <c r="I203" s="257"/>
      <c r="J203" s="257"/>
      <c r="K203" s="257"/>
      <c r="L203" s="252"/>
      <c r="M203" s="261"/>
      <c r="N203" s="257"/>
    </row>
    <row r="204" spans="1:14" ht="27" customHeight="1">
      <c r="A204" s="27"/>
      <c r="B204" s="27"/>
      <c r="C204" s="252"/>
      <c r="D204" s="250"/>
      <c r="E204" s="250"/>
      <c r="F204" s="43"/>
      <c r="G204" s="43"/>
      <c r="H204" s="27"/>
      <c r="I204" s="27"/>
      <c r="J204" s="27"/>
      <c r="K204" s="257"/>
      <c r="L204" s="27"/>
      <c r="M204" s="58"/>
      <c r="N204" s="58"/>
    </row>
    <row r="205" spans="1:14" ht="27" customHeight="1">
      <c r="A205" s="27"/>
      <c r="B205" s="27"/>
      <c r="C205" s="252"/>
      <c r="D205" s="250"/>
      <c r="E205" s="250"/>
      <c r="F205" s="43"/>
      <c r="G205" s="43"/>
      <c r="H205" s="27"/>
      <c r="I205" s="27"/>
      <c r="J205" s="27"/>
      <c r="K205" s="257"/>
      <c r="L205" s="27"/>
      <c r="M205" s="58"/>
      <c r="N205" s="58"/>
    </row>
    <row r="206" spans="1:14" ht="27" customHeight="1">
      <c r="A206" s="27"/>
      <c r="B206" s="27"/>
      <c r="C206" s="252"/>
      <c r="D206" s="250"/>
      <c r="E206" s="250"/>
      <c r="F206" s="43"/>
      <c r="G206" s="43"/>
      <c r="H206" s="27"/>
      <c r="I206" s="27"/>
      <c r="J206" s="27"/>
      <c r="K206" s="257"/>
      <c r="L206" s="27"/>
      <c r="M206" s="58"/>
      <c r="N206" s="58"/>
    </row>
    <row r="207" spans="1:14" ht="27" customHeight="1">
      <c r="A207" s="254"/>
      <c r="B207" s="46"/>
      <c r="C207" s="252"/>
      <c r="D207" s="48"/>
      <c r="E207" s="48"/>
      <c r="F207" s="43"/>
      <c r="G207" s="43"/>
      <c r="H207" s="243"/>
      <c r="I207" s="46"/>
      <c r="J207" s="46"/>
      <c r="K207" s="257"/>
      <c r="L207" s="257"/>
      <c r="M207" s="266"/>
      <c r="N207" s="266"/>
    </row>
    <row r="208" spans="1:14" ht="27" customHeight="1">
      <c r="A208" s="252"/>
      <c r="B208" s="256"/>
      <c r="C208" s="260"/>
      <c r="D208" s="250"/>
      <c r="E208" s="163"/>
      <c r="F208" s="251"/>
      <c r="G208" s="251"/>
      <c r="H208" s="257"/>
      <c r="I208" s="252"/>
      <c r="J208" s="188"/>
      <c r="K208" s="188"/>
      <c r="L208" s="257"/>
      <c r="M208" s="258"/>
      <c r="N208" s="258"/>
    </row>
    <row r="209" spans="1:14" ht="27" customHeight="1">
      <c r="A209" s="252"/>
      <c r="B209" s="256"/>
      <c r="C209" s="252"/>
      <c r="D209" s="250"/>
      <c r="E209" s="163"/>
      <c r="F209" s="251"/>
      <c r="G209" s="251"/>
      <c r="H209" s="253"/>
      <c r="I209" s="252"/>
      <c r="J209" s="188"/>
      <c r="K209" s="199"/>
      <c r="L209" s="257"/>
      <c r="M209" s="258"/>
      <c r="N209" s="258"/>
    </row>
    <row r="210" spans="1:14" ht="27" customHeight="1">
      <c r="A210" s="261"/>
      <c r="B210" s="260"/>
      <c r="C210" s="257"/>
      <c r="D210" s="260"/>
      <c r="E210" s="257"/>
      <c r="F210" s="156"/>
      <c r="G210" s="156"/>
      <c r="H210" s="257"/>
      <c r="I210" s="257"/>
      <c r="J210" s="257"/>
      <c r="K210" s="257"/>
      <c r="L210" s="252"/>
      <c r="M210" s="261"/>
      <c r="N210" s="257"/>
    </row>
    <row r="211" spans="1:14" ht="27" customHeight="1">
      <c r="A211" s="261"/>
      <c r="B211" s="260"/>
      <c r="C211" s="257"/>
      <c r="D211" s="260"/>
      <c r="E211" s="257"/>
      <c r="F211" s="156"/>
      <c r="G211" s="156"/>
      <c r="H211" s="257"/>
      <c r="I211" s="257"/>
      <c r="J211" s="257"/>
      <c r="K211" s="257"/>
      <c r="L211" s="252"/>
      <c r="M211" s="261"/>
      <c r="N211" s="257"/>
    </row>
    <row r="212" spans="1:14" ht="27" customHeight="1">
      <c r="A212" s="261"/>
      <c r="B212" s="260"/>
      <c r="C212" s="257"/>
      <c r="D212" s="260"/>
      <c r="E212" s="257"/>
      <c r="F212" s="156"/>
      <c r="G212" s="156"/>
      <c r="H212" s="257"/>
      <c r="I212" s="257"/>
      <c r="J212" s="257"/>
      <c r="K212" s="257"/>
      <c r="L212" s="252"/>
      <c r="M212" s="261"/>
      <c r="N212" s="257"/>
    </row>
    <row r="213" spans="1:14" ht="27" customHeight="1">
      <c r="A213" s="261"/>
      <c r="B213" s="260"/>
      <c r="C213" s="257"/>
      <c r="D213" s="260"/>
      <c r="E213" s="257"/>
      <c r="F213" s="156"/>
      <c r="G213" s="156"/>
      <c r="H213" s="257"/>
      <c r="I213" s="257"/>
      <c r="J213" s="257"/>
      <c r="K213" s="257"/>
      <c r="L213" s="252"/>
      <c r="M213" s="261"/>
      <c r="N213" s="257"/>
    </row>
    <row r="214" spans="1:14" ht="27" customHeight="1">
      <c r="A214" s="261"/>
      <c r="B214" s="260"/>
      <c r="C214" s="257"/>
      <c r="D214" s="260"/>
      <c r="E214" s="257"/>
      <c r="F214" s="156"/>
      <c r="G214" s="156"/>
      <c r="H214" s="257"/>
      <c r="I214" s="257"/>
      <c r="J214" s="257"/>
      <c r="K214" s="257"/>
      <c r="L214" s="252"/>
      <c r="M214" s="261"/>
      <c r="N214" s="257"/>
    </row>
    <row r="215" spans="1:14" ht="27" customHeight="1">
      <c r="A215" s="27"/>
      <c r="B215" s="27"/>
      <c r="C215" s="252"/>
      <c r="D215" s="250"/>
      <c r="E215" s="250"/>
      <c r="F215" s="251"/>
      <c r="G215" s="251"/>
      <c r="H215" s="281"/>
      <c r="I215" s="27"/>
      <c r="J215" s="27"/>
      <c r="K215" s="257"/>
      <c r="L215" s="27"/>
      <c r="M215" s="58"/>
      <c r="N215" s="58"/>
    </row>
    <row r="216" spans="1:14" ht="27" customHeight="1">
      <c r="A216" s="261"/>
      <c r="B216" s="260"/>
      <c r="C216" s="257"/>
      <c r="D216" s="260"/>
      <c r="E216" s="257"/>
      <c r="F216" s="156"/>
      <c r="G216" s="156"/>
      <c r="H216" s="257"/>
      <c r="I216" s="257"/>
      <c r="J216" s="257"/>
      <c r="K216" s="257"/>
      <c r="L216" s="252"/>
      <c r="M216" s="261"/>
      <c r="N216" s="257"/>
    </row>
    <row r="217" spans="1:14" ht="27" customHeight="1">
      <c r="A217" s="261"/>
      <c r="B217" s="260"/>
      <c r="C217" s="257"/>
      <c r="D217" s="260"/>
      <c r="E217" s="257"/>
      <c r="F217" s="156"/>
      <c r="G217" s="156"/>
      <c r="H217" s="257"/>
      <c r="I217" s="257"/>
      <c r="J217" s="257"/>
      <c r="K217" s="257"/>
      <c r="L217" s="252"/>
      <c r="M217" s="261"/>
      <c r="N217" s="257"/>
    </row>
    <row r="218" spans="1:14" ht="27" customHeight="1">
      <c r="A218" s="261"/>
      <c r="B218" s="260"/>
      <c r="C218" s="257"/>
      <c r="D218" s="260"/>
      <c r="E218" s="257"/>
      <c r="F218" s="156"/>
      <c r="G218" s="156"/>
      <c r="H218" s="257"/>
      <c r="I218" s="257"/>
      <c r="J218" s="257"/>
      <c r="K218" s="257"/>
      <c r="L218" s="252"/>
      <c r="M218" s="261"/>
      <c r="N218" s="257"/>
    </row>
    <row r="219" spans="1:14" ht="27" customHeight="1">
      <c r="A219" s="261"/>
      <c r="B219" s="260"/>
      <c r="C219" s="257"/>
      <c r="D219" s="260"/>
      <c r="E219" s="257"/>
      <c r="F219" s="156"/>
      <c r="G219" s="156"/>
      <c r="H219" s="257"/>
      <c r="I219" s="257"/>
      <c r="J219" s="257"/>
      <c r="K219" s="257"/>
      <c r="L219" s="252"/>
      <c r="M219" s="261"/>
      <c r="N219" s="257"/>
    </row>
    <row r="220" spans="1:14" ht="27" customHeight="1">
      <c r="A220" s="261"/>
      <c r="B220" s="260"/>
      <c r="C220" s="257"/>
      <c r="D220" s="260"/>
      <c r="E220" s="257"/>
      <c r="F220" s="156"/>
      <c r="G220" s="156"/>
      <c r="H220" s="257"/>
      <c r="I220" s="257"/>
      <c r="J220" s="257"/>
      <c r="K220" s="257"/>
      <c r="L220" s="252"/>
      <c r="M220" s="261"/>
      <c r="N220" s="257"/>
    </row>
    <row r="221" spans="1:14" ht="27" customHeight="1">
      <c r="A221" s="257"/>
      <c r="B221" s="257"/>
      <c r="C221" s="257"/>
      <c r="D221" s="29"/>
      <c r="E221" s="29"/>
      <c r="F221" s="251"/>
      <c r="G221" s="251"/>
      <c r="H221" s="188"/>
      <c r="I221" s="188"/>
      <c r="J221" s="188"/>
      <c r="K221" s="257"/>
      <c r="L221" s="257"/>
      <c r="M221" s="258"/>
      <c r="N221" s="258"/>
    </row>
    <row r="222" spans="1:14" ht="27" customHeight="1">
      <c r="A222" s="257"/>
      <c r="B222" s="257"/>
      <c r="C222" s="257"/>
      <c r="D222" s="29"/>
      <c r="E222" s="29"/>
      <c r="F222" s="251"/>
      <c r="G222" s="251"/>
      <c r="H222" s="188"/>
      <c r="I222" s="257"/>
      <c r="J222" s="257"/>
      <c r="K222" s="257"/>
      <c r="L222" s="257"/>
      <c r="M222" s="258"/>
      <c r="N222" s="258"/>
    </row>
    <row r="223" spans="1:14" ht="27" customHeight="1">
      <c r="A223" s="261"/>
      <c r="B223" s="260"/>
      <c r="C223" s="257"/>
      <c r="D223" s="260"/>
      <c r="E223" s="257"/>
      <c r="F223" s="156"/>
      <c r="G223" s="156"/>
      <c r="H223" s="257"/>
      <c r="I223" s="257"/>
      <c r="J223" s="257"/>
      <c r="K223" s="257"/>
      <c r="L223" s="252"/>
      <c r="M223" s="261"/>
      <c r="N223" s="257"/>
    </row>
    <row r="224" spans="1:14" ht="27" customHeight="1">
      <c r="A224" s="261"/>
      <c r="B224" s="260"/>
      <c r="C224" s="257"/>
      <c r="D224" s="260"/>
      <c r="E224" s="257"/>
      <c r="F224" s="156"/>
      <c r="G224" s="156"/>
      <c r="H224" s="257"/>
      <c r="I224" s="257"/>
      <c r="J224" s="257"/>
      <c r="K224" s="257"/>
      <c r="L224" s="252"/>
      <c r="M224" s="261"/>
      <c r="N224" s="257"/>
    </row>
    <row r="225" spans="1:14" ht="27" customHeight="1">
      <c r="A225" s="27"/>
      <c r="B225" s="27"/>
      <c r="C225" s="252"/>
      <c r="D225" s="250"/>
      <c r="E225" s="250"/>
      <c r="F225" s="43"/>
      <c r="G225" s="43"/>
      <c r="H225" s="27"/>
      <c r="I225" s="27"/>
      <c r="J225" s="27"/>
      <c r="K225" s="52"/>
      <c r="L225" s="27"/>
      <c r="M225" s="58"/>
      <c r="N225" s="58"/>
    </row>
    <row r="226" spans="1:14" s="259" customFormat="1" ht="27" customHeight="1">
      <c r="A226" s="261"/>
      <c r="B226" s="260"/>
      <c r="C226" s="257"/>
      <c r="D226" s="260"/>
      <c r="E226" s="257"/>
      <c r="F226" s="156"/>
      <c r="G226" s="156"/>
      <c r="H226" s="257"/>
      <c r="I226" s="257"/>
      <c r="J226" s="257"/>
      <c r="K226" s="257"/>
      <c r="L226" s="252"/>
      <c r="M226" s="261"/>
      <c r="N226" s="257"/>
    </row>
    <row r="227" spans="1:14" ht="27" customHeight="1">
      <c r="A227" s="261"/>
      <c r="B227" s="260"/>
      <c r="C227" s="257"/>
      <c r="D227" s="260"/>
      <c r="E227" s="257"/>
      <c r="F227" s="156"/>
      <c r="G227" s="156"/>
      <c r="H227" s="257"/>
      <c r="I227" s="257"/>
      <c r="J227" s="257"/>
      <c r="K227" s="257"/>
      <c r="L227" s="252"/>
      <c r="M227" s="261"/>
      <c r="N227" s="257"/>
    </row>
    <row r="228" spans="1:14" ht="27" customHeight="1">
      <c r="A228" s="261"/>
      <c r="B228" s="260"/>
      <c r="C228" s="257"/>
      <c r="D228" s="260"/>
      <c r="E228" s="257"/>
      <c r="F228" s="156"/>
      <c r="G228" s="156"/>
      <c r="H228" s="257"/>
      <c r="I228" s="257"/>
      <c r="J228" s="257"/>
      <c r="K228" s="257"/>
      <c r="L228" s="252"/>
      <c r="M228" s="261"/>
      <c r="N228" s="257"/>
    </row>
    <row r="229" spans="1:14" ht="27" customHeight="1">
      <c r="A229" s="261"/>
      <c r="B229" s="260"/>
      <c r="C229" s="257"/>
      <c r="D229" s="260"/>
      <c r="E229" s="257"/>
      <c r="F229" s="156"/>
      <c r="G229" s="156"/>
      <c r="H229" s="257"/>
      <c r="I229" s="257"/>
      <c r="J229" s="257"/>
      <c r="K229" s="257"/>
      <c r="L229" s="252"/>
      <c r="M229" s="261"/>
      <c r="N229" s="257"/>
    </row>
    <row r="230" spans="1:14" ht="27" customHeight="1">
      <c r="A230" s="252"/>
      <c r="B230" s="256"/>
      <c r="C230" s="252"/>
      <c r="D230" s="250"/>
      <c r="E230" s="250"/>
      <c r="F230" s="251"/>
      <c r="G230" s="251"/>
      <c r="H230" s="282"/>
      <c r="I230" s="256"/>
      <c r="J230" s="256"/>
      <c r="K230" s="257"/>
      <c r="L230" s="257"/>
      <c r="M230" s="258"/>
      <c r="N230" s="258"/>
    </row>
    <row r="231" spans="1:14" ht="27" customHeight="1">
      <c r="A231" s="252"/>
      <c r="B231" s="256"/>
      <c r="C231" s="252"/>
      <c r="D231" s="250"/>
      <c r="E231" s="250"/>
      <c r="F231" s="251"/>
      <c r="G231" s="251"/>
      <c r="H231" s="280"/>
      <c r="I231" s="256"/>
      <c r="J231" s="256"/>
      <c r="K231" s="257"/>
      <c r="L231" s="257"/>
      <c r="M231" s="258"/>
      <c r="N231" s="258"/>
    </row>
    <row r="232" spans="1:14" ht="27" customHeight="1">
      <c r="A232" s="252"/>
      <c r="B232" s="256"/>
      <c r="C232" s="252"/>
      <c r="D232" s="261"/>
      <c r="E232" s="261"/>
      <c r="F232" s="138"/>
      <c r="G232" s="138"/>
      <c r="H232" s="282"/>
      <c r="I232" s="256"/>
      <c r="J232" s="256"/>
      <c r="K232" s="257"/>
      <c r="L232" s="257"/>
      <c r="M232" s="258"/>
      <c r="N232" s="258"/>
    </row>
    <row r="233" spans="1:14" s="157" customFormat="1" ht="27" customHeight="1">
      <c r="A233" s="252"/>
      <c r="B233" s="256"/>
      <c r="C233" s="252"/>
      <c r="D233" s="261"/>
      <c r="E233" s="261"/>
      <c r="F233" s="138"/>
      <c r="G233" s="138"/>
      <c r="H233" s="282"/>
      <c r="I233" s="256"/>
      <c r="J233" s="256"/>
      <c r="K233" s="257"/>
      <c r="L233" s="257"/>
      <c r="M233" s="258"/>
      <c r="N233" s="258"/>
    </row>
    <row r="234" spans="1:14" ht="27" customHeight="1">
      <c r="A234" s="252"/>
      <c r="B234" s="256"/>
      <c r="C234" s="252"/>
      <c r="D234" s="261"/>
      <c r="E234" s="261"/>
      <c r="F234" s="138"/>
      <c r="G234" s="138"/>
      <c r="H234" s="282"/>
      <c r="I234" s="256"/>
      <c r="J234" s="256"/>
      <c r="K234" s="257"/>
      <c r="L234" s="257"/>
      <c r="M234" s="258"/>
      <c r="N234" s="258"/>
    </row>
    <row r="235" spans="1:14" ht="27" customHeight="1">
      <c r="A235" s="252"/>
      <c r="B235" s="252"/>
      <c r="C235" s="257"/>
      <c r="D235" s="48"/>
      <c r="E235" s="48"/>
      <c r="F235" s="257"/>
      <c r="G235" s="257"/>
      <c r="H235" s="252"/>
      <c r="I235" s="252"/>
      <c r="J235" s="252"/>
      <c r="K235" s="257"/>
      <c r="L235" s="252"/>
      <c r="M235" s="268"/>
      <c r="N235" s="268"/>
    </row>
    <row r="236" spans="1:14" ht="27" customHeight="1">
      <c r="A236" s="252"/>
      <c r="B236" s="256"/>
      <c r="C236" s="252"/>
      <c r="D236" s="250"/>
      <c r="E236" s="163"/>
      <c r="F236" s="251"/>
      <c r="G236" s="251"/>
      <c r="H236" s="253"/>
      <c r="I236" s="253"/>
      <c r="J236" s="253"/>
      <c r="K236" s="252"/>
      <c r="L236" s="257"/>
      <c r="M236" s="258"/>
      <c r="N236" s="144"/>
    </row>
    <row r="237" spans="1:14" ht="27" customHeight="1">
      <c r="A237" s="252"/>
      <c r="B237" s="252"/>
      <c r="C237" s="257"/>
      <c r="D237" s="48"/>
      <c r="E237" s="48"/>
      <c r="F237" s="257"/>
      <c r="G237" s="257"/>
      <c r="H237" s="252"/>
      <c r="I237" s="252"/>
      <c r="J237" s="252"/>
      <c r="K237" s="257"/>
      <c r="L237" s="252"/>
      <c r="M237" s="268"/>
      <c r="N237" s="268"/>
    </row>
    <row r="238" spans="1:14" ht="27" customHeight="1">
      <c r="A238" s="252"/>
      <c r="B238" s="252"/>
      <c r="C238" s="257"/>
      <c r="D238" s="48"/>
      <c r="E238" s="48"/>
      <c r="F238" s="257"/>
      <c r="G238" s="257"/>
      <c r="H238" s="252"/>
      <c r="I238" s="252"/>
      <c r="J238" s="252"/>
      <c r="K238" s="257"/>
      <c r="L238" s="252"/>
      <c r="M238" s="268"/>
      <c r="N238" s="268"/>
    </row>
    <row r="239" spans="1:14" ht="27" customHeight="1">
      <c r="A239" s="252"/>
      <c r="B239" s="252"/>
      <c r="C239" s="257"/>
      <c r="D239" s="48"/>
      <c r="E239" s="48"/>
      <c r="F239" s="257"/>
      <c r="G239" s="257"/>
      <c r="H239" s="252"/>
      <c r="I239" s="252"/>
      <c r="J239" s="252"/>
      <c r="K239" s="257"/>
      <c r="L239" s="252"/>
      <c r="M239" s="268"/>
      <c r="N239" s="268"/>
    </row>
    <row r="240" spans="1:14" ht="27" customHeight="1">
      <c r="A240" s="252"/>
      <c r="B240" s="252"/>
      <c r="C240" s="257"/>
      <c r="D240" s="48"/>
      <c r="E240" s="48"/>
      <c r="F240" s="257"/>
      <c r="G240" s="257"/>
      <c r="H240" s="252"/>
      <c r="I240" s="252"/>
      <c r="J240" s="252"/>
      <c r="K240" s="257"/>
      <c r="L240" s="252"/>
      <c r="M240" s="268"/>
      <c r="N240" s="268"/>
    </row>
    <row r="241" spans="1:14" ht="27" customHeight="1">
      <c r="A241" s="252"/>
      <c r="B241" s="252"/>
      <c r="C241" s="257"/>
      <c r="D241" s="48"/>
      <c r="E241" s="48"/>
      <c r="F241" s="257"/>
      <c r="G241" s="257"/>
      <c r="H241" s="252"/>
      <c r="I241" s="252"/>
      <c r="J241" s="252"/>
      <c r="K241" s="257"/>
      <c r="L241" s="252"/>
      <c r="M241" s="268"/>
      <c r="N241" s="268"/>
    </row>
    <row r="242" spans="1:14" ht="27" customHeight="1">
      <c r="A242" s="252"/>
      <c r="B242" s="252"/>
      <c r="C242" s="257"/>
      <c r="D242" s="48"/>
      <c r="E242" s="48"/>
      <c r="F242" s="257"/>
      <c r="G242" s="257"/>
      <c r="H242" s="252"/>
      <c r="I242" s="252"/>
      <c r="J242" s="252"/>
      <c r="K242" s="257"/>
      <c r="L242" s="252"/>
      <c r="M242" s="268"/>
      <c r="N242" s="268"/>
    </row>
    <row r="243" spans="1:14" ht="27" customHeight="1">
      <c r="A243" s="252"/>
      <c r="B243" s="252"/>
      <c r="C243" s="257"/>
      <c r="D243" s="48"/>
      <c r="E243" s="48"/>
      <c r="F243" s="257"/>
      <c r="G243" s="257"/>
      <c r="H243" s="252"/>
      <c r="I243" s="252"/>
      <c r="J243" s="252"/>
      <c r="K243" s="257"/>
      <c r="L243" s="252"/>
      <c r="M243" s="268"/>
      <c r="N243" s="268"/>
    </row>
    <row r="244" spans="1:14" ht="27" customHeight="1">
      <c r="A244" s="252"/>
      <c r="B244" s="252"/>
      <c r="C244" s="257"/>
      <c r="D244" s="48"/>
      <c r="E244" s="48"/>
      <c r="F244" s="257"/>
      <c r="G244" s="257"/>
      <c r="H244" s="252"/>
      <c r="I244" s="252"/>
      <c r="J244" s="252"/>
      <c r="K244" s="257"/>
      <c r="L244" s="252"/>
      <c r="M244" s="268"/>
      <c r="N244" s="268"/>
    </row>
    <row r="245" spans="1:14" ht="27" customHeight="1">
      <c r="A245" s="27"/>
      <c r="B245" s="27"/>
      <c r="C245" s="252"/>
      <c r="D245" s="250"/>
      <c r="E245" s="250"/>
      <c r="F245" s="251"/>
      <c r="G245" s="251"/>
      <c r="H245" s="281"/>
      <c r="I245" s="27"/>
      <c r="J245" s="27"/>
      <c r="K245" s="257"/>
      <c r="L245" s="252"/>
      <c r="M245" s="58"/>
      <c r="N245" s="58"/>
    </row>
    <row r="246" spans="1:14" ht="27" customHeight="1">
      <c r="A246" s="27"/>
      <c r="B246" s="27"/>
      <c r="C246" s="252"/>
      <c r="D246" s="250"/>
      <c r="E246" s="250"/>
      <c r="F246" s="160"/>
      <c r="G246" s="160"/>
      <c r="H246" s="281"/>
      <c r="I246" s="27"/>
      <c r="J246" s="27"/>
      <c r="K246" s="257"/>
      <c r="L246" s="252"/>
      <c r="M246" s="58"/>
      <c r="N246" s="58"/>
    </row>
    <row r="247" spans="1:14" ht="27" customHeight="1">
      <c r="A247" s="27"/>
      <c r="B247" s="27"/>
      <c r="C247" s="252"/>
      <c r="D247" s="250"/>
      <c r="E247" s="250"/>
      <c r="F247" s="251"/>
      <c r="G247" s="251"/>
      <c r="H247" s="281"/>
      <c r="I247" s="27"/>
      <c r="J247" s="27"/>
      <c r="K247" s="257"/>
      <c r="L247" s="252"/>
      <c r="M247" s="58"/>
      <c r="N247" s="58"/>
    </row>
    <row r="248" spans="1:14" ht="27" customHeight="1">
      <c r="A248" s="27"/>
      <c r="B248" s="27"/>
      <c r="C248" s="252"/>
      <c r="D248" s="250"/>
      <c r="E248" s="250"/>
      <c r="F248" s="251"/>
      <c r="G248" s="251"/>
      <c r="H248" s="281"/>
      <c r="I248" s="27"/>
      <c r="J248" s="27"/>
      <c r="K248" s="257"/>
      <c r="L248" s="252"/>
      <c r="M248" s="58"/>
      <c r="N248" s="58"/>
    </row>
    <row r="249" spans="1:14" ht="27" customHeight="1">
      <c r="A249" s="261"/>
      <c r="B249" s="260"/>
      <c r="C249" s="257"/>
      <c r="D249" s="260"/>
      <c r="E249" s="257"/>
      <c r="F249" s="156"/>
      <c r="G249" s="156"/>
      <c r="H249" s="257"/>
      <c r="I249" s="257"/>
      <c r="J249" s="257"/>
      <c r="K249" s="257"/>
      <c r="L249" s="252"/>
      <c r="M249" s="261"/>
      <c r="N249" s="257"/>
    </row>
    <row r="250" spans="1:14" ht="27" customHeight="1">
      <c r="A250" s="261"/>
      <c r="B250" s="260"/>
      <c r="C250" s="257"/>
      <c r="D250" s="260"/>
      <c r="E250" s="257"/>
      <c r="F250" s="156"/>
      <c r="G250" s="156"/>
      <c r="H250" s="257"/>
      <c r="I250" s="257"/>
      <c r="J250" s="257"/>
      <c r="K250" s="257"/>
      <c r="L250" s="252"/>
      <c r="M250" s="261"/>
      <c r="N250" s="257"/>
    </row>
    <row r="251" spans="1:14" ht="27" customHeight="1">
      <c r="A251" s="261"/>
      <c r="B251" s="260"/>
      <c r="C251" s="257"/>
      <c r="D251" s="260"/>
      <c r="E251" s="257"/>
      <c r="F251" s="156"/>
      <c r="G251" s="156"/>
      <c r="H251" s="257"/>
      <c r="I251" s="257"/>
      <c r="J251" s="257"/>
      <c r="K251" s="257"/>
      <c r="L251" s="252"/>
      <c r="M251" s="261"/>
      <c r="N251" s="257"/>
    </row>
    <row r="252" spans="1:14" ht="27" customHeight="1">
      <c r="A252" s="252"/>
      <c r="B252" s="252"/>
      <c r="C252" s="257"/>
      <c r="D252" s="48"/>
      <c r="E252" s="48"/>
      <c r="F252" s="257"/>
      <c r="G252" s="257"/>
      <c r="H252" s="252"/>
      <c r="I252" s="252"/>
      <c r="J252" s="252"/>
      <c r="K252" s="257"/>
      <c r="L252" s="252"/>
      <c r="M252" s="268"/>
      <c r="N252" s="268"/>
    </row>
    <row r="253" spans="1:14" ht="27" customHeight="1">
      <c r="A253" s="252"/>
      <c r="B253" s="252"/>
      <c r="C253" s="257"/>
      <c r="D253" s="48"/>
      <c r="E253" s="48"/>
      <c r="F253" s="257"/>
      <c r="G253" s="257"/>
      <c r="H253" s="252"/>
      <c r="I253" s="252"/>
      <c r="J253" s="252"/>
      <c r="K253" s="257"/>
      <c r="L253" s="252"/>
      <c r="M253" s="268"/>
      <c r="N253" s="268"/>
    </row>
    <row r="254" spans="1:14" ht="27" customHeight="1">
      <c r="A254" s="261"/>
      <c r="B254" s="260"/>
      <c r="C254" s="257"/>
      <c r="D254" s="260"/>
      <c r="E254" s="257"/>
      <c r="F254" s="156"/>
      <c r="G254" s="156"/>
      <c r="H254" s="257"/>
      <c r="I254" s="257"/>
      <c r="J254" s="257"/>
      <c r="K254" s="257"/>
      <c r="L254" s="252"/>
      <c r="M254" s="261"/>
      <c r="N254" s="257"/>
    </row>
    <row r="255" spans="1:14" ht="27" customHeight="1">
      <c r="A255" s="261"/>
      <c r="B255" s="260"/>
      <c r="C255" s="257"/>
      <c r="D255" s="260"/>
      <c r="E255" s="257"/>
      <c r="F255" s="156"/>
      <c r="G255" s="156"/>
      <c r="H255" s="257"/>
      <c r="I255" s="257"/>
      <c r="J255" s="257"/>
      <c r="K255" s="257"/>
      <c r="L255" s="252"/>
      <c r="M255" s="261"/>
      <c r="N255" s="257"/>
    </row>
    <row r="256" spans="1:14" ht="27" customHeight="1">
      <c r="A256" s="27"/>
      <c r="B256" s="27"/>
      <c r="C256" s="252"/>
      <c r="D256" s="250"/>
      <c r="E256" s="250"/>
      <c r="F256" s="43"/>
      <c r="G256" s="43"/>
      <c r="H256" s="27"/>
      <c r="I256" s="27"/>
      <c r="J256" s="27"/>
      <c r="K256" s="257"/>
      <c r="L256" s="27"/>
      <c r="M256" s="58"/>
      <c r="N256" s="58"/>
    </row>
    <row r="257" spans="1:14" ht="27" customHeight="1">
      <c r="A257" s="54"/>
      <c r="B257" s="257"/>
      <c r="C257" s="252"/>
      <c r="D257" s="250"/>
      <c r="E257" s="250"/>
      <c r="F257" s="251"/>
      <c r="G257" s="251"/>
      <c r="H257" s="188"/>
      <c r="I257" s="257"/>
      <c r="J257" s="257"/>
      <c r="K257" s="257"/>
      <c r="L257" s="27"/>
      <c r="M257" s="58"/>
      <c r="N257" s="58"/>
    </row>
    <row r="258" spans="1:14" ht="27" customHeight="1">
      <c r="A258" s="10"/>
      <c r="B258" s="27"/>
      <c r="C258" s="252"/>
      <c r="D258" s="29"/>
      <c r="E258" s="29"/>
      <c r="F258" s="251"/>
      <c r="G258" s="251"/>
      <c r="H258" s="281"/>
      <c r="I258" s="27"/>
      <c r="J258" s="27"/>
      <c r="K258" s="257"/>
      <c r="L258" s="27"/>
      <c r="M258" s="58"/>
      <c r="N258" s="58"/>
    </row>
    <row r="259" spans="1:14" ht="27" customHeight="1">
      <c r="A259" s="261"/>
      <c r="B259" s="260"/>
      <c r="C259" s="257"/>
      <c r="D259" s="260"/>
      <c r="E259" s="257"/>
      <c r="F259" s="156"/>
      <c r="G259" s="156"/>
      <c r="H259" s="257"/>
      <c r="I259" s="257"/>
      <c r="J259" s="257"/>
      <c r="K259" s="257"/>
      <c r="L259" s="252"/>
      <c r="M259" s="261"/>
      <c r="N259" s="257"/>
    </row>
    <row r="260" spans="1:14" ht="27" customHeight="1">
      <c r="A260" s="252"/>
      <c r="B260" s="252"/>
      <c r="C260" s="257"/>
      <c r="D260" s="48"/>
      <c r="E260" s="181"/>
      <c r="F260" s="257"/>
      <c r="G260" s="257"/>
      <c r="H260" s="252"/>
      <c r="I260" s="252"/>
      <c r="J260" s="252"/>
      <c r="K260" s="257"/>
      <c r="L260" s="252"/>
      <c r="M260" s="268"/>
      <c r="N260" s="268"/>
    </row>
    <row r="261" spans="1:14" ht="27" customHeight="1">
      <c r="A261" s="252"/>
      <c r="B261" s="252"/>
      <c r="C261" s="257"/>
      <c r="D261" s="48"/>
      <c r="E261" s="48"/>
      <c r="F261" s="257"/>
      <c r="G261" s="257"/>
      <c r="H261" s="252"/>
      <c r="I261" s="252"/>
      <c r="J261" s="252"/>
      <c r="K261" s="257"/>
      <c r="L261" s="252"/>
      <c r="M261" s="268"/>
      <c r="N261" s="268"/>
    </row>
    <row r="262" spans="1:14" ht="27" customHeight="1">
      <c r="A262" s="143"/>
      <c r="B262" s="143"/>
      <c r="C262" s="257"/>
      <c r="D262" s="257"/>
      <c r="E262" s="209"/>
      <c r="F262" s="151"/>
      <c r="G262" s="151"/>
      <c r="H262" s="262"/>
      <c r="I262" s="262"/>
      <c r="J262" s="188"/>
      <c r="K262" s="54"/>
      <c r="L262" s="257"/>
      <c r="M262" s="261"/>
      <c r="N262" s="258"/>
    </row>
    <row r="263" spans="1:14" ht="27" customHeight="1">
      <c r="A263" s="27"/>
      <c r="B263" s="27"/>
      <c r="C263" s="252"/>
      <c r="D263" s="29"/>
      <c r="E263" s="29"/>
      <c r="F263" s="251"/>
      <c r="G263" s="251"/>
      <c r="H263" s="281"/>
      <c r="I263" s="27"/>
      <c r="J263" s="27"/>
      <c r="K263" s="257"/>
      <c r="L263" s="252"/>
      <c r="M263" s="58"/>
      <c r="N263" s="58"/>
    </row>
    <row r="264" spans="1:14" ht="27" customHeight="1">
      <c r="A264" s="27"/>
      <c r="B264" s="27"/>
      <c r="C264" s="252"/>
      <c r="D264" s="250"/>
      <c r="E264" s="250"/>
      <c r="F264" s="251"/>
      <c r="G264" s="251"/>
      <c r="H264" s="281"/>
      <c r="I264" s="27"/>
      <c r="J264" s="27"/>
      <c r="K264" s="257"/>
      <c r="L264" s="27"/>
      <c r="M264" s="58"/>
      <c r="N264" s="58"/>
    </row>
    <row r="265" spans="1:14" ht="27" customHeight="1">
      <c r="A265" s="261"/>
      <c r="B265" s="260"/>
      <c r="C265" s="257"/>
      <c r="D265" s="260"/>
      <c r="E265" s="257"/>
      <c r="F265" s="156"/>
      <c r="G265" s="156"/>
      <c r="H265" s="257"/>
      <c r="I265" s="257"/>
      <c r="J265" s="257"/>
      <c r="K265" s="257"/>
      <c r="L265" s="252"/>
      <c r="M265" s="261"/>
      <c r="N265" s="257"/>
    </row>
    <row r="266" spans="1:14" ht="27" customHeight="1">
      <c r="A266" s="252"/>
      <c r="B266" s="46"/>
      <c r="C266" s="252"/>
      <c r="D266" s="48"/>
      <c r="E266" s="48"/>
      <c r="F266" s="43"/>
      <c r="G266" s="43"/>
      <c r="H266" s="243"/>
      <c r="I266" s="46"/>
      <c r="J266" s="46"/>
      <c r="K266" s="257"/>
      <c r="L266" s="257"/>
      <c r="M266" s="266"/>
      <c r="N266" s="266"/>
    </row>
    <row r="267" spans="1:14" ht="27" customHeight="1">
      <c r="A267" s="261"/>
      <c r="B267" s="260"/>
      <c r="C267" s="257"/>
      <c r="D267" s="260"/>
      <c r="E267" s="257"/>
      <c r="F267" s="156"/>
      <c r="G267" s="156"/>
      <c r="H267" s="257"/>
      <c r="I267" s="257"/>
      <c r="J267" s="257"/>
      <c r="K267" s="257"/>
      <c r="L267" s="252"/>
      <c r="M267" s="261"/>
      <c r="N267" s="257"/>
    </row>
    <row r="268" spans="1:14" ht="27" customHeight="1">
      <c r="A268" s="261"/>
      <c r="B268" s="260"/>
      <c r="C268" s="257"/>
      <c r="D268" s="260"/>
      <c r="E268" s="257"/>
      <c r="F268" s="156"/>
      <c r="G268" s="156"/>
      <c r="H268" s="257"/>
      <c r="I268" s="257"/>
      <c r="J268" s="257"/>
      <c r="K268" s="257"/>
      <c r="L268" s="252"/>
      <c r="M268" s="261"/>
      <c r="N268" s="257"/>
    </row>
    <row r="269" spans="1:14" ht="27" customHeight="1">
      <c r="A269" s="261"/>
      <c r="B269" s="260"/>
      <c r="C269" s="257"/>
      <c r="D269" s="260"/>
      <c r="E269" s="257"/>
      <c r="F269" s="156"/>
      <c r="G269" s="156"/>
      <c r="H269" s="257"/>
      <c r="I269" s="257"/>
      <c r="J269" s="257"/>
      <c r="K269" s="257"/>
      <c r="L269" s="252"/>
      <c r="M269" s="261"/>
      <c r="N269" s="257"/>
    </row>
    <row r="270" spans="1:14" ht="27" customHeight="1">
      <c r="A270" s="252"/>
      <c r="B270" s="252"/>
      <c r="C270" s="257"/>
      <c r="D270" s="48"/>
      <c r="E270" s="48"/>
      <c r="F270" s="257"/>
      <c r="G270" s="257"/>
      <c r="H270" s="252"/>
      <c r="I270" s="252"/>
      <c r="J270" s="252"/>
      <c r="K270" s="257"/>
      <c r="L270" s="252"/>
      <c r="M270" s="268"/>
      <c r="N270" s="268"/>
    </row>
    <row r="271" spans="1:14" ht="27" customHeight="1">
      <c r="A271" s="143"/>
      <c r="B271" s="143"/>
      <c r="C271" s="257"/>
      <c r="D271" s="257"/>
      <c r="E271" s="254"/>
      <c r="F271" s="217"/>
      <c r="G271" s="217"/>
      <c r="H271" s="241"/>
      <c r="I271" s="246"/>
      <c r="J271" s="246"/>
      <c r="K271" s="134"/>
      <c r="L271" s="257"/>
      <c r="M271" s="258"/>
      <c r="N271" s="258"/>
    </row>
    <row r="272" spans="1:14" ht="27" customHeight="1">
      <c r="A272" s="252"/>
      <c r="B272" s="252"/>
      <c r="C272" s="257"/>
      <c r="D272" s="48"/>
      <c r="E272" s="48"/>
      <c r="F272" s="172"/>
      <c r="G272" s="172"/>
      <c r="H272" s="200"/>
      <c r="I272" s="252"/>
      <c r="J272" s="252"/>
      <c r="K272" s="257"/>
      <c r="L272" s="257"/>
      <c r="M272" s="268"/>
      <c r="N272" s="268"/>
    </row>
    <row r="273" spans="1:14" ht="27" customHeight="1">
      <c r="A273" s="252"/>
      <c r="B273" s="46"/>
      <c r="C273" s="252"/>
      <c r="D273" s="48"/>
      <c r="E273" s="181"/>
      <c r="F273" s="43"/>
      <c r="G273" s="43"/>
      <c r="H273" s="243"/>
      <c r="I273" s="46"/>
      <c r="J273" s="46"/>
      <c r="K273" s="252"/>
      <c r="L273" s="257"/>
      <c r="M273" s="266"/>
      <c r="N273" s="266"/>
    </row>
    <row r="274" spans="1:14" ht="27" customHeight="1">
      <c r="A274" s="257"/>
      <c r="B274" s="46"/>
      <c r="C274" s="257"/>
      <c r="D274" s="48"/>
      <c r="E274" s="48"/>
      <c r="F274" s="43"/>
      <c r="G274" s="43"/>
      <c r="H274" s="243"/>
      <c r="I274" s="46"/>
      <c r="J274" s="46"/>
      <c r="K274" s="257"/>
      <c r="L274" s="257"/>
      <c r="M274" s="266"/>
      <c r="N274" s="266"/>
    </row>
    <row r="275" spans="1:14" ht="27" customHeight="1">
      <c r="A275" s="254"/>
      <c r="B275" s="46"/>
      <c r="C275" s="252"/>
      <c r="D275" s="261"/>
      <c r="E275" s="261"/>
      <c r="F275" s="43"/>
      <c r="G275" s="43"/>
      <c r="H275" s="243"/>
      <c r="I275" s="46"/>
      <c r="J275" s="46"/>
      <c r="K275" s="257"/>
      <c r="L275" s="257"/>
      <c r="M275" s="274"/>
      <c r="N275" s="274"/>
    </row>
    <row r="276" spans="1:14" ht="27" customHeight="1">
      <c r="A276" s="261"/>
      <c r="B276" s="260"/>
      <c r="C276" s="257"/>
      <c r="D276" s="260"/>
      <c r="E276" s="257"/>
      <c r="F276" s="156"/>
      <c r="G276" s="156"/>
      <c r="H276" s="257"/>
      <c r="I276" s="257"/>
      <c r="J276" s="257"/>
      <c r="K276" s="257"/>
      <c r="L276" s="252"/>
      <c r="M276" s="261"/>
      <c r="N276" s="257"/>
    </row>
    <row r="277" spans="1:14" ht="27" customHeight="1">
      <c r="A277" s="261"/>
      <c r="B277" s="260"/>
      <c r="C277" s="257"/>
      <c r="D277" s="260"/>
      <c r="E277" s="257"/>
      <c r="F277" s="156"/>
      <c r="G277" s="156"/>
      <c r="H277" s="257"/>
      <c r="I277" s="257"/>
      <c r="J277" s="257"/>
      <c r="K277" s="257"/>
      <c r="L277" s="252"/>
      <c r="M277" s="261"/>
      <c r="N277" s="257"/>
    </row>
    <row r="278" spans="1:14" ht="27" customHeight="1">
      <c r="A278" s="54"/>
      <c r="B278" s="260"/>
      <c r="C278" s="252"/>
      <c r="D278" s="261"/>
      <c r="E278" s="261"/>
      <c r="F278" s="251"/>
      <c r="G278" s="251"/>
      <c r="H278" s="264"/>
      <c r="I278" s="260"/>
      <c r="J278" s="260"/>
      <c r="K278" s="257"/>
      <c r="L278" s="252"/>
      <c r="M278" s="58"/>
      <c r="N278" s="58"/>
    </row>
    <row r="279" spans="1:14" ht="27" customHeight="1">
      <c r="A279" s="252"/>
      <c r="B279" s="46"/>
      <c r="C279" s="252"/>
      <c r="D279" s="48"/>
      <c r="E279" s="181"/>
      <c r="F279" s="43"/>
      <c r="G279" s="43"/>
      <c r="H279" s="278"/>
      <c r="I279" s="46"/>
      <c r="J279" s="46"/>
      <c r="K279" s="257"/>
      <c r="L279" s="257"/>
      <c r="M279" s="266"/>
      <c r="N279" s="266"/>
    </row>
    <row r="280" spans="1:14" ht="27" customHeight="1">
      <c r="A280" s="261"/>
      <c r="B280" s="260"/>
      <c r="C280" s="257"/>
      <c r="D280" s="260"/>
      <c r="E280" s="257"/>
      <c r="F280" s="156"/>
      <c r="G280" s="156"/>
      <c r="H280" s="257"/>
      <c r="I280" s="257"/>
      <c r="J280" s="257"/>
      <c r="K280" s="257"/>
      <c r="L280" s="252"/>
      <c r="M280" s="261"/>
      <c r="N280" s="257"/>
    </row>
    <row r="281" spans="1:14" ht="27" customHeight="1">
      <c r="A281" s="252"/>
      <c r="B281" s="46"/>
      <c r="C281" s="252"/>
      <c r="D281" s="48"/>
      <c r="E281" s="181"/>
      <c r="F281" s="160"/>
      <c r="G281" s="160"/>
      <c r="H281" s="278"/>
      <c r="I281" s="243"/>
      <c r="J281" s="243"/>
      <c r="K281" s="257"/>
      <c r="L281" s="257"/>
      <c r="M281" s="266"/>
      <c r="N281" s="266"/>
    </row>
    <row r="282" spans="1:14" ht="27" customHeight="1">
      <c r="A282" s="27"/>
      <c r="B282" s="257"/>
      <c r="C282" s="252"/>
      <c r="D282" s="250"/>
      <c r="E282" s="250"/>
      <c r="F282" s="251"/>
      <c r="G282" s="251"/>
      <c r="H282" s="188"/>
      <c r="I282" s="257"/>
      <c r="J282" s="257"/>
      <c r="K282" s="257"/>
      <c r="L282" s="27"/>
      <c r="M282" s="58"/>
      <c r="N282" s="58"/>
    </row>
    <row r="283" spans="1:14" ht="27" customHeight="1">
      <c r="A283" s="261"/>
      <c r="B283" s="260"/>
      <c r="C283" s="257"/>
      <c r="D283" s="260"/>
      <c r="E283" s="257"/>
      <c r="F283" s="156"/>
      <c r="G283" s="156"/>
      <c r="H283" s="257"/>
      <c r="I283" s="257"/>
      <c r="J283" s="257"/>
      <c r="K283" s="257"/>
      <c r="L283" s="252"/>
      <c r="M283" s="261"/>
      <c r="N283" s="257"/>
    </row>
    <row r="284" spans="1:14" ht="27" customHeight="1">
      <c r="A284" s="261"/>
      <c r="B284" s="260"/>
      <c r="C284" s="257"/>
      <c r="D284" s="260"/>
      <c r="E284" s="257"/>
      <c r="F284" s="156"/>
      <c r="G284" s="156"/>
      <c r="H284" s="257"/>
      <c r="I284" s="257"/>
      <c r="J284" s="257"/>
      <c r="K284" s="257"/>
      <c r="L284" s="252"/>
      <c r="M284" s="261"/>
      <c r="N284" s="257"/>
    </row>
    <row r="285" spans="1:14" ht="27" customHeight="1">
      <c r="A285" s="261"/>
      <c r="B285" s="260"/>
      <c r="C285" s="257"/>
      <c r="D285" s="260"/>
      <c r="E285" s="257"/>
      <c r="F285" s="156"/>
      <c r="G285" s="156"/>
      <c r="H285" s="257"/>
      <c r="I285" s="257"/>
      <c r="J285" s="257"/>
      <c r="K285" s="257"/>
      <c r="L285" s="252"/>
      <c r="M285" s="261"/>
      <c r="N285" s="257"/>
    </row>
    <row r="286" spans="1:14" ht="27" customHeight="1">
      <c r="A286" s="261"/>
      <c r="B286" s="260"/>
      <c r="C286" s="257"/>
      <c r="D286" s="260"/>
      <c r="E286" s="257"/>
      <c r="F286" s="156"/>
      <c r="G286" s="156"/>
      <c r="H286" s="257"/>
      <c r="I286" s="257"/>
      <c r="J286" s="257"/>
      <c r="K286" s="257"/>
      <c r="L286" s="252"/>
      <c r="M286" s="261"/>
      <c r="N286" s="257"/>
    </row>
    <row r="287" spans="1:14" ht="27" customHeight="1">
      <c r="A287" s="261"/>
      <c r="B287" s="260"/>
      <c r="C287" s="257"/>
      <c r="D287" s="260"/>
      <c r="E287" s="257"/>
      <c r="F287" s="156"/>
      <c r="G287" s="156"/>
      <c r="H287" s="257"/>
      <c r="I287" s="257"/>
      <c r="J287" s="257"/>
      <c r="K287" s="257"/>
      <c r="L287" s="252"/>
      <c r="M287" s="261"/>
      <c r="N287" s="257"/>
    </row>
    <row r="288" spans="1:14" ht="27" customHeight="1">
      <c r="A288" s="261"/>
      <c r="B288" s="260"/>
      <c r="C288" s="257"/>
      <c r="D288" s="260"/>
      <c r="E288" s="257"/>
      <c r="F288" s="156"/>
      <c r="G288" s="156"/>
      <c r="H288" s="257"/>
      <c r="I288" s="257"/>
      <c r="J288" s="257"/>
      <c r="K288" s="257"/>
      <c r="L288" s="252"/>
      <c r="M288" s="261"/>
      <c r="N288" s="257"/>
    </row>
    <row r="289" spans="1:14" ht="27" customHeight="1">
      <c r="A289" s="261"/>
      <c r="B289" s="260"/>
      <c r="C289" s="257"/>
      <c r="D289" s="260"/>
      <c r="E289" s="257"/>
      <c r="F289" s="156"/>
      <c r="G289" s="156"/>
      <c r="H289" s="257"/>
      <c r="I289" s="257"/>
      <c r="J289" s="257"/>
      <c r="K289" s="257"/>
      <c r="L289" s="252"/>
      <c r="M289" s="261"/>
      <c r="N289" s="257"/>
    </row>
    <row r="290" spans="1:14" ht="27" customHeight="1">
      <c r="A290" s="261"/>
      <c r="B290" s="260"/>
      <c r="C290" s="257"/>
      <c r="D290" s="260"/>
      <c r="E290" s="257"/>
      <c r="F290" s="156"/>
      <c r="G290" s="156"/>
      <c r="H290" s="257"/>
      <c r="I290" s="257"/>
      <c r="J290" s="257"/>
      <c r="K290" s="257"/>
      <c r="L290" s="252"/>
      <c r="M290" s="261"/>
      <c r="N290" s="257"/>
    </row>
    <row r="291" spans="1:14" ht="27" customHeight="1">
      <c r="A291" s="261"/>
      <c r="B291" s="260"/>
      <c r="C291" s="257"/>
      <c r="D291" s="260"/>
      <c r="E291" s="257"/>
      <c r="F291" s="156"/>
      <c r="G291" s="156"/>
      <c r="H291" s="257"/>
      <c r="I291" s="257"/>
      <c r="J291" s="257"/>
      <c r="K291" s="257"/>
      <c r="L291" s="252"/>
      <c r="M291" s="261"/>
      <c r="N291" s="257"/>
    </row>
    <row r="292" spans="1:14" ht="27" customHeight="1">
      <c r="A292" s="252"/>
      <c r="B292" s="252"/>
      <c r="C292" s="257"/>
      <c r="D292" s="48"/>
      <c r="E292" s="48"/>
      <c r="F292" s="257"/>
      <c r="G292" s="257"/>
      <c r="H292" s="252"/>
      <c r="I292" s="252"/>
      <c r="J292" s="252"/>
      <c r="K292" s="257"/>
      <c r="L292" s="252"/>
      <c r="M292" s="268"/>
      <c r="N292" s="268"/>
    </row>
    <row r="293" spans="1:14" ht="27" customHeight="1">
      <c r="A293" s="261"/>
      <c r="B293" s="260"/>
      <c r="C293" s="257"/>
      <c r="D293" s="260"/>
      <c r="E293" s="257"/>
      <c r="F293" s="156"/>
      <c r="G293" s="156"/>
      <c r="H293" s="257"/>
      <c r="I293" s="257"/>
      <c r="J293" s="257"/>
      <c r="K293" s="257"/>
      <c r="L293" s="252"/>
      <c r="M293" s="261"/>
      <c r="N293" s="257"/>
    </row>
    <row r="294" spans="1:14" ht="27" customHeight="1">
      <c r="A294" s="261"/>
      <c r="B294" s="260"/>
      <c r="C294" s="257"/>
      <c r="D294" s="260"/>
      <c r="E294" s="257"/>
      <c r="F294" s="156"/>
      <c r="G294" s="156"/>
      <c r="H294" s="257"/>
      <c r="I294" s="257"/>
      <c r="J294" s="257"/>
      <c r="K294" s="257"/>
      <c r="L294" s="252"/>
      <c r="M294" s="261"/>
      <c r="N294" s="257"/>
    </row>
    <row r="295" spans="1:14" ht="27" customHeight="1">
      <c r="A295" s="261"/>
      <c r="B295" s="260"/>
      <c r="C295" s="257"/>
      <c r="D295" s="260"/>
      <c r="E295" s="257"/>
      <c r="F295" s="156"/>
      <c r="G295" s="156"/>
      <c r="H295" s="257"/>
      <c r="I295" s="257"/>
      <c r="J295" s="257"/>
      <c r="K295" s="257"/>
      <c r="L295" s="252"/>
      <c r="M295" s="261"/>
      <c r="N295" s="257"/>
    </row>
    <row r="296" spans="1:14" ht="27" customHeight="1">
      <c r="A296" s="261"/>
      <c r="B296" s="260"/>
      <c r="C296" s="257"/>
      <c r="D296" s="260"/>
      <c r="E296" s="257"/>
      <c r="F296" s="156"/>
      <c r="G296" s="156"/>
      <c r="H296" s="257"/>
      <c r="I296" s="257"/>
      <c r="J296" s="257"/>
      <c r="K296" s="257"/>
      <c r="L296" s="252"/>
      <c r="M296" s="261"/>
      <c r="N296" s="257"/>
    </row>
    <row r="297" spans="1:14" ht="27" customHeight="1">
      <c r="A297" s="143"/>
      <c r="B297" s="143"/>
      <c r="C297" s="257"/>
      <c r="D297" s="257"/>
      <c r="E297" s="209"/>
      <c r="F297" s="151"/>
      <c r="G297" s="151"/>
      <c r="H297" s="262"/>
      <c r="I297" s="262"/>
      <c r="J297" s="188"/>
      <c r="K297" s="257"/>
      <c r="L297" s="257"/>
      <c r="M297" s="261"/>
      <c r="N297" s="258"/>
    </row>
    <row r="298" spans="1:14" ht="27" customHeight="1">
      <c r="A298" s="143"/>
      <c r="B298" s="143"/>
      <c r="C298" s="257"/>
      <c r="D298" s="257"/>
      <c r="E298" s="209"/>
      <c r="F298" s="151"/>
      <c r="G298" s="151"/>
      <c r="H298" s="262"/>
      <c r="I298" s="262"/>
      <c r="J298" s="188"/>
      <c r="K298" s="257"/>
      <c r="L298" s="257"/>
      <c r="M298" s="261"/>
      <c r="N298" s="258"/>
    </row>
    <row r="299" spans="1:14" ht="27" customHeight="1">
      <c r="A299" s="261"/>
      <c r="B299" s="260"/>
      <c r="C299" s="257"/>
      <c r="D299" s="260"/>
      <c r="E299" s="257"/>
      <c r="F299" s="156"/>
      <c r="G299" s="156"/>
      <c r="H299" s="257"/>
      <c r="I299" s="257"/>
      <c r="J299" s="257"/>
      <c r="K299" s="257"/>
      <c r="L299" s="252"/>
      <c r="M299" s="261"/>
      <c r="N299" s="257"/>
    </row>
    <row r="300" spans="1:14" ht="27" customHeight="1">
      <c r="A300" s="252"/>
      <c r="B300" s="256"/>
      <c r="C300" s="252"/>
      <c r="D300" s="250"/>
      <c r="E300" s="250"/>
      <c r="F300" s="251"/>
      <c r="G300" s="251"/>
      <c r="H300" s="282"/>
      <c r="I300" s="256"/>
      <c r="J300" s="256"/>
      <c r="K300" s="257"/>
      <c r="L300" s="257"/>
      <c r="M300" s="258"/>
      <c r="N300" s="258"/>
    </row>
    <row r="301" spans="1:14" ht="27" customHeight="1">
      <c r="A301" s="252"/>
      <c r="B301" s="252"/>
      <c r="C301" s="257"/>
      <c r="D301" s="48"/>
      <c r="E301" s="48"/>
      <c r="F301" s="257"/>
      <c r="G301" s="257"/>
      <c r="H301" s="252"/>
      <c r="I301" s="252"/>
      <c r="J301" s="252"/>
      <c r="K301" s="257"/>
      <c r="L301" s="252"/>
      <c r="M301" s="268"/>
      <c r="N301" s="268"/>
    </row>
    <row r="302" spans="1:14" ht="27" customHeight="1">
      <c r="A302" s="27"/>
      <c r="B302" s="27"/>
      <c r="C302" s="252"/>
      <c r="D302" s="29"/>
      <c r="E302" s="29"/>
      <c r="F302" s="251"/>
      <c r="G302" s="251"/>
      <c r="H302" s="281"/>
      <c r="I302" s="27"/>
      <c r="J302" s="27"/>
      <c r="K302" s="257"/>
      <c r="L302" s="27"/>
      <c r="M302" s="58"/>
      <c r="N302" s="58"/>
    </row>
    <row r="303" spans="1:14" ht="27" customHeight="1">
      <c r="A303" s="261"/>
      <c r="B303" s="260"/>
      <c r="C303" s="257"/>
      <c r="D303" s="260"/>
      <c r="E303" s="257"/>
      <c r="F303" s="156"/>
      <c r="G303" s="156"/>
      <c r="H303" s="257"/>
      <c r="I303" s="257"/>
      <c r="J303" s="257"/>
      <c r="K303" s="257"/>
      <c r="L303" s="252"/>
      <c r="M303" s="261"/>
      <c r="N303" s="257"/>
    </row>
    <row r="304" spans="1:14" ht="27" customHeight="1">
      <c r="A304" s="252"/>
      <c r="B304" s="257"/>
      <c r="C304" s="257"/>
      <c r="D304" s="250"/>
      <c r="E304" s="252"/>
      <c r="F304" s="137"/>
      <c r="G304" s="137"/>
      <c r="H304" s="188"/>
      <c r="I304" s="257"/>
      <c r="J304" s="257"/>
      <c r="K304" s="257"/>
      <c r="L304" s="27"/>
      <c r="M304" s="268"/>
      <c r="N304" s="268"/>
    </row>
    <row r="305" spans="1:14" s="259" customFormat="1" ht="27" customHeight="1">
      <c r="A305" s="27"/>
      <c r="B305" s="27"/>
      <c r="C305" s="252"/>
      <c r="D305" s="250"/>
      <c r="E305" s="250"/>
      <c r="F305" s="43"/>
      <c r="G305" s="43"/>
      <c r="H305" s="27"/>
      <c r="I305" s="27"/>
      <c r="J305" s="27"/>
      <c r="K305" s="257"/>
      <c r="L305" s="27"/>
      <c r="M305" s="58"/>
      <c r="N305" s="58"/>
    </row>
    <row r="306" spans="1:14" s="157" customFormat="1" ht="27" customHeight="1">
      <c r="A306" s="27"/>
      <c r="B306" s="27"/>
      <c r="C306" s="252"/>
      <c r="D306" s="250"/>
      <c r="E306" s="250"/>
      <c r="F306" s="43"/>
      <c r="G306" s="43"/>
      <c r="H306" s="27"/>
      <c r="I306" s="27"/>
      <c r="J306" s="27"/>
      <c r="K306" s="257"/>
      <c r="L306" s="27"/>
      <c r="M306" s="58"/>
      <c r="N306" s="58"/>
    </row>
    <row r="307" spans="1:14" s="157" customFormat="1" ht="27" customHeight="1">
      <c r="A307" s="261"/>
      <c r="B307" s="260"/>
      <c r="C307" s="257"/>
      <c r="D307" s="260"/>
      <c r="E307" s="257"/>
      <c r="F307" s="156"/>
      <c r="G307" s="156"/>
      <c r="H307" s="257"/>
      <c r="I307" s="257"/>
      <c r="J307" s="257"/>
      <c r="K307" s="257"/>
      <c r="L307" s="252"/>
      <c r="M307" s="261"/>
      <c r="N307" s="257"/>
    </row>
    <row r="308" spans="1:14" s="157" customFormat="1" ht="27.75" customHeight="1">
      <c r="A308" s="261"/>
      <c r="B308" s="260"/>
      <c r="C308" s="257"/>
      <c r="D308" s="260"/>
      <c r="E308" s="257"/>
      <c r="F308" s="156"/>
      <c r="G308" s="156"/>
      <c r="H308" s="257"/>
      <c r="I308" s="257"/>
      <c r="J308" s="257"/>
      <c r="K308" s="257"/>
      <c r="L308" s="252"/>
      <c r="M308" s="261"/>
      <c r="N308" s="257"/>
    </row>
    <row r="309" spans="1:14" s="157" customFormat="1" ht="27.75" customHeight="1">
      <c r="A309" s="252"/>
      <c r="B309" s="256"/>
      <c r="C309" s="252"/>
      <c r="D309" s="261"/>
      <c r="E309" s="261"/>
      <c r="F309" s="138"/>
      <c r="G309" s="138"/>
      <c r="H309" s="282"/>
      <c r="I309" s="256"/>
      <c r="J309" s="256"/>
      <c r="K309" s="257"/>
      <c r="L309" s="257"/>
      <c r="M309" s="258"/>
      <c r="N309" s="258"/>
    </row>
    <row r="310" spans="1:14" ht="27" customHeight="1">
      <c r="A310" s="261"/>
      <c r="B310" s="260"/>
      <c r="C310" s="257"/>
      <c r="D310" s="260"/>
      <c r="E310" s="257"/>
      <c r="F310" s="156"/>
      <c r="G310" s="156"/>
      <c r="H310" s="257"/>
      <c r="I310" s="257"/>
      <c r="J310" s="257"/>
      <c r="K310" s="257"/>
      <c r="L310" s="252"/>
      <c r="M310" s="261"/>
      <c r="N310" s="257"/>
    </row>
    <row r="311" spans="1:14" ht="27" customHeight="1">
      <c r="A311" s="27"/>
      <c r="B311" s="27"/>
      <c r="C311" s="252"/>
      <c r="D311" s="250"/>
      <c r="E311" s="139"/>
      <c r="F311" s="43"/>
      <c r="G311" s="43"/>
      <c r="H311" s="27"/>
      <c r="I311" s="27"/>
      <c r="J311" s="27"/>
      <c r="K311" s="257"/>
      <c r="L311" s="27"/>
      <c r="M311" s="58"/>
      <c r="N311" s="58"/>
    </row>
    <row r="312" spans="1:14" ht="27" customHeight="1">
      <c r="A312" s="27"/>
      <c r="B312" s="27"/>
      <c r="C312" s="252"/>
      <c r="D312" s="29"/>
      <c r="E312" s="37"/>
      <c r="F312" s="43"/>
      <c r="G312" s="43"/>
      <c r="H312" s="27"/>
      <c r="I312" s="27"/>
      <c r="J312" s="27"/>
      <c r="K312" s="257"/>
      <c r="L312" s="27"/>
      <c r="M312" s="58"/>
      <c r="N312" s="58"/>
    </row>
    <row r="313" spans="1:14" ht="27" customHeight="1">
      <c r="A313" s="261"/>
      <c r="B313" s="260"/>
      <c r="C313" s="257"/>
      <c r="D313" s="260"/>
      <c r="E313" s="257"/>
      <c r="F313" s="156"/>
      <c r="G313" s="156"/>
      <c r="H313" s="257"/>
      <c r="I313" s="257"/>
      <c r="J313" s="257"/>
      <c r="K313" s="257"/>
      <c r="L313" s="252"/>
      <c r="M313" s="261"/>
      <c r="N313" s="257"/>
    </row>
    <row r="314" spans="1:14" ht="27" customHeight="1">
      <c r="A314" s="254"/>
      <c r="B314" s="254"/>
      <c r="C314" s="252"/>
      <c r="D314" s="37"/>
      <c r="E314" s="37"/>
      <c r="F314" s="137"/>
      <c r="G314" s="137"/>
      <c r="H314" s="277"/>
      <c r="I314" s="254"/>
      <c r="J314" s="254"/>
      <c r="K314" s="257"/>
      <c r="L314" s="27"/>
      <c r="M314" s="271"/>
      <c r="N314" s="271"/>
    </row>
    <row r="315" spans="1:14" ht="27" customHeight="1">
      <c r="A315" s="254"/>
      <c r="B315" s="254"/>
      <c r="C315" s="252"/>
      <c r="D315" s="37"/>
      <c r="E315" s="29"/>
      <c r="F315" s="137"/>
      <c r="G315" s="137"/>
      <c r="H315" s="277"/>
      <c r="I315" s="254"/>
      <c r="J315" s="254"/>
      <c r="K315" s="257"/>
      <c r="L315" s="27"/>
      <c r="M315" s="58"/>
      <c r="N315" s="58"/>
    </row>
    <row r="316" spans="1:14" ht="27" customHeight="1">
      <c r="A316" s="252"/>
      <c r="B316" s="252"/>
      <c r="C316" s="257"/>
      <c r="D316" s="48"/>
      <c r="E316" s="29"/>
      <c r="F316" s="257"/>
      <c r="G316" s="257"/>
      <c r="H316" s="252"/>
      <c r="I316" s="252"/>
      <c r="J316" s="252"/>
      <c r="K316" s="257"/>
      <c r="L316" s="252"/>
      <c r="M316" s="268"/>
      <c r="N316" s="268"/>
    </row>
    <row r="317" spans="1:14" ht="27" customHeight="1">
      <c r="A317" s="252"/>
      <c r="B317" s="252"/>
      <c r="C317" s="257"/>
      <c r="D317" s="48"/>
      <c r="E317" s="29"/>
      <c r="F317" s="172"/>
      <c r="G317" s="172"/>
      <c r="H317" s="252"/>
      <c r="I317" s="252"/>
      <c r="J317" s="252"/>
      <c r="K317" s="257"/>
      <c r="L317" s="252"/>
      <c r="M317" s="268"/>
      <c r="N317" s="268"/>
    </row>
    <row r="318" spans="1:14" ht="27" customHeight="1">
      <c r="A318" s="252"/>
      <c r="B318" s="260"/>
      <c r="C318" s="252"/>
      <c r="D318" s="261"/>
      <c r="E318" s="29"/>
      <c r="F318" s="137"/>
      <c r="G318" s="137"/>
      <c r="H318" s="264"/>
      <c r="I318" s="260"/>
      <c r="J318" s="260"/>
      <c r="K318" s="257"/>
      <c r="L318" s="27"/>
      <c r="M318" s="271"/>
      <c r="N318" s="271"/>
    </row>
    <row r="319" spans="1:14" ht="27" customHeight="1">
      <c r="A319" s="252"/>
      <c r="B319" s="260"/>
      <c r="C319" s="252"/>
      <c r="D319" s="261"/>
      <c r="E319" s="29"/>
      <c r="F319" s="137"/>
      <c r="G319" s="137"/>
      <c r="H319" s="264"/>
      <c r="I319" s="260"/>
      <c r="J319" s="260"/>
      <c r="K319" s="257"/>
      <c r="L319" s="27"/>
      <c r="M319" s="271"/>
      <c r="N319" s="271"/>
    </row>
    <row r="320" spans="1:14" ht="27" customHeight="1">
      <c r="A320" s="143"/>
      <c r="B320" s="143"/>
      <c r="C320" s="260"/>
      <c r="D320" s="257"/>
      <c r="E320" s="209"/>
      <c r="F320" s="151"/>
      <c r="G320" s="151"/>
      <c r="H320" s="262"/>
      <c r="I320" s="262"/>
      <c r="J320" s="262"/>
      <c r="K320" s="262"/>
      <c r="L320" s="257"/>
      <c r="M320" s="261"/>
      <c r="N320" s="144"/>
    </row>
    <row r="321" spans="1:14" ht="27" customHeight="1">
      <c r="A321" s="143"/>
      <c r="B321" s="143"/>
      <c r="C321" s="260"/>
      <c r="D321" s="257"/>
      <c r="E321" s="209"/>
      <c r="F321" s="151"/>
      <c r="G321" s="151"/>
      <c r="H321" s="262"/>
      <c r="I321" s="262"/>
      <c r="J321" s="262"/>
      <c r="K321" s="262"/>
      <c r="L321" s="257"/>
      <c r="M321" s="261"/>
      <c r="N321" s="144"/>
    </row>
    <row r="322" spans="1:14" ht="27" customHeight="1">
      <c r="A322" s="261"/>
      <c r="B322" s="260"/>
      <c r="C322" s="257"/>
      <c r="D322" s="260"/>
      <c r="E322" s="257"/>
      <c r="F322" s="156"/>
      <c r="G322" s="156"/>
      <c r="H322" s="257"/>
      <c r="I322" s="257"/>
      <c r="J322" s="257"/>
      <c r="K322" s="257"/>
      <c r="L322" s="252"/>
      <c r="M322" s="261"/>
      <c r="N322" s="257"/>
    </row>
    <row r="323" spans="1:14" ht="27" customHeight="1">
      <c r="A323" s="261"/>
      <c r="B323" s="260"/>
      <c r="C323" s="257"/>
      <c r="D323" s="260"/>
      <c r="E323" s="257"/>
      <c r="F323" s="156"/>
      <c r="G323" s="156"/>
      <c r="H323" s="257"/>
      <c r="I323" s="257"/>
      <c r="J323" s="257"/>
      <c r="K323" s="257"/>
      <c r="L323" s="252"/>
      <c r="M323" s="261"/>
      <c r="N323" s="257"/>
    </row>
    <row r="324" spans="1:14" ht="27" customHeight="1">
      <c r="A324" s="261"/>
      <c r="B324" s="260"/>
      <c r="C324" s="257"/>
      <c r="D324" s="260"/>
      <c r="E324" s="257"/>
      <c r="F324" s="156"/>
      <c r="G324" s="156"/>
      <c r="H324" s="257"/>
      <c r="I324" s="257"/>
      <c r="J324" s="257"/>
      <c r="K324" s="257"/>
      <c r="L324" s="252"/>
      <c r="M324" s="261"/>
      <c r="N324" s="257"/>
    </row>
    <row r="325" spans="1:14" ht="27" customHeight="1">
      <c r="A325" s="261"/>
      <c r="B325" s="260"/>
      <c r="C325" s="257"/>
      <c r="D325" s="260"/>
      <c r="E325" s="257"/>
      <c r="F325" s="156"/>
      <c r="G325" s="156"/>
      <c r="H325" s="257"/>
      <c r="I325" s="257"/>
      <c r="J325" s="257"/>
      <c r="K325" s="257"/>
      <c r="L325" s="252"/>
      <c r="M325" s="261"/>
      <c r="N325" s="257"/>
    </row>
    <row r="326" spans="1:14" ht="27" customHeight="1">
      <c r="A326" s="261"/>
      <c r="B326" s="260"/>
      <c r="C326" s="257"/>
      <c r="D326" s="260"/>
      <c r="E326" s="257"/>
      <c r="F326" s="156"/>
      <c r="G326" s="156"/>
      <c r="H326" s="257"/>
      <c r="I326" s="257"/>
      <c r="J326" s="257"/>
      <c r="K326" s="257"/>
      <c r="L326" s="252"/>
      <c r="M326" s="261"/>
      <c r="N326" s="257"/>
    </row>
    <row r="327" spans="1:14" ht="27" customHeight="1">
      <c r="A327" s="27"/>
      <c r="B327" s="27"/>
      <c r="C327" s="252"/>
      <c r="D327" s="250"/>
      <c r="E327" s="29"/>
      <c r="F327" s="43"/>
      <c r="G327" s="43"/>
      <c r="H327" s="27"/>
      <c r="I327" s="27"/>
      <c r="J327" s="27"/>
      <c r="K327" s="257"/>
      <c r="L327" s="27"/>
      <c r="M327" s="58"/>
      <c r="N327" s="58"/>
    </row>
    <row r="328" spans="1:14" ht="27" customHeight="1">
      <c r="A328" s="252"/>
      <c r="B328" s="257"/>
      <c r="C328" s="252"/>
      <c r="D328" s="48"/>
      <c r="E328" s="29"/>
      <c r="F328" s="43"/>
      <c r="G328" s="43"/>
      <c r="H328" s="264"/>
      <c r="I328" s="260"/>
      <c r="J328" s="260"/>
      <c r="K328" s="257"/>
      <c r="L328" s="257"/>
      <c r="M328" s="266"/>
      <c r="N328" s="266"/>
    </row>
    <row r="329" spans="1:14" ht="27" customHeight="1">
      <c r="A329" s="252"/>
      <c r="B329" s="257"/>
      <c r="C329" s="252"/>
      <c r="D329" s="48"/>
      <c r="E329" s="29"/>
      <c r="F329" s="43"/>
      <c r="G329" s="43"/>
      <c r="H329" s="264"/>
      <c r="I329" s="260"/>
      <c r="J329" s="260"/>
      <c r="K329" s="257"/>
      <c r="L329" s="257"/>
      <c r="M329" s="266"/>
      <c r="N329" s="266"/>
    </row>
    <row r="330" spans="1:14" ht="27" customHeight="1">
      <c r="A330" s="248"/>
      <c r="B330" s="248"/>
      <c r="C330" s="257"/>
      <c r="D330" s="250"/>
      <c r="E330" s="29"/>
      <c r="F330" s="251"/>
      <c r="G330" s="251"/>
      <c r="H330" s="264"/>
      <c r="I330" s="260"/>
      <c r="J330" s="260"/>
      <c r="K330" s="257"/>
      <c r="L330" s="248"/>
      <c r="M330" s="58"/>
      <c r="N330" s="58"/>
    </row>
    <row r="331" spans="1:14" s="259" customFormat="1" ht="14.25">
      <c r="A331" s="254"/>
      <c r="B331" s="254"/>
      <c r="C331" s="252"/>
      <c r="D331" s="261"/>
      <c r="E331" s="29"/>
      <c r="F331" s="137"/>
      <c r="G331" s="137"/>
      <c r="H331" s="264"/>
      <c r="I331" s="260"/>
      <c r="J331" s="260"/>
      <c r="K331" s="257"/>
      <c r="L331" s="27"/>
      <c r="M331" s="271"/>
      <c r="N331" s="271"/>
    </row>
    <row r="332" spans="1:14" ht="27" customHeight="1">
      <c r="A332" s="254"/>
      <c r="B332" s="254"/>
      <c r="C332" s="252"/>
      <c r="D332" s="261"/>
      <c r="E332" s="29"/>
      <c r="F332" s="137"/>
      <c r="G332" s="137"/>
      <c r="H332" s="264"/>
      <c r="I332" s="260"/>
      <c r="J332" s="260"/>
      <c r="K332" s="257"/>
      <c r="L332" s="27"/>
      <c r="M332" s="271"/>
      <c r="N332" s="271"/>
    </row>
    <row r="333" spans="1:14" ht="27" customHeight="1">
      <c r="A333" s="252"/>
      <c r="B333" s="252"/>
      <c r="C333" s="257"/>
      <c r="D333" s="48"/>
      <c r="E333" s="29"/>
      <c r="F333" s="257"/>
      <c r="G333" s="257"/>
      <c r="H333" s="160"/>
      <c r="I333" s="160"/>
      <c r="J333" s="160"/>
      <c r="K333" s="257"/>
      <c r="L333" s="252"/>
      <c r="M333" s="268"/>
      <c r="N333" s="268"/>
    </row>
    <row r="334" spans="1:14" ht="27" customHeight="1">
      <c r="A334" s="252"/>
      <c r="B334" s="252"/>
      <c r="C334" s="257"/>
      <c r="D334" s="48"/>
      <c r="E334" s="181"/>
      <c r="F334" s="257"/>
      <c r="G334" s="257"/>
      <c r="H334" s="252"/>
      <c r="I334" s="252"/>
      <c r="J334" s="252"/>
      <c r="K334" s="257"/>
      <c r="L334" s="252"/>
      <c r="M334" s="268"/>
      <c r="N334" s="268"/>
    </row>
    <row r="335" spans="1:14" ht="27" customHeight="1">
      <c r="A335" s="252"/>
      <c r="B335" s="252"/>
      <c r="C335" s="257"/>
      <c r="D335" s="48"/>
      <c r="E335" s="48"/>
      <c r="F335" s="172"/>
      <c r="G335" s="172"/>
      <c r="H335" s="200"/>
      <c r="I335" s="252"/>
      <c r="J335" s="252"/>
      <c r="K335" s="257"/>
      <c r="L335" s="252"/>
      <c r="M335" s="268"/>
      <c r="N335" s="268"/>
    </row>
    <row r="336" spans="1:14" ht="27" customHeight="1">
      <c r="A336" s="252"/>
      <c r="B336" s="46"/>
      <c r="C336" s="252"/>
      <c r="D336" s="250"/>
      <c r="E336" s="250"/>
      <c r="F336" s="43"/>
      <c r="G336" s="43"/>
      <c r="H336" s="243"/>
      <c r="I336" s="46"/>
      <c r="J336" s="46"/>
      <c r="K336" s="257"/>
      <c r="L336" s="257"/>
      <c r="M336" s="258"/>
      <c r="N336" s="258"/>
    </row>
    <row r="337" spans="1:14" ht="27" customHeight="1">
      <c r="A337" s="261"/>
      <c r="B337" s="260"/>
      <c r="C337" s="257"/>
      <c r="D337" s="260"/>
      <c r="E337" s="257"/>
      <c r="F337" s="156"/>
      <c r="G337" s="156"/>
      <c r="H337" s="257"/>
      <c r="I337" s="257"/>
      <c r="J337" s="257"/>
      <c r="K337" s="257"/>
      <c r="L337" s="252"/>
      <c r="M337" s="261"/>
      <c r="N337" s="257"/>
    </row>
    <row r="338" spans="1:14" ht="27" customHeight="1">
      <c r="A338" s="261"/>
      <c r="B338" s="260"/>
      <c r="C338" s="257"/>
      <c r="D338" s="260"/>
      <c r="E338" s="257"/>
      <c r="F338" s="156"/>
      <c r="G338" s="156"/>
      <c r="H338" s="257"/>
      <c r="I338" s="257"/>
      <c r="J338" s="257"/>
      <c r="K338" s="257"/>
      <c r="L338" s="252"/>
      <c r="M338" s="261"/>
      <c r="N338" s="257"/>
    </row>
    <row r="339" spans="1:14" ht="27" customHeight="1">
      <c r="A339" s="261"/>
      <c r="B339" s="260"/>
      <c r="C339" s="257"/>
      <c r="D339" s="260"/>
      <c r="E339" s="257"/>
      <c r="F339" s="156"/>
      <c r="G339" s="156"/>
      <c r="H339" s="257"/>
      <c r="I339" s="257"/>
      <c r="J339" s="257"/>
      <c r="K339" s="257"/>
      <c r="L339" s="252"/>
      <c r="M339" s="261"/>
      <c r="N339" s="257"/>
    </row>
    <row r="340" spans="1:14" ht="27" customHeight="1">
      <c r="A340" s="261"/>
      <c r="B340" s="260"/>
      <c r="C340" s="257"/>
      <c r="D340" s="260"/>
      <c r="E340" s="257"/>
      <c r="F340" s="156"/>
      <c r="G340" s="156"/>
      <c r="H340" s="257"/>
      <c r="I340" s="257"/>
      <c r="J340" s="257"/>
      <c r="K340" s="257"/>
      <c r="L340" s="252"/>
      <c r="M340" s="261"/>
      <c r="N340" s="257"/>
    </row>
    <row r="341" spans="1:14" ht="27" customHeight="1">
      <c r="A341" s="252"/>
      <c r="B341" s="257"/>
      <c r="C341" s="252"/>
      <c r="D341" s="29"/>
      <c r="E341" s="29"/>
      <c r="F341" s="251"/>
      <c r="G341" s="251"/>
      <c r="H341" s="188"/>
      <c r="I341" s="257"/>
      <c r="J341" s="257"/>
      <c r="K341" s="257"/>
      <c r="L341" s="27"/>
      <c r="M341" s="58"/>
      <c r="N341" s="58"/>
    </row>
    <row r="342" spans="1:14" ht="27" customHeight="1">
      <c r="A342" s="252"/>
      <c r="B342" s="257"/>
      <c r="C342" s="252"/>
      <c r="D342" s="139"/>
      <c r="E342" s="139"/>
      <c r="F342" s="251"/>
      <c r="G342" s="251"/>
      <c r="H342" s="188"/>
      <c r="I342" s="257"/>
      <c r="J342" s="257"/>
      <c r="K342" s="257"/>
      <c r="L342" s="27"/>
      <c r="M342" s="268"/>
      <c r="N342" s="268"/>
    </row>
    <row r="343" spans="1:14" ht="27" customHeight="1">
      <c r="A343" s="252"/>
      <c r="B343" s="257"/>
      <c r="C343" s="252"/>
      <c r="D343" s="139"/>
      <c r="E343" s="139"/>
      <c r="F343" s="251"/>
      <c r="G343" s="251"/>
      <c r="H343" s="200"/>
      <c r="I343" s="188"/>
      <c r="J343" s="188"/>
      <c r="K343" s="257"/>
      <c r="L343" s="27"/>
      <c r="M343" s="268"/>
      <c r="N343" s="268"/>
    </row>
    <row r="344" spans="1:14" ht="27" customHeight="1">
      <c r="A344" s="261"/>
      <c r="B344" s="260"/>
      <c r="C344" s="257"/>
      <c r="D344" s="260"/>
      <c r="E344" s="257"/>
      <c r="F344" s="156"/>
      <c r="G344" s="156"/>
      <c r="H344" s="257"/>
      <c r="I344" s="257"/>
      <c r="J344" s="257"/>
      <c r="K344" s="257"/>
      <c r="L344" s="252"/>
      <c r="M344" s="261"/>
      <c r="N344" s="257"/>
    </row>
    <row r="345" spans="1:14" ht="27" customHeight="1">
      <c r="A345" s="257"/>
      <c r="B345" s="257"/>
      <c r="C345" s="257"/>
      <c r="D345" s="250"/>
      <c r="E345" s="250"/>
      <c r="F345" s="251"/>
      <c r="G345" s="251"/>
      <c r="H345" s="188"/>
      <c r="I345" s="257"/>
      <c r="J345" s="257"/>
      <c r="K345" s="257"/>
      <c r="L345" s="248"/>
      <c r="M345" s="58"/>
      <c r="N345" s="58"/>
    </row>
    <row r="346" spans="1:14" ht="27" customHeight="1">
      <c r="A346" s="252"/>
      <c r="B346" s="252"/>
      <c r="C346" s="257"/>
      <c r="D346" s="48"/>
      <c r="E346" s="48"/>
      <c r="F346" s="257"/>
      <c r="G346" s="257"/>
      <c r="H346" s="252"/>
      <c r="I346" s="252"/>
      <c r="J346" s="252"/>
      <c r="K346" s="257"/>
      <c r="L346" s="252"/>
      <c r="M346" s="268"/>
      <c r="N346" s="268"/>
    </row>
    <row r="347" spans="1:14" ht="27" customHeight="1">
      <c r="A347" s="10"/>
      <c r="B347" s="256"/>
      <c r="C347" s="252"/>
      <c r="D347" s="250"/>
      <c r="E347" s="250"/>
      <c r="F347" s="251"/>
      <c r="G347" s="251"/>
      <c r="H347" s="282"/>
      <c r="I347" s="256"/>
      <c r="J347" s="256"/>
      <c r="K347" s="257"/>
      <c r="L347" s="27"/>
      <c r="M347" s="268"/>
      <c r="N347" s="268"/>
    </row>
    <row r="348" spans="1:14" ht="27" customHeight="1">
      <c r="A348" s="257"/>
      <c r="B348" s="257"/>
      <c r="C348" s="257"/>
      <c r="D348" s="250"/>
      <c r="E348" s="250"/>
      <c r="F348" s="251"/>
      <c r="G348" s="251"/>
      <c r="H348" s="188"/>
      <c r="I348" s="257"/>
      <c r="J348" s="257"/>
      <c r="K348" s="257"/>
      <c r="L348" s="248"/>
      <c r="M348" s="268"/>
      <c r="N348" s="268"/>
    </row>
    <row r="349" spans="1:14" ht="27" customHeight="1">
      <c r="A349" s="143"/>
      <c r="B349" s="143"/>
      <c r="C349" s="260"/>
      <c r="D349" s="257"/>
      <c r="E349" s="209"/>
      <c r="F349" s="151"/>
      <c r="G349" s="151"/>
      <c r="H349" s="262"/>
      <c r="I349" s="262"/>
      <c r="J349" s="188"/>
      <c r="K349" s="257"/>
      <c r="L349" s="257"/>
      <c r="M349" s="261"/>
      <c r="N349" s="258"/>
    </row>
    <row r="350" spans="1:14" ht="27" customHeight="1">
      <c r="A350" s="261"/>
      <c r="B350" s="260"/>
      <c r="C350" s="257"/>
      <c r="D350" s="260"/>
      <c r="E350" s="257"/>
      <c r="F350" s="156"/>
      <c r="G350" s="156"/>
      <c r="H350" s="257"/>
      <c r="I350" s="257"/>
      <c r="J350" s="257"/>
      <c r="K350" s="257"/>
      <c r="L350" s="252"/>
      <c r="M350" s="261"/>
      <c r="N350" s="257"/>
    </row>
    <row r="351" spans="1:14" ht="27" customHeight="1">
      <c r="A351" s="261"/>
      <c r="B351" s="260"/>
      <c r="C351" s="257"/>
      <c r="D351" s="260"/>
      <c r="E351" s="257"/>
      <c r="F351" s="156"/>
      <c r="G351" s="156"/>
      <c r="H351" s="257"/>
      <c r="I351" s="257"/>
      <c r="J351" s="257"/>
      <c r="K351" s="257"/>
      <c r="L351" s="252"/>
      <c r="M351" s="261"/>
      <c r="N351" s="257"/>
    </row>
    <row r="352" spans="1:14" s="157" customFormat="1" ht="27" customHeight="1">
      <c r="A352" s="27"/>
      <c r="B352" s="27"/>
      <c r="C352" s="252"/>
      <c r="D352" s="250"/>
      <c r="E352" s="250"/>
      <c r="F352" s="43"/>
      <c r="G352" s="43"/>
      <c r="H352" s="27"/>
      <c r="I352" s="27"/>
      <c r="J352" s="27"/>
      <c r="K352" s="257"/>
      <c r="L352" s="27"/>
      <c r="M352" s="58"/>
      <c r="N352" s="58"/>
    </row>
    <row r="353" spans="1:14" ht="27" customHeight="1">
      <c r="A353" s="252"/>
      <c r="B353" s="46"/>
      <c r="C353" s="252"/>
      <c r="D353" s="48"/>
      <c r="E353" s="48"/>
      <c r="F353" s="43"/>
      <c r="G353" s="43"/>
      <c r="H353" s="243"/>
      <c r="I353" s="46"/>
      <c r="J353" s="46"/>
      <c r="K353" s="257"/>
      <c r="L353" s="257"/>
      <c r="M353" s="266"/>
      <c r="N353" s="266"/>
    </row>
    <row r="354" spans="1:14" ht="27" customHeight="1">
      <c r="A354" s="261"/>
      <c r="B354" s="260"/>
      <c r="C354" s="257"/>
      <c r="D354" s="260"/>
      <c r="E354" s="257"/>
      <c r="F354" s="156"/>
      <c r="G354" s="156"/>
      <c r="H354" s="257"/>
      <c r="I354" s="257"/>
      <c r="J354" s="257"/>
      <c r="K354" s="257"/>
      <c r="L354" s="252"/>
      <c r="M354" s="261"/>
      <c r="N354" s="257"/>
    </row>
    <row r="355" spans="1:14" ht="27" customHeight="1">
      <c r="A355" s="27"/>
      <c r="B355" s="27"/>
      <c r="C355" s="252"/>
      <c r="D355" s="260"/>
      <c r="E355" s="250"/>
      <c r="F355" s="251"/>
      <c r="G355" s="251"/>
      <c r="H355" s="281"/>
      <c r="I355" s="247"/>
      <c r="J355" s="247"/>
      <c r="K355" s="257"/>
      <c r="L355" s="27"/>
      <c r="M355" s="58"/>
      <c r="N355" s="58"/>
    </row>
    <row r="356" spans="1:14" s="342" customFormat="1" ht="27" customHeight="1">
      <c r="A356" s="252"/>
      <c r="B356" s="252"/>
      <c r="C356" s="257"/>
      <c r="D356" s="48"/>
      <c r="E356" s="48"/>
      <c r="F356" s="257"/>
      <c r="G356" s="257"/>
      <c r="H356" s="252"/>
      <c r="I356" s="252"/>
      <c r="J356" s="252"/>
      <c r="K356" s="257"/>
      <c r="L356" s="252"/>
      <c r="M356" s="268"/>
      <c r="N356" s="268"/>
    </row>
    <row r="357" spans="1:14" s="259" customFormat="1" ht="27" customHeight="1">
      <c r="A357" s="257"/>
      <c r="B357" s="256"/>
      <c r="C357" s="257"/>
      <c r="D357" s="250"/>
      <c r="E357" s="250"/>
      <c r="F357" s="251"/>
      <c r="G357" s="251"/>
      <c r="H357" s="282"/>
      <c r="I357" s="256"/>
      <c r="J357" s="256"/>
      <c r="K357" s="257"/>
      <c r="L357" s="257"/>
      <c r="M357" s="258"/>
      <c r="N357" s="258"/>
    </row>
    <row r="358" spans="1:14" ht="27" customHeight="1">
      <c r="A358" s="261"/>
      <c r="B358" s="260"/>
      <c r="C358" s="257"/>
      <c r="D358" s="260"/>
      <c r="E358" s="257"/>
      <c r="F358" s="156"/>
      <c r="G358" s="156"/>
      <c r="H358" s="257"/>
      <c r="I358" s="257"/>
      <c r="J358" s="257"/>
      <c r="K358" s="257"/>
      <c r="L358" s="252"/>
      <c r="M358" s="261"/>
      <c r="N358" s="257"/>
    </row>
    <row r="359" spans="1:14" ht="27" customHeight="1">
      <c r="A359" s="252"/>
      <c r="B359" s="252"/>
      <c r="C359" s="257"/>
      <c r="D359" s="48"/>
      <c r="E359" s="48"/>
      <c r="F359" s="257"/>
      <c r="G359" s="257"/>
      <c r="H359" s="252"/>
      <c r="I359" s="252"/>
      <c r="J359" s="252"/>
      <c r="K359" s="257"/>
      <c r="L359" s="252"/>
      <c r="M359" s="268"/>
      <c r="N359" s="268"/>
    </row>
    <row r="360" spans="1:14" ht="27" customHeight="1">
      <c r="A360" s="252"/>
      <c r="B360" s="46"/>
      <c r="C360" s="252"/>
      <c r="D360" s="48"/>
      <c r="E360" s="48"/>
      <c r="F360" s="43"/>
      <c r="G360" s="43"/>
      <c r="H360" s="243"/>
      <c r="I360" s="46"/>
      <c r="J360" s="46"/>
      <c r="K360" s="257"/>
      <c r="L360" s="257"/>
      <c r="M360" s="266"/>
      <c r="N360" s="266"/>
    </row>
    <row r="361" spans="1:14" ht="27" customHeight="1">
      <c r="A361" s="252"/>
      <c r="B361" s="46"/>
      <c r="C361" s="252"/>
      <c r="D361" s="48"/>
      <c r="E361" s="48"/>
      <c r="F361" s="43"/>
      <c r="G361" s="43"/>
      <c r="H361" s="243"/>
      <c r="I361" s="46"/>
      <c r="J361" s="46"/>
      <c r="K361" s="257"/>
      <c r="L361" s="257"/>
      <c r="M361" s="266"/>
      <c r="N361" s="266"/>
    </row>
    <row r="362" spans="1:14" ht="27" customHeight="1">
      <c r="A362" s="27"/>
      <c r="B362" s="27"/>
      <c r="C362" s="252"/>
      <c r="D362" s="250"/>
      <c r="E362" s="250"/>
      <c r="F362" s="251"/>
      <c r="G362" s="251"/>
      <c r="H362" s="281"/>
      <c r="I362" s="27"/>
      <c r="J362" s="27"/>
      <c r="K362" s="257"/>
      <c r="L362" s="252"/>
      <c r="M362" s="58"/>
      <c r="N362" s="58"/>
    </row>
    <row r="363" spans="1:14" s="259" customFormat="1" ht="27" customHeight="1">
      <c r="A363" s="143"/>
      <c r="B363" s="143"/>
      <c r="C363" s="252"/>
      <c r="D363" s="257"/>
      <c r="E363" s="209"/>
      <c r="F363" s="151"/>
      <c r="G363" s="151"/>
      <c r="H363" s="262"/>
      <c r="I363" s="188"/>
      <c r="J363" s="188"/>
      <c r="K363" s="262"/>
      <c r="L363" s="257"/>
      <c r="M363" s="261"/>
      <c r="N363" s="258"/>
    </row>
    <row r="364" spans="1:14" ht="27" customHeight="1">
      <c r="A364" s="27"/>
      <c r="B364" s="27"/>
      <c r="C364" s="252"/>
      <c r="D364" s="250"/>
      <c r="E364" s="250"/>
      <c r="F364" s="251"/>
      <c r="G364" s="251"/>
      <c r="H364" s="281"/>
      <c r="I364" s="247"/>
      <c r="J364" s="247"/>
      <c r="K364" s="257"/>
      <c r="L364" s="27"/>
      <c r="M364" s="58"/>
      <c r="N364" s="58"/>
    </row>
    <row r="365" spans="1:14" ht="27" customHeight="1">
      <c r="A365" s="27"/>
      <c r="B365" s="257"/>
      <c r="C365" s="252"/>
      <c r="D365" s="250"/>
      <c r="E365" s="250"/>
      <c r="F365" s="43"/>
      <c r="G365" s="43"/>
      <c r="H365" s="257"/>
      <c r="I365" s="257"/>
      <c r="J365" s="257"/>
      <c r="K365" s="257"/>
      <c r="L365" s="27"/>
      <c r="M365" s="58"/>
      <c r="N365" s="58"/>
    </row>
    <row r="366" spans="1:14" ht="27" customHeight="1">
      <c r="A366" s="261"/>
      <c r="B366" s="260"/>
      <c r="C366" s="257"/>
      <c r="D366" s="260"/>
      <c r="E366" s="257"/>
      <c r="F366" s="156"/>
      <c r="G366" s="156"/>
      <c r="H366" s="257"/>
      <c r="I366" s="257"/>
      <c r="J366" s="257"/>
      <c r="K366" s="257"/>
      <c r="L366" s="252"/>
      <c r="M366" s="261"/>
      <c r="N366" s="257"/>
    </row>
    <row r="367" spans="1:14" ht="27" customHeight="1">
      <c r="A367" s="54"/>
      <c r="B367" s="254"/>
      <c r="C367" s="252"/>
      <c r="D367" s="261"/>
      <c r="E367" s="261"/>
      <c r="F367" s="137"/>
      <c r="G367" s="137"/>
      <c r="H367" s="277"/>
      <c r="I367" s="254"/>
      <c r="J367" s="254"/>
      <c r="K367" s="257"/>
      <c r="L367" s="27"/>
      <c r="M367" s="271"/>
      <c r="N367" s="271"/>
    </row>
    <row r="368" spans="1:14" ht="27" customHeight="1">
      <c r="A368" s="252"/>
      <c r="B368" s="252"/>
      <c r="C368" s="257"/>
      <c r="D368" s="48"/>
      <c r="E368" s="48"/>
      <c r="F368" s="257"/>
      <c r="G368" s="257"/>
      <c r="H368" s="252"/>
      <c r="I368" s="252"/>
      <c r="J368" s="252"/>
      <c r="K368" s="257"/>
      <c r="L368" s="252"/>
      <c r="M368" s="268"/>
      <c r="N368" s="268"/>
    </row>
    <row r="369" spans="1:14" ht="27" customHeight="1">
      <c r="A369" s="261"/>
      <c r="B369" s="260"/>
      <c r="C369" s="257"/>
      <c r="D369" s="260"/>
      <c r="E369" s="257"/>
      <c r="F369" s="156"/>
      <c r="G369" s="156"/>
      <c r="H369" s="257"/>
      <c r="I369" s="257"/>
      <c r="J369" s="257"/>
      <c r="K369" s="257"/>
      <c r="L369" s="252"/>
      <c r="M369" s="261"/>
      <c r="N369" s="257"/>
    </row>
    <row r="370" spans="1:14" ht="27" customHeight="1">
      <c r="A370" s="261"/>
      <c r="B370" s="260"/>
      <c r="C370" s="257"/>
      <c r="D370" s="260"/>
      <c r="E370" s="257"/>
      <c r="F370" s="156"/>
      <c r="G370" s="156"/>
      <c r="H370" s="257"/>
      <c r="I370" s="257"/>
      <c r="J370" s="257"/>
      <c r="K370" s="257"/>
      <c r="L370" s="252"/>
      <c r="M370" s="261"/>
      <c r="N370" s="257"/>
    </row>
    <row r="371" spans="1:14" ht="27" customHeight="1">
      <c r="A371" s="261"/>
      <c r="B371" s="260"/>
      <c r="C371" s="257"/>
      <c r="D371" s="260"/>
      <c r="E371" s="257"/>
      <c r="F371" s="156"/>
      <c r="G371" s="156"/>
      <c r="H371" s="257"/>
      <c r="I371" s="257"/>
      <c r="J371" s="257"/>
      <c r="K371" s="257"/>
      <c r="L371" s="252"/>
      <c r="M371" s="261"/>
      <c r="N371" s="257"/>
    </row>
    <row r="372" spans="1:14" ht="27" customHeight="1">
      <c r="A372" s="261"/>
      <c r="B372" s="260"/>
      <c r="C372" s="257"/>
      <c r="D372" s="260"/>
      <c r="E372" s="257"/>
      <c r="F372" s="156"/>
      <c r="G372" s="156"/>
      <c r="H372" s="257"/>
      <c r="I372" s="257"/>
      <c r="J372" s="257"/>
      <c r="K372" s="257"/>
      <c r="L372" s="252"/>
      <c r="M372" s="261"/>
      <c r="N372" s="257"/>
    </row>
    <row r="373" spans="1:14" ht="27" customHeight="1">
      <c r="A373" s="261"/>
      <c r="B373" s="260"/>
      <c r="C373" s="257"/>
      <c r="D373" s="260"/>
      <c r="E373" s="257"/>
      <c r="F373" s="156"/>
      <c r="G373" s="156"/>
      <c r="H373" s="257"/>
      <c r="I373" s="257"/>
      <c r="J373" s="257"/>
      <c r="K373" s="257"/>
      <c r="L373" s="252"/>
      <c r="M373" s="261"/>
      <c r="N373" s="257"/>
    </row>
    <row r="374" spans="1:14" ht="27" customHeight="1">
      <c r="A374" s="261"/>
      <c r="B374" s="260"/>
      <c r="C374" s="257"/>
      <c r="D374" s="260"/>
      <c r="E374" s="257"/>
      <c r="F374" s="156"/>
      <c r="G374" s="156"/>
      <c r="H374" s="257"/>
      <c r="I374" s="257"/>
      <c r="J374" s="257"/>
      <c r="K374" s="257"/>
      <c r="L374" s="252"/>
      <c r="M374" s="261"/>
      <c r="N374" s="257"/>
    </row>
    <row r="375" spans="1:14" ht="27" customHeight="1">
      <c r="A375" s="261"/>
      <c r="B375" s="260"/>
      <c r="C375" s="257"/>
      <c r="D375" s="260"/>
      <c r="E375" s="257"/>
      <c r="F375" s="156"/>
      <c r="G375" s="156"/>
      <c r="H375" s="257"/>
      <c r="I375" s="257"/>
      <c r="J375" s="257"/>
      <c r="K375" s="257"/>
      <c r="L375" s="252"/>
      <c r="M375" s="261"/>
      <c r="N375" s="257"/>
    </row>
    <row r="376" spans="1:14" ht="27" customHeight="1">
      <c r="A376" s="261"/>
      <c r="B376" s="260"/>
      <c r="C376" s="257"/>
      <c r="D376" s="260"/>
      <c r="E376" s="257"/>
      <c r="F376" s="156"/>
      <c r="G376" s="156"/>
      <c r="H376" s="257"/>
      <c r="I376" s="257"/>
      <c r="J376" s="257"/>
      <c r="K376" s="257"/>
      <c r="L376" s="252"/>
      <c r="M376" s="261"/>
      <c r="N376" s="257"/>
    </row>
    <row r="377" spans="1:14" ht="27" customHeight="1">
      <c r="A377" s="261"/>
      <c r="B377" s="260"/>
      <c r="C377" s="257"/>
      <c r="D377" s="260"/>
      <c r="E377" s="257"/>
      <c r="F377" s="156"/>
      <c r="G377" s="156"/>
      <c r="H377" s="257"/>
      <c r="I377" s="257"/>
      <c r="J377" s="257"/>
      <c r="K377" s="257"/>
      <c r="L377" s="252"/>
      <c r="M377" s="261"/>
      <c r="N377" s="257"/>
    </row>
    <row r="378" spans="1:14" ht="27" customHeight="1">
      <c r="A378" s="261"/>
      <c r="B378" s="260"/>
      <c r="C378" s="257"/>
      <c r="D378" s="260"/>
      <c r="E378" s="257"/>
      <c r="F378" s="156"/>
      <c r="G378" s="156"/>
      <c r="H378" s="257"/>
      <c r="I378" s="257"/>
      <c r="J378" s="257"/>
      <c r="K378" s="257"/>
      <c r="L378" s="252"/>
      <c r="M378" s="261"/>
      <c r="N378" s="257"/>
    </row>
    <row r="379" spans="1:14" ht="27" customHeight="1">
      <c r="A379" s="261"/>
      <c r="B379" s="260"/>
      <c r="C379" s="257"/>
      <c r="D379" s="260"/>
      <c r="E379" s="257"/>
      <c r="F379" s="156"/>
      <c r="G379" s="156"/>
      <c r="H379" s="257"/>
      <c r="I379" s="257"/>
      <c r="J379" s="257"/>
      <c r="K379" s="257"/>
      <c r="L379" s="252"/>
      <c r="M379" s="261"/>
      <c r="N379" s="257"/>
    </row>
    <row r="380" spans="1:14" s="259" customFormat="1" ht="27" customHeight="1">
      <c r="A380" s="261"/>
      <c r="B380" s="260"/>
      <c r="C380" s="257"/>
      <c r="D380" s="260"/>
      <c r="E380" s="257"/>
      <c r="F380" s="156"/>
      <c r="G380" s="156"/>
      <c r="H380" s="257"/>
      <c r="I380" s="257"/>
      <c r="J380" s="257"/>
      <c r="K380" s="257"/>
      <c r="L380" s="252"/>
      <c r="M380" s="261"/>
      <c r="N380" s="257"/>
    </row>
    <row r="381" spans="1:14" ht="27" customHeight="1">
      <c r="A381" s="261"/>
      <c r="B381" s="260"/>
      <c r="C381" s="257"/>
      <c r="D381" s="260"/>
      <c r="E381" s="257"/>
      <c r="F381" s="156"/>
      <c r="G381" s="156"/>
      <c r="H381" s="257"/>
      <c r="I381" s="257"/>
      <c r="J381" s="257"/>
      <c r="K381" s="257"/>
      <c r="L381" s="252"/>
      <c r="M381" s="261"/>
      <c r="N381" s="257"/>
    </row>
    <row r="382" spans="1:14" ht="27" customHeight="1">
      <c r="A382" s="261"/>
      <c r="B382" s="260"/>
      <c r="C382" s="257"/>
      <c r="D382" s="260"/>
      <c r="E382" s="257"/>
      <c r="F382" s="156"/>
      <c r="G382" s="156"/>
      <c r="H382" s="257"/>
      <c r="I382" s="257"/>
      <c r="J382" s="257"/>
      <c r="K382" s="257"/>
      <c r="L382" s="252"/>
      <c r="M382" s="261"/>
      <c r="N382" s="257"/>
    </row>
    <row r="383" spans="1:14" ht="27" customHeight="1">
      <c r="A383" s="252"/>
      <c r="B383" s="256"/>
      <c r="C383" s="252"/>
      <c r="D383" s="261"/>
      <c r="E383" s="261"/>
      <c r="F383" s="138"/>
      <c r="G383" s="138"/>
      <c r="H383" s="282"/>
      <c r="I383" s="256"/>
      <c r="J383" s="256"/>
      <c r="K383" s="257"/>
      <c r="L383" s="257"/>
      <c r="M383" s="258"/>
      <c r="N383" s="258"/>
    </row>
    <row r="384" spans="1:14" ht="27" customHeight="1">
      <c r="A384" s="143"/>
      <c r="B384" s="143"/>
      <c r="C384" s="252"/>
      <c r="D384" s="257"/>
      <c r="E384" s="209"/>
      <c r="F384" s="151"/>
      <c r="G384" s="151"/>
      <c r="H384" s="262"/>
      <c r="I384" s="262"/>
      <c r="J384" s="188"/>
      <c r="K384" s="134"/>
      <c r="L384" s="257"/>
      <c r="M384" s="261"/>
      <c r="N384" s="144"/>
    </row>
    <row r="385" spans="1:14" ht="27" customHeight="1">
      <c r="A385" s="261"/>
      <c r="B385" s="260"/>
      <c r="C385" s="257"/>
      <c r="D385" s="260"/>
      <c r="E385" s="257"/>
      <c r="F385" s="156"/>
      <c r="G385" s="156"/>
      <c r="H385" s="257"/>
      <c r="I385" s="257"/>
      <c r="J385" s="257"/>
      <c r="K385" s="257"/>
      <c r="L385" s="252"/>
      <c r="M385" s="261"/>
      <c r="N385" s="257"/>
    </row>
    <row r="386" spans="1:14" ht="27" customHeight="1">
      <c r="A386" s="252"/>
      <c r="B386" s="257"/>
      <c r="C386" s="252"/>
      <c r="D386" s="139"/>
      <c r="E386" s="139"/>
      <c r="F386" s="137"/>
      <c r="G386" s="137"/>
      <c r="H386" s="188"/>
      <c r="I386" s="257"/>
      <c r="J386" s="257"/>
      <c r="K386" s="257"/>
      <c r="L386" s="27"/>
      <c r="M386" s="268"/>
      <c r="N386" s="268"/>
    </row>
    <row r="387" spans="1:14" ht="27" customHeight="1">
      <c r="A387" s="143"/>
      <c r="B387" s="46"/>
      <c r="C387" s="257"/>
      <c r="D387" s="48"/>
      <c r="E387" s="48"/>
      <c r="F387" s="43"/>
      <c r="G387" s="43"/>
      <c r="H387" s="243"/>
      <c r="I387" s="46"/>
      <c r="J387" s="46"/>
      <c r="K387" s="257"/>
      <c r="L387" s="257"/>
      <c r="M387" s="266"/>
      <c r="N387" s="266"/>
    </row>
    <row r="388" spans="1:14" ht="27" customHeight="1">
      <c r="A388" s="261"/>
      <c r="B388" s="260"/>
      <c r="C388" s="257"/>
      <c r="D388" s="260"/>
      <c r="E388" s="257"/>
      <c r="F388" s="156"/>
      <c r="G388" s="156"/>
      <c r="H388" s="257"/>
      <c r="I388" s="257"/>
      <c r="J388" s="257"/>
      <c r="K388" s="257"/>
      <c r="L388" s="252"/>
      <c r="M388" s="261"/>
      <c r="N388" s="257"/>
    </row>
    <row r="389" spans="1:14" ht="27" customHeight="1">
      <c r="A389" s="261"/>
      <c r="B389" s="260"/>
      <c r="C389" s="257"/>
      <c r="D389" s="260"/>
      <c r="E389" s="257"/>
      <c r="F389" s="156"/>
      <c r="G389" s="156"/>
      <c r="H389" s="257"/>
      <c r="I389" s="257"/>
      <c r="J389" s="257"/>
      <c r="K389" s="257"/>
      <c r="L389" s="252"/>
      <c r="M389" s="261"/>
      <c r="N389" s="257"/>
    </row>
    <row r="390" spans="1:14" ht="27" customHeight="1">
      <c r="A390" s="261"/>
      <c r="B390" s="260"/>
      <c r="C390" s="257"/>
      <c r="D390" s="260"/>
      <c r="E390" s="257"/>
      <c r="F390" s="156"/>
      <c r="G390" s="156"/>
      <c r="H390" s="257"/>
      <c r="I390" s="257"/>
      <c r="J390" s="257"/>
      <c r="K390" s="257"/>
      <c r="L390" s="252"/>
      <c r="M390" s="261"/>
      <c r="N390" s="257"/>
    </row>
    <row r="391" spans="1:14" ht="27" customHeight="1">
      <c r="A391" s="252"/>
      <c r="B391" s="46"/>
      <c r="C391" s="252"/>
      <c r="D391" s="48"/>
      <c r="E391" s="48"/>
      <c r="F391" s="43"/>
      <c r="G391" s="43"/>
      <c r="H391" s="243"/>
      <c r="I391" s="46"/>
      <c r="J391" s="46"/>
      <c r="K391" s="257"/>
      <c r="L391" s="257"/>
      <c r="M391" s="270"/>
      <c r="N391" s="270"/>
    </row>
    <row r="392" spans="1:14" ht="27" customHeight="1">
      <c r="A392" s="254"/>
      <c r="B392" s="46"/>
      <c r="C392" s="252"/>
      <c r="D392" s="48"/>
      <c r="E392" s="48"/>
      <c r="F392" s="43"/>
      <c r="G392" s="43"/>
      <c r="H392" s="243"/>
      <c r="I392" s="46"/>
      <c r="J392" s="46"/>
      <c r="K392" s="257"/>
      <c r="L392" s="257"/>
      <c r="M392" s="266"/>
      <c r="N392" s="266"/>
    </row>
    <row r="393" spans="1:14" ht="27" customHeight="1">
      <c r="A393" s="252"/>
      <c r="B393" s="252"/>
      <c r="C393" s="257"/>
      <c r="D393" s="48"/>
      <c r="E393" s="48"/>
      <c r="F393" s="257"/>
      <c r="G393" s="257"/>
      <c r="H393" s="252"/>
      <c r="I393" s="252"/>
      <c r="J393" s="252"/>
      <c r="K393" s="257"/>
      <c r="L393" s="252"/>
      <c r="M393" s="268"/>
      <c r="N393" s="268"/>
    </row>
    <row r="394" spans="1:14" ht="27" customHeight="1">
      <c r="A394" s="261"/>
      <c r="B394" s="260"/>
      <c r="C394" s="257"/>
      <c r="D394" s="260"/>
      <c r="E394" s="257"/>
      <c r="F394" s="156"/>
      <c r="G394" s="156"/>
      <c r="H394" s="257"/>
      <c r="I394" s="257"/>
      <c r="J394" s="257"/>
      <c r="K394" s="257"/>
      <c r="L394" s="252"/>
      <c r="M394" s="261"/>
      <c r="N394" s="257"/>
    </row>
    <row r="395" spans="1:14" ht="27" customHeight="1">
      <c r="A395" s="261"/>
      <c r="B395" s="260"/>
      <c r="C395" s="257"/>
      <c r="D395" s="260"/>
      <c r="E395" s="257"/>
      <c r="F395" s="156"/>
      <c r="G395" s="156"/>
      <c r="H395" s="257"/>
      <c r="I395" s="257"/>
      <c r="J395" s="257"/>
      <c r="K395" s="257"/>
      <c r="L395" s="252"/>
      <c r="M395" s="261"/>
      <c r="N395" s="257"/>
    </row>
    <row r="396" spans="1:14" ht="27" customHeight="1">
      <c r="A396" s="261"/>
      <c r="B396" s="260"/>
      <c r="C396" s="257"/>
      <c r="D396" s="260"/>
      <c r="E396" s="257"/>
      <c r="F396" s="156"/>
      <c r="G396" s="156"/>
      <c r="H396" s="257"/>
      <c r="I396" s="257"/>
      <c r="J396" s="257"/>
      <c r="K396" s="257"/>
      <c r="L396" s="252"/>
      <c r="M396" s="261"/>
      <c r="N396" s="257"/>
    </row>
    <row r="397" spans="1:14" ht="27" customHeight="1">
      <c r="A397" s="143"/>
      <c r="B397" s="143"/>
      <c r="C397" s="257"/>
      <c r="D397" s="257"/>
      <c r="E397" s="254"/>
      <c r="F397" s="217"/>
      <c r="G397" s="217"/>
      <c r="H397" s="241"/>
      <c r="I397" s="246"/>
      <c r="J397" s="246"/>
      <c r="K397" s="134"/>
      <c r="L397" s="257"/>
      <c r="M397" s="258"/>
      <c r="N397" s="258"/>
    </row>
    <row r="398" spans="1:14" ht="27" customHeight="1">
      <c r="A398" s="27"/>
      <c r="B398" s="257"/>
      <c r="C398" s="252"/>
      <c r="D398" s="250"/>
      <c r="E398" s="250"/>
      <c r="F398" s="251"/>
      <c r="G398" s="251"/>
      <c r="H398" s="188"/>
      <c r="I398" s="257"/>
      <c r="J398" s="257"/>
      <c r="K398" s="257"/>
      <c r="L398" s="27"/>
      <c r="M398" s="258"/>
      <c r="N398" s="258"/>
    </row>
    <row r="399" spans="1:14" ht="27" customHeight="1">
      <c r="A399" s="27"/>
      <c r="B399" s="257"/>
      <c r="C399" s="252"/>
      <c r="D399" s="250"/>
      <c r="E399" s="250"/>
      <c r="F399" s="251"/>
      <c r="G399" s="251"/>
      <c r="H399" s="188"/>
      <c r="I399" s="257"/>
      <c r="J399" s="257"/>
      <c r="K399" s="257"/>
      <c r="L399" s="27"/>
      <c r="M399" s="258"/>
      <c r="N399" s="258"/>
    </row>
    <row r="400" spans="1:14" ht="27" customHeight="1">
      <c r="A400" s="27"/>
      <c r="B400" s="257"/>
      <c r="C400" s="252"/>
      <c r="D400" s="250"/>
      <c r="E400" s="250"/>
      <c r="F400" s="251"/>
      <c r="G400" s="251"/>
      <c r="H400" s="188"/>
      <c r="I400" s="257"/>
      <c r="J400" s="257"/>
      <c r="K400" s="257"/>
      <c r="L400" s="27"/>
      <c r="M400" s="258"/>
      <c r="N400" s="258"/>
    </row>
    <row r="401" spans="1:14" ht="27" customHeight="1">
      <c r="A401" s="252"/>
      <c r="B401" s="46"/>
      <c r="C401" s="252"/>
      <c r="D401" s="48"/>
      <c r="E401" s="48"/>
      <c r="F401" s="43"/>
      <c r="G401" s="43"/>
      <c r="H401" s="243"/>
      <c r="I401" s="46"/>
      <c r="J401" s="46"/>
      <c r="K401" s="257"/>
      <c r="L401" s="257"/>
      <c r="M401" s="266"/>
      <c r="N401" s="266"/>
    </row>
    <row r="402" spans="1:14" ht="27" customHeight="1">
      <c r="A402" s="252"/>
      <c r="B402" s="257"/>
      <c r="C402" s="252"/>
      <c r="D402" s="250"/>
      <c r="E402" s="250"/>
      <c r="F402" s="49"/>
      <c r="G402" s="49"/>
      <c r="H402" s="188"/>
      <c r="I402" s="257"/>
      <c r="J402" s="257"/>
      <c r="K402" s="257"/>
      <c r="L402" s="27"/>
      <c r="M402" s="266"/>
      <c r="N402" s="266"/>
    </row>
    <row r="403" spans="1:14" ht="27" customHeight="1">
      <c r="A403" s="27"/>
      <c r="B403" s="27"/>
      <c r="C403" s="252"/>
      <c r="D403" s="250"/>
      <c r="E403" s="250"/>
      <c r="F403" s="43"/>
      <c r="G403" s="43"/>
      <c r="H403" s="27"/>
      <c r="I403" s="27"/>
      <c r="J403" s="27"/>
      <c r="K403" s="257"/>
      <c r="L403" s="27"/>
      <c r="M403" s="58"/>
      <c r="N403" s="58"/>
    </row>
    <row r="404" spans="1:14" ht="27" customHeight="1">
      <c r="A404" s="27"/>
      <c r="B404" s="27"/>
      <c r="C404" s="252"/>
      <c r="D404" s="250"/>
      <c r="E404" s="250"/>
      <c r="F404" s="43"/>
      <c r="G404" s="43"/>
      <c r="H404" s="27"/>
      <c r="I404" s="27"/>
      <c r="J404" s="27"/>
      <c r="K404" s="257"/>
      <c r="L404" s="27"/>
      <c r="M404" s="58"/>
      <c r="N404" s="58"/>
    </row>
    <row r="405" spans="1:14" ht="27" customHeight="1">
      <c r="A405" s="261"/>
      <c r="B405" s="260"/>
      <c r="C405" s="257"/>
      <c r="D405" s="260"/>
      <c r="E405" s="257"/>
      <c r="F405" s="156"/>
      <c r="G405" s="156"/>
      <c r="H405" s="257"/>
      <c r="I405" s="257"/>
      <c r="J405" s="257"/>
      <c r="K405" s="257"/>
      <c r="L405" s="252"/>
      <c r="M405" s="261"/>
      <c r="N405" s="257"/>
    </row>
    <row r="406" spans="1:14" ht="27" customHeight="1">
      <c r="A406" s="261"/>
      <c r="B406" s="260"/>
      <c r="C406" s="257"/>
      <c r="D406" s="260"/>
      <c r="E406" s="257"/>
      <c r="F406" s="156"/>
      <c r="G406" s="156"/>
      <c r="H406" s="257"/>
      <c r="I406" s="257"/>
      <c r="J406" s="257"/>
      <c r="K406" s="257"/>
      <c r="L406" s="252"/>
      <c r="M406" s="261"/>
      <c r="N406" s="257"/>
    </row>
    <row r="407" spans="1:14" ht="27" customHeight="1">
      <c r="A407" s="261"/>
      <c r="B407" s="260"/>
      <c r="C407" s="257"/>
      <c r="D407" s="260"/>
      <c r="E407" s="257"/>
      <c r="F407" s="156"/>
      <c r="G407" s="156"/>
      <c r="H407" s="257"/>
      <c r="I407" s="257"/>
      <c r="J407" s="257"/>
      <c r="K407" s="257"/>
      <c r="L407" s="252"/>
      <c r="M407" s="261"/>
      <c r="N407" s="257"/>
    </row>
    <row r="408" spans="1:14" ht="27" customHeight="1">
      <c r="A408" s="261"/>
      <c r="B408" s="260"/>
      <c r="C408" s="257"/>
      <c r="D408" s="260"/>
      <c r="E408" s="257"/>
      <c r="F408" s="156"/>
      <c r="G408" s="156"/>
      <c r="H408" s="257"/>
      <c r="I408" s="257"/>
      <c r="J408" s="257"/>
      <c r="K408" s="257"/>
      <c r="L408" s="252"/>
      <c r="M408" s="261"/>
      <c r="N408" s="257"/>
    </row>
    <row r="409" spans="1:14" ht="27" customHeight="1">
      <c r="A409" s="261"/>
      <c r="B409" s="260"/>
      <c r="C409" s="257"/>
      <c r="D409" s="260"/>
      <c r="E409" s="257"/>
      <c r="F409" s="156"/>
      <c r="G409" s="156"/>
      <c r="H409" s="257"/>
      <c r="I409" s="257"/>
      <c r="J409" s="257"/>
      <c r="K409" s="257"/>
      <c r="L409" s="252"/>
      <c r="M409" s="261"/>
      <c r="N409" s="257"/>
    </row>
    <row r="410" spans="1:14" ht="27" customHeight="1">
      <c r="A410" s="261"/>
      <c r="B410" s="260"/>
      <c r="C410" s="257"/>
      <c r="D410" s="260"/>
      <c r="E410" s="257"/>
      <c r="F410" s="156"/>
      <c r="G410" s="156"/>
      <c r="H410" s="257"/>
      <c r="I410" s="257"/>
      <c r="J410" s="257"/>
      <c r="K410" s="257"/>
      <c r="L410" s="252"/>
      <c r="M410" s="261"/>
      <c r="N410" s="257"/>
    </row>
    <row r="411" spans="1:14" ht="27" customHeight="1">
      <c r="A411" s="252"/>
      <c r="B411" s="256"/>
      <c r="C411" s="252"/>
      <c r="D411" s="250"/>
      <c r="E411" s="250"/>
      <c r="F411" s="251"/>
      <c r="G411" s="251"/>
      <c r="H411" s="282"/>
      <c r="I411" s="256"/>
      <c r="J411" s="256"/>
      <c r="K411" s="257"/>
      <c r="L411" s="257"/>
      <c r="M411" s="258"/>
      <c r="N411" s="258"/>
    </row>
    <row r="412" spans="1:14" ht="27" customHeight="1">
      <c r="A412" s="252"/>
      <c r="B412" s="256"/>
      <c r="C412" s="252"/>
      <c r="D412" s="261"/>
      <c r="E412" s="261"/>
      <c r="F412" s="138"/>
      <c r="G412" s="138"/>
      <c r="H412" s="282"/>
      <c r="I412" s="256"/>
      <c r="J412" s="256"/>
      <c r="K412" s="257"/>
      <c r="L412" s="257"/>
      <c r="M412" s="258"/>
      <c r="N412" s="258"/>
    </row>
    <row r="413" spans="1:14" ht="27" customHeight="1">
      <c r="A413" s="252"/>
      <c r="B413" s="256"/>
      <c r="C413" s="252"/>
      <c r="D413" s="250"/>
      <c r="E413" s="250"/>
      <c r="F413" s="251"/>
      <c r="G413" s="251"/>
      <c r="H413" s="282"/>
      <c r="I413" s="256"/>
      <c r="J413" s="256"/>
      <c r="K413" s="257"/>
      <c r="L413" s="257"/>
      <c r="M413" s="258"/>
      <c r="N413" s="258"/>
    </row>
    <row r="414" spans="1:14" ht="27" customHeight="1">
      <c r="A414" s="252"/>
      <c r="B414" s="252"/>
      <c r="C414" s="257"/>
      <c r="D414" s="48"/>
      <c r="E414" s="48"/>
      <c r="F414" s="257"/>
      <c r="G414" s="257"/>
      <c r="H414" s="252"/>
      <c r="I414" s="252"/>
      <c r="J414" s="252"/>
      <c r="K414" s="257"/>
      <c r="L414" s="252"/>
      <c r="M414" s="268"/>
      <c r="N414" s="268"/>
    </row>
    <row r="415" spans="1:14" ht="27" customHeight="1">
      <c r="A415" s="261"/>
      <c r="B415" s="260"/>
      <c r="C415" s="257"/>
      <c r="D415" s="260"/>
      <c r="E415" s="257"/>
      <c r="F415" s="156"/>
      <c r="G415" s="156"/>
      <c r="H415" s="257"/>
      <c r="I415" s="257"/>
      <c r="J415" s="257"/>
      <c r="K415" s="257"/>
      <c r="L415" s="252"/>
      <c r="M415" s="261"/>
      <c r="N415" s="257"/>
    </row>
    <row r="416" spans="1:14" ht="27" customHeight="1">
      <c r="A416" s="261"/>
      <c r="B416" s="260"/>
      <c r="C416" s="257"/>
      <c r="D416" s="260"/>
      <c r="E416" s="257"/>
      <c r="F416" s="156"/>
      <c r="G416" s="156"/>
      <c r="H416" s="257"/>
      <c r="I416" s="257"/>
      <c r="J416" s="257"/>
      <c r="K416" s="257"/>
      <c r="L416" s="252"/>
      <c r="M416" s="261"/>
      <c r="N416" s="257"/>
    </row>
    <row r="417" spans="1:14" ht="27" customHeight="1">
      <c r="A417" s="261"/>
      <c r="B417" s="260"/>
      <c r="C417" s="257"/>
      <c r="D417" s="260"/>
      <c r="E417" s="257"/>
      <c r="F417" s="156"/>
      <c r="G417" s="156"/>
      <c r="H417" s="257"/>
      <c r="I417" s="257"/>
      <c r="J417" s="257"/>
      <c r="K417" s="257"/>
      <c r="L417" s="252"/>
      <c r="M417" s="261"/>
      <c r="N417" s="257"/>
    </row>
    <row r="418" spans="1:14" ht="27" customHeight="1">
      <c r="A418" s="261"/>
      <c r="B418" s="260"/>
      <c r="C418" s="257"/>
      <c r="D418" s="260"/>
      <c r="E418" s="257"/>
      <c r="F418" s="156"/>
      <c r="G418" s="156"/>
      <c r="H418" s="257"/>
      <c r="I418" s="257"/>
      <c r="J418" s="257"/>
      <c r="K418" s="257"/>
      <c r="L418" s="252"/>
      <c r="M418" s="261"/>
      <c r="N418" s="257"/>
    </row>
    <row r="419" spans="1:14" ht="27" customHeight="1">
      <c r="A419" s="30"/>
      <c r="B419" s="27"/>
      <c r="C419" s="252"/>
      <c r="D419" s="35"/>
      <c r="E419" s="174"/>
      <c r="F419" s="137"/>
      <c r="G419" s="137"/>
      <c r="H419" s="281"/>
      <c r="I419" s="27"/>
      <c r="J419" s="27"/>
      <c r="K419" s="257"/>
      <c r="L419" s="27"/>
      <c r="M419" s="58"/>
      <c r="N419" s="58"/>
    </row>
    <row r="420" spans="1:14" ht="27" customHeight="1">
      <c r="A420" s="252"/>
      <c r="B420" s="256"/>
      <c r="C420" s="252"/>
      <c r="D420" s="250"/>
      <c r="E420" s="250"/>
      <c r="F420" s="251"/>
      <c r="G420" s="251"/>
      <c r="H420" s="282"/>
      <c r="I420" s="256"/>
      <c r="J420" s="256"/>
      <c r="K420" s="257"/>
      <c r="L420" s="257"/>
      <c r="M420" s="258"/>
      <c r="N420" s="258"/>
    </row>
    <row r="421" spans="1:14" ht="27" customHeight="1">
      <c r="A421" s="261"/>
      <c r="B421" s="260"/>
      <c r="C421" s="257"/>
      <c r="D421" s="260"/>
      <c r="E421" s="257"/>
      <c r="F421" s="156"/>
      <c r="G421" s="156"/>
      <c r="H421" s="257"/>
      <c r="I421" s="257"/>
      <c r="J421" s="257"/>
      <c r="K421" s="257"/>
      <c r="L421" s="252"/>
      <c r="M421" s="261"/>
      <c r="N421" s="257"/>
    </row>
    <row r="422" spans="1:14" ht="27" customHeight="1">
      <c r="A422" s="261"/>
      <c r="B422" s="260"/>
      <c r="C422" s="257"/>
      <c r="D422" s="260"/>
      <c r="E422" s="257"/>
      <c r="F422" s="156"/>
      <c r="G422" s="156"/>
      <c r="H422" s="257"/>
      <c r="I422" s="257"/>
      <c r="J422" s="257"/>
      <c r="K422" s="257"/>
      <c r="L422" s="252"/>
      <c r="M422" s="261"/>
      <c r="N422" s="257"/>
    </row>
    <row r="423" spans="1:14" ht="27" customHeight="1">
      <c r="A423" s="261"/>
      <c r="B423" s="260"/>
      <c r="C423" s="257"/>
      <c r="D423" s="260"/>
      <c r="E423" s="257"/>
      <c r="F423" s="156"/>
      <c r="G423" s="156"/>
      <c r="H423" s="257"/>
      <c r="I423" s="257"/>
      <c r="J423" s="257"/>
      <c r="K423" s="257"/>
      <c r="L423" s="252"/>
      <c r="M423" s="261"/>
      <c r="N423" s="257"/>
    </row>
    <row r="424" spans="1:14" ht="27" customHeight="1">
      <c r="A424" s="252"/>
      <c r="B424" s="46"/>
      <c r="C424" s="252"/>
      <c r="D424" s="48"/>
      <c r="E424" s="48"/>
      <c r="F424" s="43"/>
      <c r="G424" s="43"/>
      <c r="H424" s="243"/>
      <c r="I424" s="46"/>
      <c r="J424" s="46"/>
      <c r="K424" s="257"/>
      <c r="L424" s="257"/>
      <c r="M424" s="266"/>
      <c r="N424" s="266"/>
    </row>
    <row r="425" spans="1:14" ht="27" customHeight="1">
      <c r="A425" s="252"/>
      <c r="B425" s="46"/>
      <c r="C425" s="252"/>
      <c r="D425" s="48"/>
      <c r="E425" s="48"/>
      <c r="F425" s="43"/>
      <c r="G425" s="43"/>
      <c r="H425" s="243"/>
      <c r="I425" s="46"/>
      <c r="J425" s="46"/>
      <c r="K425" s="257"/>
      <c r="L425" s="257"/>
      <c r="M425" s="266"/>
      <c r="N425" s="266"/>
    </row>
    <row r="426" spans="1:14" ht="27" customHeight="1">
      <c r="A426" s="252"/>
      <c r="B426" s="46"/>
      <c r="C426" s="252"/>
      <c r="D426" s="48"/>
      <c r="E426" s="48"/>
      <c r="F426" s="43"/>
      <c r="G426" s="43"/>
      <c r="H426" s="243"/>
      <c r="I426" s="46"/>
      <c r="J426" s="46"/>
      <c r="K426" s="257"/>
      <c r="L426" s="257"/>
      <c r="M426" s="266"/>
      <c r="N426" s="266"/>
    </row>
    <row r="427" spans="1:14" ht="27" customHeight="1">
      <c r="A427" s="252"/>
      <c r="B427" s="46"/>
      <c r="C427" s="252"/>
      <c r="D427" s="48"/>
      <c r="E427" s="48"/>
      <c r="F427" s="43"/>
      <c r="G427" s="43"/>
      <c r="H427" s="243"/>
      <c r="I427" s="46"/>
      <c r="J427" s="46"/>
      <c r="K427" s="257"/>
      <c r="L427" s="257"/>
      <c r="M427" s="266"/>
      <c r="N427" s="266"/>
    </row>
    <row r="428" spans="1:14" ht="27" customHeight="1">
      <c r="A428" s="27"/>
      <c r="B428" s="27"/>
      <c r="C428" s="252"/>
      <c r="D428" s="250"/>
      <c r="E428" s="250"/>
      <c r="F428" s="251"/>
      <c r="G428" s="251"/>
      <c r="H428" s="281"/>
      <c r="I428" s="27"/>
      <c r="J428" s="27"/>
      <c r="K428" s="257"/>
      <c r="L428" s="27"/>
      <c r="M428" s="58"/>
      <c r="N428" s="58"/>
    </row>
    <row r="429" spans="1:14" s="259" customFormat="1" ht="27" customHeight="1">
      <c r="A429" s="252"/>
      <c r="B429" s="46"/>
      <c r="C429" s="252"/>
      <c r="D429" s="48"/>
      <c r="E429" s="181"/>
      <c r="F429" s="43"/>
      <c r="G429" s="43"/>
      <c r="H429" s="243"/>
      <c r="I429" s="46"/>
      <c r="J429" s="46"/>
      <c r="K429" s="257"/>
      <c r="L429" s="257"/>
      <c r="M429" s="266"/>
      <c r="N429" s="266"/>
    </row>
    <row r="430" spans="1:14" ht="27" customHeight="1">
      <c r="A430" s="261"/>
      <c r="B430" s="260"/>
      <c r="C430" s="257"/>
      <c r="D430" s="260"/>
      <c r="E430" s="257"/>
      <c r="F430" s="156"/>
      <c r="G430" s="156"/>
      <c r="H430" s="257"/>
      <c r="I430" s="257"/>
      <c r="J430" s="257"/>
      <c r="K430" s="257"/>
      <c r="L430" s="252"/>
      <c r="M430" s="261"/>
      <c r="N430" s="257"/>
    </row>
    <row r="431" spans="1:14" ht="27" customHeight="1">
      <c r="A431" s="261"/>
      <c r="B431" s="260"/>
      <c r="C431" s="257"/>
      <c r="D431" s="260"/>
      <c r="E431" s="257"/>
      <c r="F431" s="156"/>
      <c r="G431" s="156"/>
      <c r="H431" s="257"/>
      <c r="I431" s="257"/>
      <c r="J431" s="257"/>
      <c r="K431" s="257"/>
      <c r="L431" s="252"/>
      <c r="M431" s="261"/>
      <c r="N431" s="257"/>
    </row>
    <row r="432" spans="1:14" ht="27" customHeight="1">
      <c r="A432" s="261"/>
      <c r="B432" s="260"/>
      <c r="C432" s="257"/>
      <c r="D432" s="260"/>
      <c r="E432" s="257"/>
      <c r="F432" s="156"/>
      <c r="G432" s="156"/>
      <c r="H432" s="257"/>
      <c r="I432" s="257"/>
      <c r="J432" s="257"/>
      <c r="K432" s="257"/>
      <c r="L432" s="252"/>
      <c r="M432" s="261"/>
      <c r="N432" s="257"/>
    </row>
    <row r="433" spans="1:14" ht="27" customHeight="1">
      <c r="A433" s="252"/>
      <c r="B433" s="257"/>
      <c r="C433" s="252"/>
      <c r="D433" s="29"/>
      <c r="E433" s="29"/>
      <c r="F433" s="251"/>
      <c r="G433" s="251"/>
      <c r="H433" s="188"/>
      <c r="I433" s="257"/>
      <c r="J433" s="257"/>
      <c r="K433" s="254"/>
      <c r="L433" s="27"/>
      <c r="M433" s="58"/>
      <c r="N433" s="58"/>
    </row>
    <row r="434" spans="1:14" ht="27" customHeight="1">
      <c r="A434" s="252"/>
      <c r="B434" s="252"/>
      <c r="C434" s="257"/>
      <c r="D434" s="48"/>
      <c r="E434" s="48"/>
      <c r="F434" s="257"/>
      <c r="G434" s="257"/>
      <c r="H434" s="252"/>
      <c r="I434" s="252"/>
      <c r="J434" s="252"/>
      <c r="K434" s="257"/>
      <c r="L434" s="252"/>
      <c r="M434" s="268"/>
      <c r="N434" s="268"/>
    </row>
    <row r="435" spans="1:14" ht="27" customHeight="1">
      <c r="A435" s="54"/>
      <c r="B435" s="254"/>
      <c r="C435" s="252"/>
      <c r="D435" s="261"/>
      <c r="E435" s="261"/>
      <c r="F435" s="137"/>
      <c r="G435" s="137"/>
      <c r="H435" s="277"/>
      <c r="I435" s="254"/>
      <c r="J435" s="254"/>
      <c r="K435" s="257"/>
      <c r="L435" s="27"/>
      <c r="M435" s="269"/>
      <c r="N435" s="269"/>
    </row>
    <row r="436" spans="1:14" ht="27" customHeight="1">
      <c r="A436" s="261"/>
      <c r="B436" s="260"/>
      <c r="C436" s="257"/>
      <c r="D436" s="260"/>
      <c r="E436" s="257"/>
      <c r="F436" s="156"/>
      <c r="G436" s="156"/>
      <c r="H436" s="257"/>
      <c r="I436" s="257"/>
      <c r="J436" s="257"/>
      <c r="K436" s="257"/>
      <c r="L436" s="252"/>
      <c r="M436" s="261"/>
      <c r="N436" s="257"/>
    </row>
    <row r="437" spans="1:14" ht="27" customHeight="1">
      <c r="A437" s="261"/>
      <c r="B437" s="260"/>
      <c r="C437" s="257"/>
      <c r="D437" s="260"/>
      <c r="E437" s="257"/>
      <c r="F437" s="156"/>
      <c r="G437" s="156"/>
      <c r="H437" s="257"/>
      <c r="I437" s="257"/>
      <c r="J437" s="257"/>
      <c r="K437" s="257"/>
      <c r="L437" s="252"/>
      <c r="M437" s="261"/>
      <c r="N437" s="257"/>
    </row>
    <row r="438" spans="1:14" ht="27" customHeight="1">
      <c r="A438" s="54"/>
      <c r="B438" s="254"/>
      <c r="C438" s="252"/>
      <c r="D438" s="261"/>
      <c r="E438" s="261"/>
      <c r="F438" s="137"/>
      <c r="G438" s="137"/>
      <c r="H438" s="277"/>
      <c r="I438" s="254"/>
      <c r="J438" s="254"/>
      <c r="K438" s="252"/>
      <c r="L438" s="27"/>
      <c r="M438" s="271"/>
      <c r="N438" s="271"/>
    </row>
    <row r="439" spans="1:14" ht="27" customHeight="1">
      <c r="A439" s="261"/>
      <c r="B439" s="260"/>
      <c r="C439" s="257"/>
      <c r="D439" s="260"/>
      <c r="E439" s="257"/>
      <c r="F439" s="156"/>
      <c r="G439" s="156"/>
      <c r="H439" s="257"/>
      <c r="I439" s="257"/>
      <c r="J439" s="257"/>
      <c r="K439" s="257"/>
      <c r="L439" s="252"/>
      <c r="M439" s="261"/>
      <c r="N439" s="257"/>
    </row>
    <row r="440" spans="1:14" ht="27" customHeight="1">
      <c r="A440" s="27"/>
      <c r="B440" s="27"/>
      <c r="C440" s="252"/>
      <c r="D440" s="250"/>
      <c r="E440" s="250"/>
      <c r="F440" s="43"/>
      <c r="G440" s="43"/>
      <c r="H440" s="281"/>
      <c r="I440" s="27"/>
      <c r="J440" s="27"/>
      <c r="K440" s="260"/>
      <c r="L440" s="27"/>
      <c r="M440" s="58"/>
      <c r="N440" s="58"/>
    </row>
    <row r="441" spans="1:14" ht="27" customHeight="1">
      <c r="A441" s="27"/>
      <c r="B441" s="27"/>
      <c r="C441" s="252"/>
      <c r="D441" s="250"/>
      <c r="E441" s="250"/>
      <c r="F441" s="43"/>
      <c r="G441" s="43"/>
      <c r="H441" s="27"/>
      <c r="I441" s="27"/>
      <c r="J441" s="27"/>
      <c r="K441" s="260"/>
      <c r="L441" s="27"/>
      <c r="M441" s="58"/>
      <c r="N441" s="58"/>
    </row>
    <row r="442" spans="1:14" ht="27" customHeight="1">
      <c r="A442" s="261"/>
      <c r="B442" s="260"/>
      <c r="C442" s="257"/>
      <c r="D442" s="260"/>
      <c r="E442" s="257"/>
      <c r="F442" s="156"/>
      <c r="G442" s="156"/>
      <c r="H442" s="257"/>
      <c r="I442" s="257"/>
      <c r="J442" s="257"/>
      <c r="K442" s="257"/>
      <c r="L442" s="252"/>
      <c r="M442" s="261"/>
      <c r="N442" s="257"/>
    </row>
    <row r="443" spans="1:14" s="259" customFormat="1" ht="27" customHeight="1">
      <c r="A443" s="252"/>
      <c r="B443" s="256"/>
      <c r="C443" s="252"/>
      <c r="D443" s="250"/>
      <c r="E443" s="250"/>
      <c r="F443" s="251"/>
      <c r="G443" s="251"/>
      <c r="H443" s="282"/>
      <c r="I443" s="256"/>
      <c r="J443" s="256"/>
      <c r="K443" s="257"/>
      <c r="L443" s="257"/>
      <c r="M443" s="258"/>
      <c r="N443" s="258"/>
    </row>
    <row r="444" spans="1:14" ht="27" customHeight="1">
      <c r="A444" s="252"/>
      <c r="B444" s="256"/>
      <c r="C444" s="252"/>
      <c r="D444" s="250"/>
      <c r="E444" s="163"/>
      <c r="F444" s="251"/>
      <c r="G444" s="251"/>
      <c r="H444" s="262"/>
      <c r="I444" s="262"/>
      <c r="J444" s="188"/>
      <c r="K444" s="262"/>
      <c r="L444" s="257"/>
      <c r="M444" s="258"/>
      <c r="N444" s="258"/>
    </row>
    <row r="445" spans="1:14" ht="27" customHeight="1">
      <c r="A445" s="27"/>
      <c r="B445" s="27"/>
      <c r="C445" s="252"/>
      <c r="D445" s="250"/>
      <c r="E445" s="250"/>
      <c r="F445" s="43"/>
      <c r="G445" s="43"/>
      <c r="H445" s="281"/>
      <c r="I445" s="247"/>
      <c r="J445" s="247"/>
      <c r="K445" s="260"/>
      <c r="L445" s="257"/>
      <c r="M445" s="58"/>
      <c r="N445" s="58"/>
    </row>
    <row r="446" spans="1:14" ht="27" customHeight="1">
      <c r="A446" s="143"/>
      <c r="B446" s="143"/>
      <c r="C446" s="254"/>
      <c r="D446" s="252"/>
      <c r="E446" s="254"/>
      <c r="F446" s="156"/>
      <c r="G446" s="156"/>
      <c r="H446" s="241"/>
      <c r="I446" s="246"/>
      <c r="J446" s="246"/>
      <c r="K446" s="260"/>
      <c r="L446" s="257"/>
      <c r="M446" s="58"/>
      <c r="N446" s="58"/>
    </row>
    <row r="447" spans="1:14" ht="27" customHeight="1">
      <c r="A447" s="261"/>
      <c r="B447" s="260"/>
      <c r="C447" s="257"/>
      <c r="D447" s="260"/>
      <c r="E447" s="257"/>
      <c r="F447" s="156"/>
      <c r="G447" s="156"/>
      <c r="H447" s="257"/>
      <c r="I447" s="257"/>
      <c r="J447" s="257"/>
      <c r="K447" s="257"/>
      <c r="L447" s="252"/>
      <c r="M447" s="261"/>
      <c r="N447" s="257"/>
    </row>
    <row r="448" spans="1:14" ht="27" customHeight="1">
      <c r="A448" s="261"/>
      <c r="B448" s="260"/>
      <c r="C448" s="257"/>
      <c r="D448" s="260"/>
      <c r="E448" s="257"/>
      <c r="F448" s="156"/>
      <c r="G448" s="156"/>
      <c r="H448" s="257"/>
      <c r="I448" s="257"/>
      <c r="J448" s="257"/>
      <c r="K448" s="257"/>
      <c r="L448" s="252"/>
      <c r="M448" s="261"/>
      <c r="N448" s="257"/>
    </row>
    <row r="449" spans="1:14" ht="27" customHeight="1">
      <c r="A449" s="261"/>
      <c r="B449" s="260"/>
      <c r="C449" s="257"/>
      <c r="D449" s="260"/>
      <c r="E449" s="257"/>
      <c r="F449" s="156"/>
      <c r="G449" s="156"/>
      <c r="H449" s="257"/>
      <c r="I449" s="257"/>
      <c r="J449" s="257"/>
      <c r="K449" s="257"/>
      <c r="L449" s="252"/>
      <c r="M449" s="261"/>
      <c r="N449" s="257"/>
    </row>
    <row r="450" spans="1:14" ht="27" customHeight="1">
      <c r="A450" s="261"/>
      <c r="B450" s="260"/>
      <c r="C450" s="257"/>
      <c r="D450" s="260"/>
      <c r="E450" s="257"/>
      <c r="F450" s="156"/>
      <c r="G450" s="156"/>
      <c r="H450" s="257"/>
      <c r="I450" s="257"/>
      <c r="J450" s="257"/>
      <c r="K450" s="257"/>
      <c r="L450" s="252"/>
      <c r="M450" s="261"/>
      <c r="N450" s="257"/>
    </row>
    <row r="451" spans="1:14" ht="27" customHeight="1">
      <c r="A451" s="261"/>
      <c r="B451" s="260"/>
      <c r="C451" s="257"/>
      <c r="D451" s="260"/>
      <c r="E451" s="257"/>
      <c r="F451" s="156"/>
      <c r="G451" s="156"/>
      <c r="H451" s="257"/>
      <c r="I451" s="257"/>
      <c r="J451" s="257"/>
      <c r="K451" s="257"/>
      <c r="L451" s="252"/>
      <c r="M451" s="261"/>
      <c r="N451" s="257"/>
    </row>
    <row r="452" spans="1:14" ht="27" customHeight="1">
      <c r="A452" s="10"/>
      <c r="B452" s="257"/>
      <c r="C452" s="252"/>
      <c r="D452" s="250"/>
      <c r="E452" s="250"/>
      <c r="F452" s="251"/>
      <c r="G452" s="251"/>
      <c r="H452" s="188"/>
      <c r="I452" s="257"/>
      <c r="J452" s="257"/>
      <c r="K452" s="260"/>
      <c r="L452" s="27"/>
      <c r="M452" s="58"/>
      <c r="N452" s="58"/>
    </row>
    <row r="453" spans="1:14" ht="27" customHeight="1">
      <c r="A453" s="261"/>
      <c r="B453" s="260"/>
      <c r="C453" s="257"/>
      <c r="D453" s="260"/>
      <c r="E453" s="257"/>
      <c r="F453" s="156"/>
      <c r="G453" s="156"/>
      <c r="H453" s="257"/>
      <c r="I453" s="257"/>
      <c r="J453" s="257"/>
      <c r="K453" s="257"/>
      <c r="L453" s="252"/>
      <c r="M453" s="261"/>
      <c r="N453" s="257"/>
    </row>
    <row r="454" spans="1:14" ht="27" customHeight="1">
      <c r="A454" s="261"/>
      <c r="B454" s="260"/>
      <c r="C454" s="257"/>
      <c r="D454" s="260"/>
      <c r="E454" s="257"/>
      <c r="F454" s="156"/>
      <c r="G454" s="156"/>
      <c r="H454" s="257"/>
      <c r="I454" s="257"/>
      <c r="J454" s="257"/>
      <c r="K454" s="257"/>
      <c r="L454" s="252"/>
      <c r="M454" s="261"/>
      <c r="N454" s="257"/>
    </row>
    <row r="455" spans="1:14" ht="27" customHeight="1">
      <c r="A455" s="261"/>
      <c r="B455" s="260"/>
      <c r="C455" s="257"/>
      <c r="D455" s="260"/>
      <c r="E455" s="257"/>
      <c r="F455" s="156"/>
      <c r="G455" s="156"/>
      <c r="H455" s="257"/>
      <c r="I455" s="257"/>
      <c r="J455" s="257"/>
      <c r="K455" s="257"/>
      <c r="L455" s="252"/>
      <c r="M455" s="261"/>
      <c r="N455" s="257"/>
    </row>
    <row r="456" spans="1:14" ht="27" customHeight="1">
      <c r="A456" s="10"/>
      <c r="B456" s="257"/>
      <c r="C456" s="252"/>
      <c r="D456" s="250"/>
      <c r="E456" s="250"/>
      <c r="F456" s="251"/>
      <c r="G456" s="251"/>
      <c r="H456" s="200"/>
      <c r="I456" s="188"/>
      <c r="J456" s="188"/>
      <c r="K456" s="134"/>
      <c r="L456" s="257"/>
      <c r="M456" s="58"/>
      <c r="N456" s="58"/>
    </row>
    <row r="457" spans="1:14" ht="27" customHeight="1">
      <c r="A457" s="261"/>
      <c r="B457" s="260"/>
      <c r="C457" s="257"/>
      <c r="D457" s="260"/>
      <c r="E457" s="257"/>
      <c r="F457" s="156"/>
      <c r="G457" s="156"/>
      <c r="H457" s="257"/>
      <c r="I457" s="257"/>
      <c r="J457" s="257"/>
      <c r="K457" s="257"/>
      <c r="L457" s="252"/>
      <c r="M457" s="261"/>
      <c r="N457" s="257"/>
    </row>
    <row r="458" spans="1:14" ht="27" customHeight="1">
      <c r="A458" s="261"/>
      <c r="B458" s="260"/>
      <c r="C458" s="257"/>
      <c r="D458" s="260"/>
      <c r="E458" s="257"/>
      <c r="F458" s="156"/>
      <c r="G458" s="156"/>
      <c r="H458" s="257"/>
      <c r="I458" s="257"/>
      <c r="J458" s="257"/>
      <c r="K458" s="257"/>
      <c r="L458" s="252"/>
      <c r="M458" s="261"/>
      <c r="N458" s="257"/>
    </row>
    <row r="459" spans="1:14" ht="27" customHeight="1">
      <c r="A459" s="261"/>
      <c r="B459" s="260"/>
      <c r="C459" s="257"/>
      <c r="D459" s="260"/>
      <c r="E459" s="257"/>
      <c r="F459" s="156"/>
      <c r="G459" s="156"/>
      <c r="H459" s="257"/>
      <c r="I459" s="257"/>
      <c r="J459" s="257"/>
      <c r="K459" s="257"/>
      <c r="L459" s="252"/>
      <c r="M459" s="261"/>
      <c r="N459" s="257"/>
    </row>
    <row r="460" spans="1:14" ht="27" customHeight="1">
      <c r="A460" s="261"/>
      <c r="B460" s="260"/>
      <c r="C460" s="257"/>
      <c r="D460" s="260"/>
      <c r="E460" s="257"/>
      <c r="F460" s="156"/>
      <c r="G460" s="156"/>
      <c r="H460" s="257"/>
      <c r="I460" s="257"/>
      <c r="J460" s="257"/>
      <c r="K460" s="257"/>
      <c r="L460" s="252"/>
      <c r="M460" s="261"/>
      <c r="N460" s="257"/>
    </row>
    <row r="461" spans="1:14" ht="27" customHeight="1">
      <c r="A461" s="252"/>
      <c r="B461" s="256"/>
      <c r="C461" s="252"/>
      <c r="D461" s="250"/>
      <c r="E461" s="250"/>
      <c r="F461" s="251"/>
      <c r="G461" s="251"/>
      <c r="H461" s="200"/>
      <c r="I461" s="256"/>
      <c r="J461" s="256"/>
      <c r="K461" s="252"/>
      <c r="L461" s="257"/>
      <c r="M461" s="258"/>
      <c r="N461" s="258"/>
    </row>
    <row r="462" spans="1:14" ht="27" customHeight="1">
      <c r="A462" s="252"/>
      <c r="B462" s="256"/>
      <c r="C462" s="252"/>
      <c r="D462" s="250"/>
      <c r="E462" s="250"/>
      <c r="F462" s="251"/>
      <c r="G462" s="251"/>
      <c r="H462" s="200"/>
      <c r="I462" s="256"/>
      <c r="J462" s="256"/>
      <c r="K462" s="252"/>
      <c r="L462" s="257"/>
      <c r="M462" s="258"/>
      <c r="N462" s="258"/>
    </row>
    <row r="463" spans="1:14" ht="27" customHeight="1">
      <c r="A463" s="261"/>
      <c r="B463" s="260"/>
      <c r="C463" s="257"/>
      <c r="D463" s="260"/>
      <c r="E463" s="257"/>
      <c r="F463" s="156"/>
      <c r="G463" s="156"/>
      <c r="H463" s="257"/>
      <c r="I463" s="257"/>
      <c r="J463" s="257"/>
      <c r="K463" s="257"/>
      <c r="L463" s="252"/>
      <c r="M463" s="261"/>
      <c r="N463" s="257"/>
    </row>
    <row r="464" spans="1:14" ht="27" customHeight="1">
      <c r="A464" s="261"/>
      <c r="B464" s="260"/>
      <c r="C464" s="257"/>
      <c r="D464" s="260"/>
      <c r="E464" s="257"/>
      <c r="F464" s="156"/>
      <c r="G464" s="156"/>
      <c r="H464" s="257"/>
      <c r="I464" s="257"/>
      <c r="J464" s="257"/>
      <c r="K464" s="257"/>
      <c r="L464" s="252"/>
      <c r="M464" s="261"/>
      <c r="N464" s="257"/>
    </row>
    <row r="465" spans="1:14" ht="27" customHeight="1">
      <c r="A465" s="143"/>
      <c r="B465" s="143"/>
      <c r="C465" s="160"/>
      <c r="D465" s="254"/>
      <c r="E465" s="209"/>
      <c r="F465" s="151"/>
      <c r="G465" s="151"/>
      <c r="H465" s="262"/>
      <c r="I465" s="262"/>
      <c r="J465" s="188"/>
      <c r="K465" s="257"/>
      <c r="L465" s="254"/>
      <c r="M465" s="261"/>
      <c r="N465" s="258"/>
    </row>
    <row r="466" spans="1:14" ht="27" customHeight="1">
      <c r="A466" s="257"/>
      <c r="B466" s="46"/>
      <c r="C466" s="257"/>
      <c r="D466" s="48"/>
      <c r="E466" s="48"/>
      <c r="F466" s="43"/>
      <c r="G466" s="43"/>
      <c r="H466" s="243"/>
      <c r="I466" s="243"/>
      <c r="J466" s="243"/>
      <c r="K466" s="260"/>
      <c r="L466" s="257"/>
      <c r="M466" s="270"/>
      <c r="N466" s="270"/>
    </row>
    <row r="467" spans="1:14" ht="27" customHeight="1">
      <c r="A467" s="261"/>
      <c r="B467" s="260"/>
      <c r="C467" s="257"/>
      <c r="D467" s="260"/>
      <c r="E467" s="257"/>
      <c r="F467" s="156"/>
      <c r="G467" s="156"/>
      <c r="H467" s="257"/>
      <c r="I467" s="257"/>
      <c r="J467" s="257"/>
      <c r="K467" s="257"/>
      <c r="L467" s="252"/>
      <c r="M467" s="261"/>
      <c r="N467" s="257"/>
    </row>
    <row r="468" spans="1:14" ht="27" customHeight="1">
      <c r="A468" s="257"/>
      <c r="B468" s="46"/>
      <c r="C468" s="257"/>
      <c r="D468" s="29"/>
      <c r="E468" s="48"/>
      <c r="F468" s="43"/>
      <c r="G468" s="43"/>
      <c r="H468" s="243"/>
      <c r="I468" s="46"/>
      <c r="J468" s="46"/>
      <c r="K468" s="260"/>
      <c r="L468" s="257"/>
      <c r="M468" s="270"/>
      <c r="N468" s="270"/>
    </row>
    <row r="469" spans="1:14" ht="27" customHeight="1">
      <c r="A469" s="257"/>
      <c r="B469" s="46"/>
      <c r="C469" s="257"/>
      <c r="D469" s="48"/>
      <c r="E469" s="48"/>
      <c r="F469" s="43"/>
      <c r="G469" s="43"/>
      <c r="H469" s="243"/>
      <c r="I469" s="46"/>
      <c r="J469" s="46"/>
      <c r="K469" s="260"/>
      <c r="L469" s="257"/>
      <c r="M469" s="270"/>
      <c r="N469" s="270"/>
    </row>
    <row r="470" spans="1:14" ht="27" customHeight="1">
      <c r="A470" s="27"/>
      <c r="B470" s="27"/>
      <c r="C470" s="252"/>
      <c r="D470" s="250"/>
      <c r="E470" s="250"/>
      <c r="F470" s="43"/>
      <c r="G470" s="43"/>
      <c r="H470" s="27"/>
      <c r="I470" s="27"/>
      <c r="J470" s="27"/>
      <c r="K470" s="252"/>
      <c r="L470" s="27"/>
      <c r="M470" s="58"/>
      <c r="N470" s="58"/>
    </row>
    <row r="471" spans="1:14" ht="27" customHeight="1">
      <c r="A471" s="27"/>
      <c r="B471" s="27"/>
      <c r="C471" s="252"/>
      <c r="D471" s="250"/>
      <c r="E471" s="250"/>
      <c r="F471" s="43"/>
      <c r="G471" s="43"/>
      <c r="H471" s="257"/>
      <c r="I471" s="257"/>
      <c r="J471" s="257"/>
      <c r="K471" s="252"/>
      <c r="L471" s="27"/>
      <c r="M471" s="58"/>
      <c r="N471" s="58"/>
    </row>
    <row r="472" spans="1:14" ht="27" customHeight="1">
      <c r="A472" s="252"/>
      <c r="B472" s="252"/>
      <c r="C472" s="257"/>
      <c r="D472" s="48"/>
      <c r="E472" s="48"/>
      <c r="F472" s="257"/>
      <c r="G472" s="257"/>
      <c r="H472" s="252"/>
      <c r="I472" s="252"/>
      <c r="J472" s="252"/>
      <c r="K472" s="257"/>
      <c r="L472" s="252"/>
      <c r="M472" s="268"/>
      <c r="N472" s="268"/>
    </row>
    <row r="473" spans="1:14" ht="27" customHeight="1">
      <c r="A473" s="261"/>
      <c r="B473" s="260"/>
      <c r="C473" s="257"/>
      <c r="D473" s="260"/>
      <c r="E473" s="257"/>
      <c r="F473" s="156"/>
      <c r="G473" s="156"/>
      <c r="H473" s="257"/>
      <c r="I473" s="257"/>
      <c r="J473" s="257"/>
      <c r="K473" s="257"/>
      <c r="L473" s="252"/>
      <c r="M473" s="261"/>
      <c r="N473" s="257"/>
    </row>
    <row r="474" spans="1:14" ht="27" customHeight="1">
      <c r="A474" s="143"/>
      <c r="B474" s="252"/>
      <c r="C474" s="252"/>
      <c r="D474" s="252"/>
      <c r="E474" s="163"/>
      <c r="F474" s="151"/>
      <c r="G474" s="151"/>
      <c r="H474" s="143"/>
      <c r="I474" s="143"/>
      <c r="J474" s="188"/>
      <c r="K474" s="262"/>
      <c r="L474" s="143"/>
      <c r="M474" s="261"/>
      <c r="N474" s="258"/>
    </row>
    <row r="475" spans="1:14" ht="27" customHeight="1">
      <c r="A475" s="252"/>
      <c r="B475" s="252"/>
      <c r="C475" s="257"/>
      <c r="D475" s="48"/>
      <c r="E475" s="48"/>
      <c r="F475" s="257"/>
      <c r="G475" s="257"/>
      <c r="H475" s="200"/>
      <c r="I475" s="252"/>
      <c r="J475" s="252"/>
      <c r="K475" s="257"/>
      <c r="L475" s="252"/>
      <c r="M475" s="268"/>
      <c r="N475" s="268"/>
    </row>
    <row r="476" spans="1:14" ht="27" customHeight="1">
      <c r="A476" s="261"/>
      <c r="B476" s="260"/>
      <c r="C476" s="257"/>
      <c r="D476" s="260"/>
      <c r="E476" s="257"/>
      <c r="F476" s="156"/>
      <c r="G476" s="156"/>
      <c r="H476" s="257"/>
      <c r="I476" s="257"/>
      <c r="J476" s="257"/>
      <c r="K476" s="257"/>
      <c r="L476" s="252"/>
      <c r="M476" s="261"/>
      <c r="N476" s="257"/>
    </row>
    <row r="477" spans="1:14" ht="27" customHeight="1">
      <c r="A477" s="261"/>
      <c r="B477" s="260"/>
      <c r="C477" s="257"/>
      <c r="D477" s="260"/>
      <c r="E477" s="257"/>
      <c r="F477" s="156"/>
      <c r="G477" s="156"/>
      <c r="H477" s="257"/>
      <c r="I477" s="257"/>
      <c r="J477" s="257"/>
      <c r="K477" s="257"/>
      <c r="L477" s="252"/>
      <c r="M477" s="261"/>
      <c r="N477" s="257"/>
    </row>
    <row r="478" spans="1:14" ht="27" customHeight="1">
      <c r="A478" s="261"/>
      <c r="B478" s="260"/>
      <c r="C478" s="257"/>
      <c r="D478" s="260"/>
      <c r="E478" s="257"/>
      <c r="F478" s="156"/>
      <c r="G478" s="156"/>
      <c r="H478" s="257"/>
      <c r="I478" s="257"/>
      <c r="J478" s="257"/>
      <c r="K478" s="257"/>
      <c r="L478" s="252"/>
      <c r="M478" s="261"/>
      <c r="N478" s="257"/>
    </row>
    <row r="479" spans="1:14" ht="27" customHeight="1">
      <c r="A479" s="27"/>
      <c r="B479" s="27"/>
      <c r="C479" s="252"/>
      <c r="D479" s="48"/>
      <c r="E479" s="48"/>
      <c r="F479" s="48"/>
      <c r="G479" s="48"/>
      <c r="H479" s="252"/>
      <c r="I479" s="252"/>
      <c r="J479" s="252"/>
      <c r="K479" s="252"/>
      <c r="L479" s="27"/>
      <c r="M479" s="58"/>
      <c r="N479" s="58"/>
    </row>
    <row r="480" spans="1:14" ht="27" customHeight="1">
      <c r="A480" s="143"/>
      <c r="B480" s="143"/>
      <c r="C480" s="252"/>
      <c r="D480" s="257"/>
      <c r="E480" s="209"/>
      <c r="F480" s="151"/>
      <c r="G480" s="151"/>
      <c r="H480" s="262"/>
      <c r="I480" s="262"/>
      <c r="J480" s="188"/>
      <c r="K480" s="260"/>
      <c r="L480" s="257"/>
      <c r="M480" s="261"/>
      <c r="N480" s="258"/>
    </row>
    <row r="481" spans="1:14" ht="27" customHeight="1">
      <c r="A481" s="54"/>
      <c r="B481" s="254"/>
      <c r="C481" s="252"/>
      <c r="D481" s="261"/>
      <c r="E481" s="261"/>
      <c r="F481" s="137"/>
      <c r="G481" s="137"/>
      <c r="H481" s="277"/>
      <c r="I481" s="254"/>
      <c r="J481" s="254"/>
      <c r="K481" s="260"/>
      <c r="L481" s="27"/>
      <c r="M481" s="271"/>
      <c r="N481" s="271"/>
    </row>
    <row r="482" spans="1:14" ht="27" customHeight="1">
      <c r="A482" s="27"/>
      <c r="B482" s="27"/>
      <c r="C482" s="252"/>
      <c r="D482" s="250"/>
      <c r="E482" s="250"/>
      <c r="F482" s="251"/>
      <c r="G482" s="251"/>
      <c r="H482" s="281"/>
      <c r="I482" s="27"/>
      <c r="J482" s="27"/>
      <c r="K482" s="252"/>
      <c r="L482" s="252"/>
      <c r="M482" s="58"/>
      <c r="N482" s="58"/>
    </row>
    <row r="483" spans="1:14" ht="27" customHeight="1">
      <c r="A483" s="143"/>
      <c r="B483" s="143"/>
      <c r="C483" s="252"/>
      <c r="D483" s="257"/>
      <c r="E483" s="209"/>
      <c r="F483" s="151"/>
      <c r="G483" s="151"/>
      <c r="H483" s="262"/>
      <c r="I483" s="262"/>
      <c r="J483" s="188"/>
      <c r="K483" s="257"/>
      <c r="L483" s="257"/>
      <c r="M483" s="261"/>
      <c r="N483" s="258"/>
    </row>
    <row r="484" spans="1:14" ht="27" customHeight="1">
      <c r="A484" s="252"/>
      <c r="B484" s="257"/>
      <c r="C484" s="252"/>
      <c r="D484" s="250"/>
      <c r="E484" s="250"/>
      <c r="F484" s="49"/>
      <c r="G484" s="49"/>
      <c r="H484" s="188"/>
      <c r="I484" s="257"/>
      <c r="J484" s="257"/>
      <c r="K484" s="257"/>
      <c r="L484" s="27"/>
      <c r="M484" s="266"/>
      <c r="N484" s="266"/>
    </row>
    <row r="485" spans="1:14" ht="27" customHeight="1">
      <c r="A485" s="252"/>
      <c r="B485" s="252"/>
      <c r="C485" s="257"/>
      <c r="D485" s="48"/>
      <c r="E485" s="48"/>
      <c r="F485" s="257"/>
      <c r="G485" s="257"/>
      <c r="H485" s="252"/>
      <c r="I485" s="252"/>
      <c r="J485" s="252"/>
      <c r="K485" s="257"/>
      <c r="L485" s="252"/>
      <c r="M485" s="268"/>
      <c r="N485" s="268"/>
    </row>
    <row r="486" spans="1:14" ht="27" customHeight="1">
      <c r="A486" s="261"/>
      <c r="B486" s="260"/>
      <c r="C486" s="257"/>
      <c r="D486" s="260"/>
      <c r="E486" s="257"/>
      <c r="F486" s="156"/>
      <c r="G486" s="156"/>
      <c r="H486" s="257"/>
      <c r="I486" s="257"/>
      <c r="J486" s="257"/>
      <c r="K486" s="257"/>
      <c r="L486" s="252"/>
      <c r="M486" s="261"/>
      <c r="N486" s="257"/>
    </row>
    <row r="487" spans="1:14" ht="27" customHeight="1">
      <c r="A487" s="27"/>
      <c r="B487" s="257"/>
      <c r="C487" s="252"/>
      <c r="D487" s="250"/>
      <c r="E487" s="250"/>
      <c r="F487" s="251"/>
      <c r="G487" s="251"/>
      <c r="H487" s="188"/>
      <c r="I487" s="257"/>
      <c r="J487" s="257"/>
      <c r="K487" s="257"/>
      <c r="L487" s="27"/>
      <c r="M487" s="58"/>
      <c r="N487" s="58"/>
    </row>
    <row r="488" spans="1:14" ht="27" customHeight="1">
      <c r="A488" s="143"/>
      <c r="B488" s="143"/>
      <c r="C488" s="252"/>
      <c r="D488" s="257"/>
      <c r="E488" s="209"/>
      <c r="F488" s="151"/>
      <c r="G488" s="151"/>
      <c r="H488" s="262"/>
      <c r="I488" s="262"/>
      <c r="J488" s="188"/>
      <c r="K488" s="257"/>
      <c r="L488" s="257"/>
      <c r="M488" s="261"/>
      <c r="N488" s="258"/>
    </row>
    <row r="489" spans="1:14" ht="27" customHeight="1">
      <c r="A489" s="261"/>
      <c r="B489" s="260"/>
      <c r="C489" s="257"/>
      <c r="D489" s="260"/>
      <c r="E489" s="257"/>
      <c r="F489" s="156"/>
      <c r="G489" s="156"/>
      <c r="H489" s="257"/>
      <c r="I489" s="257"/>
      <c r="J489" s="257"/>
      <c r="K489" s="257"/>
      <c r="L489" s="252"/>
      <c r="M489" s="261"/>
      <c r="N489" s="257"/>
    </row>
    <row r="490" spans="1:14" ht="27" customHeight="1">
      <c r="A490" s="27"/>
      <c r="B490" s="27"/>
      <c r="C490" s="252"/>
      <c r="D490" s="250"/>
      <c r="E490" s="250"/>
      <c r="F490" s="251"/>
      <c r="G490" s="251"/>
      <c r="H490" s="281"/>
      <c r="I490" s="27"/>
      <c r="J490" s="27"/>
      <c r="K490" s="257"/>
      <c r="L490" s="27"/>
      <c r="M490" s="58"/>
      <c r="N490" s="58"/>
    </row>
    <row r="491" spans="1:14" ht="27" customHeight="1">
      <c r="A491" s="27"/>
      <c r="B491" s="27"/>
      <c r="C491" s="252"/>
      <c r="D491" s="250"/>
      <c r="E491" s="250"/>
      <c r="F491" s="251"/>
      <c r="G491" s="251"/>
      <c r="H491" s="281"/>
      <c r="I491" s="27"/>
      <c r="J491" s="27"/>
      <c r="K491" s="257"/>
      <c r="L491" s="27"/>
      <c r="M491" s="58"/>
      <c r="N491" s="58"/>
    </row>
    <row r="492" spans="1:14" ht="27" customHeight="1">
      <c r="A492" s="27"/>
      <c r="B492" s="27"/>
      <c r="C492" s="252"/>
      <c r="D492" s="250"/>
      <c r="E492" s="250"/>
      <c r="F492" s="251"/>
      <c r="G492" s="251"/>
      <c r="H492" s="281"/>
      <c r="I492" s="27"/>
      <c r="J492" s="27"/>
      <c r="K492" s="257"/>
      <c r="L492" s="27"/>
      <c r="M492" s="58"/>
      <c r="N492" s="58"/>
    </row>
    <row r="493" spans="1:14" ht="27" customHeight="1">
      <c r="A493" s="27"/>
      <c r="B493" s="27"/>
      <c r="C493" s="252"/>
      <c r="D493" s="250"/>
      <c r="E493" s="250"/>
      <c r="F493" s="251"/>
      <c r="G493" s="251"/>
      <c r="H493" s="281"/>
      <c r="I493" s="27"/>
      <c r="J493" s="27"/>
      <c r="K493" s="257"/>
      <c r="L493" s="27"/>
      <c r="M493" s="58"/>
      <c r="N493" s="58"/>
    </row>
    <row r="494" spans="1:14" ht="27" customHeight="1">
      <c r="A494" s="27"/>
      <c r="B494" s="27"/>
      <c r="C494" s="252"/>
      <c r="D494" s="250"/>
      <c r="E494" s="250"/>
      <c r="F494" s="251"/>
      <c r="G494" s="251"/>
      <c r="H494" s="281"/>
      <c r="I494" s="27"/>
      <c r="J494" s="27"/>
      <c r="K494" s="257"/>
      <c r="L494" s="27"/>
      <c r="M494" s="58"/>
      <c r="N494" s="58"/>
    </row>
    <row r="495" spans="1:14" ht="27" customHeight="1">
      <c r="A495" s="27"/>
      <c r="B495" s="27"/>
      <c r="C495" s="252"/>
      <c r="D495" s="250"/>
      <c r="E495" s="250"/>
      <c r="F495" s="251"/>
      <c r="G495" s="251"/>
      <c r="H495" s="281"/>
      <c r="I495" s="27"/>
      <c r="J495" s="27"/>
      <c r="K495" s="257"/>
      <c r="L495" s="27"/>
      <c r="M495" s="59"/>
      <c r="N495" s="59"/>
    </row>
    <row r="496" spans="1:14" ht="27" customHeight="1">
      <c r="A496" s="27"/>
      <c r="B496" s="27"/>
      <c r="C496" s="252"/>
      <c r="D496" s="250"/>
      <c r="E496" s="250"/>
      <c r="F496" s="251"/>
      <c r="G496" s="251"/>
      <c r="H496" s="281"/>
      <c r="I496" s="27"/>
      <c r="J496" s="27"/>
      <c r="K496" s="257"/>
      <c r="L496" s="27"/>
      <c r="M496" s="58"/>
      <c r="N496" s="58"/>
    </row>
    <row r="497" spans="1:14" ht="27" customHeight="1">
      <c r="A497" s="27"/>
      <c r="B497" s="27"/>
      <c r="C497" s="252"/>
      <c r="D497" s="250"/>
      <c r="E497" s="250"/>
      <c r="F497" s="251"/>
      <c r="G497" s="251"/>
      <c r="H497" s="281"/>
      <c r="I497" s="27"/>
      <c r="J497" s="27"/>
      <c r="K497" s="257"/>
      <c r="L497" s="27"/>
      <c r="M497" s="58"/>
      <c r="N497" s="58"/>
    </row>
    <row r="498" spans="1:14" ht="27" customHeight="1">
      <c r="A498" s="27"/>
      <c r="B498" s="27"/>
      <c r="C498" s="252"/>
      <c r="D498" s="250"/>
      <c r="E498" s="250"/>
      <c r="F498" s="251"/>
      <c r="G498" s="251"/>
      <c r="H498" s="281"/>
      <c r="I498" s="27"/>
      <c r="J498" s="27"/>
      <c r="K498" s="257"/>
      <c r="L498" s="27"/>
      <c r="M498" s="58"/>
      <c r="N498" s="58"/>
    </row>
    <row r="499" spans="1:14" ht="27" customHeight="1">
      <c r="A499" s="252"/>
      <c r="B499" s="252"/>
      <c r="C499" s="257"/>
      <c r="D499" s="48"/>
      <c r="E499" s="48"/>
      <c r="F499" s="257"/>
      <c r="G499" s="257"/>
      <c r="H499" s="252"/>
      <c r="I499" s="252"/>
      <c r="J499" s="252"/>
      <c r="K499" s="257"/>
      <c r="L499" s="252"/>
      <c r="M499" s="268"/>
      <c r="N499" s="268"/>
    </row>
    <row r="500" spans="1:14" ht="27" customHeight="1">
      <c r="A500" s="252"/>
      <c r="B500" s="252"/>
      <c r="C500" s="257"/>
      <c r="D500" s="48"/>
      <c r="E500" s="29"/>
      <c r="F500" s="257"/>
      <c r="G500" s="257"/>
      <c r="H500" s="252"/>
      <c r="I500" s="252"/>
      <c r="J500" s="252"/>
      <c r="K500" s="257"/>
      <c r="L500" s="252"/>
      <c r="M500" s="268"/>
      <c r="N500" s="268"/>
    </row>
    <row r="501" spans="1:14" ht="27" customHeight="1">
      <c r="A501" s="252"/>
      <c r="B501" s="252"/>
      <c r="C501" s="257"/>
      <c r="D501" s="48"/>
      <c r="E501" s="48"/>
      <c r="F501" s="257"/>
      <c r="G501" s="257"/>
      <c r="H501" s="252"/>
      <c r="I501" s="252"/>
      <c r="J501" s="252"/>
      <c r="K501" s="257"/>
      <c r="L501" s="252"/>
      <c r="M501" s="268"/>
      <c r="N501" s="268"/>
    </row>
    <row r="502" spans="1:14" ht="27" customHeight="1">
      <c r="A502" s="252"/>
      <c r="B502" s="252"/>
      <c r="C502" s="257"/>
      <c r="D502" s="48"/>
      <c r="E502" s="48"/>
      <c r="F502" s="257"/>
      <c r="G502" s="257"/>
      <c r="H502" s="252"/>
      <c r="I502" s="252"/>
      <c r="J502" s="252"/>
      <c r="K502" s="257"/>
      <c r="L502" s="252"/>
      <c r="M502" s="268"/>
      <c r="N502" s="268"/>
    </row>
    <row r="503" spans="1:14" ht="27" customHeight="1">
      <c r="A503" s="252"/>
      <c r="B503" s="252"/>
      <c r="C503" s="257"/>
      <c r="D503" s="48"/>
      <c r="E503" s="48"/>
      <c r="F503" s="257"/>
      <c r="G503" s="257"/>
      <c r="H503" s="252"/>
      <c r="I503" s="252"/>
      <c r="J503" s="252"/>
      <c r="K503" s="257"/>
      <c r="L503" s="252"/>
      <c r="M503" s="268"/>
      <c r="N503" s="268"/>
    </row>
    <row r="504" spans="1:14" ht="27" customHeight="1">
      <c r="A504" s="252"/>
      <c r="B504" s="257"/>
      <c r="C504" s="252"/>
      <c r="D504" s="48"/>
      <c r="E504" s="48"/>
      <c r="F504" s="43"/>
      <c r="G504" s="43"/>
      <c r="H504" s="188"/>
      <c r="I504" s="257"/>
      <c r="J504" s="257"/>
      <c r="K504" s="257"/>
      <c r="L504" s="257"/>
      <c r="M504" s="266"/>
      <c r="N504" s="266"/>
    </row>
    <row r="505" spans="1:14" ht="27" customHeight="1">
      <c r="A505" s="27"/>
      <c r="B505" s="27"/>
      <c r="C505" s="252"/>
      <c r="D505" s="250"/>
      <c r="E505" s="250"/>
      <c r="F505" s="251"/>
      <c r="G505" s="251"/>
      <c r="H505" s="281"/>
      <c r="I505" s="27"/>
      <c r="J505" s="27"/>
      <c r="K505" s="27"/>
      <c r="L505" s="27"/>
      <c r="M505" s="58"/>
      <c r="N505" s="58"/>
    </row>
    <row r="506" spans="1:14" ht="27" customHeight="1">
      <c r="A506" s="252"/>
      <c r="B506" s="252"/>
      <c r="C506" s="257"/>
      <c r="D506" s="48"/>
      <c r="E506" s="48"/>
      <c r="F506" s="257"/>
      <c r="G506" s="257"/>
      <c r="H506" s="252"/>
      <c r="I506" s="252"/>
      <c r="J506" s="252"/>
      <c r="K506" s="257"/>
      <c r="L506" s="252"/>
      <c r="M506" s="268"/>
      <c r="N506" s="268"/>
    </row>
    <row r="507" spans="1:14" ht="27" customHeight="1">
      <c r="A507" s="143"/>
      <c r="B507" s="143"/>
      <c r="C507" s="252"/>
      <c r="D507" s="254"/>
      <c r="E507" s="209"/>
      <c r="F507" s="151"/>
      <c r="G507" s="151"/>
      <c r="H507" s="262"/>
      <c r="I507" s="262"/>
      <c r="J507" s="188"/>
      <c r="K507" s="262"/>
      <c r="L507" s="257"/>
      <c r="M507" s="261"/>
      <c r="N507" s="258"/>
    </row>
    <row r="508" spans="1:14" ht="27" customHeight="1">
      <c r="A508" s="143"/>
      <c r="B508" s="143"/>
      <c r="C508" s="252"/>
      <c r="D508" s="257"/>
      <c r="E508" s="209"/>
      <c r="F508" s="151"/>
      <c r="G508" s="151"/>
      <c r="H508" s="262"/>
      <c r="I508" s="262"/>
      <c r="J508" s="188"/>
      <c r="K508" s="262"/>
      <c r="L508" s="257"/>
      <c r="M508" s="261"/>
      <c r="N508" s="258"/>
    </row>
    <row r="509" spans="1:14" ht="27" customHeight="1">
      <c r="A509" s="252"/>
      <c r="B509" s="252"/>
      <c r="C509" s="257"/>
      <c r="D509" s="48"/>
      <c r="E509" s="48"/>
      <c r="F509" s="257"/>
      <c r="G509" s="257"/>
      <c r="H509" s="252"/>
      <c r="I509" s="252"/>
      <c r="J509" s="252"/>
      <c r="K509" s="257"/>
      <c r="L509" s="252"/>
      <c r="M509" s="268"/>
      <c r="N509" s="268"/>
    </row>
    <row r="510" spans="1:14" ht="27" customHeight="1">
      <c r="A510" s="252"/>
      <c r="B510" s="252"/>
      <c r="C510" s="257"/>
      <c r="D510" s="48"/>
      <c r="E510" s="48"/>
      <c r="F510" s="257"/>
      <c r="G510" s="257"/>
      <c r="H510" s="252"/>
      <c r="I510" s="252"/>
      <c r="J510" s="252"/>
      <c r="K510" s="257"/>
      <c r="L510" s="252"/>
      <c r="M510" s="268"/>
      <c r="N510" s="268"/>
    </row>
    <row r="511" spans="1:14" ht="27" customHeight="1">
      <c r="A511" s="252"/>
      <c r="B511" s="252"/>
      <c r="C511" s="257"/>
      <c r="D511" s="48"/>
      <c r="E511" s="48"/>
      <c r="F511" s="257"/>
      <c r="G511" s="257"/>
      <c r="H511" s="252"/>
      <c r="I511" s="252"/>
      <c r="J511" s="252"/>
      <c r="K511" s="257"/>
      <c r="L511" s="252"/>
      <c r="M511" s="268"/>
      <c r="N511" s="268"/>
    </row>
    <row r="512" spans="1:14" ht="27" customHeight="1">
      <c r="A512" s="252"/>
      <c r="B512" s="252"/>
      <c r="C512" s="257"/>
      <c r="D512" s="48"/>
      <c r="E512" s="48"/>
      <c r="F512" s="257"/>
      <c r="G512" s="257"/>
      <c r="H512" s="252"/>
      <c r="I512" s="252"/>
      <c r="J512" s="252"/>
      <c r="K512" s="257"/>
      <c r="L512" s="252"/>
      <c r="M512" s="268"/>
      <c r="N512" s="268"/>
    </row>
    <row r="513" spans="1:14" ht="27" customHeight="1">
      <c r="A513" s="252"/>
      <c r="B513" s="257"/>
      <c r="C513" s="252"/>
      <c r="D513" s="250"/>
      <c r="E513" s="250"/>
      <c r="F513" s="251"/>
      <c r="G513" s="251"/>
      <c r="H513" s="188"/>
      <c r="I513" s="257"/>
      <c r="J513" s="257"/>
      <c r="K513" s="257"/>
      <c r="L513" s="252"/>
      <c r="M513" s="268"/>
      <c r="N513" s="268"/>
    </row>
    <row r="514" spans="1:14" ht="27" customHeight="1">
      <c r="A514" s="261"/>
      <c r="B514" s="260"/>
      <c r="C514" s="257"/>
      <c r="D514" s="260"/>
      <c r="E514" s="257"/>
      <c r="F514" s="156"/>
      <c r="G514" s="156"/>
      <c r="H514" s="257"/>
      <c r="I514" s="257"/>
      <c r="J514" s="257"/>
      <c r="K514" s="257"/>
      <c r="L514" s="252"/>
      <c r="M514" s="261"/>
      <c r="N514" s="257"/>
    </row>
    <row r="515" spans="1:14" s="259" customFormat="1" ht="27" customHeight="1">
      <c r="A515" s="252"/>
      <c r="B515" s="252"/>
      <c r="C515" s="257"/>
      <c r="D515" s="48"/>
      <c r="E515" s="48"/>
      <c r="F515" s="257"/>
      <c r="G515" s="257"/>
      <c r="H515" s="252"/>
      <c r="I515" s="252"/>
      <c r="J515" s="252"/>
      <c r="K515" s="257"/>
      <c r="L515" s="252"/>
      <c r="M515" s="268"/>
      <c r="N515" s="268"/>
    </row>
    <row r="516" spans="1:14" s="259" customFormat="1" ht="27" customHeight="1">
      <c r="A516" s="261"/>
      <c r="B516" s="260"/>
      <c r="C516" s="257"/>
      <c r="D516" s="260"/>
      <c r="E516" s="257"/>
      <c r="F516" s="156"/>
      <c r="G516" s="156"/>
      <c r="H516" s="257"/>
      <c r="I516" s="257"/>
      <c r="J516" s="257"/>
      <c r="K516" s="257"/>
      <c r="L516" s="252"/>
      <c r="M516" s="261"/>
      <c r="N516" s="257"/>
    </row>
    <row r="517" spans="1:14" ht="27" customHeight="1">
      <c r="A517" s="261"/>
      <c r="B517" s="260"/>
      <c r="C517" s="257"/>
      <c r="D517" s="260"/>
      <c r="E517" s="257"/>
      <c r="F517" s="156"/>
      <c r="G517" s="156"/>
      <c r="H517" s="257"/>
      <c r="I517" s="257"/>
      <c r="J517" s="257"/>
      <c r="K517" s="257"/>
      <c r="L517" s="252"/>
      <c r="M517" s="261"/>
      <c r="N517" s="257"/>
    </row>
    <row r="518" spans="1:14" ht="27" customHeight="1">
      <c r="A518" s="252"/>
      <c r="B518" s="252"/>
      <c r="C518" s="257"/>
      <c r="D518" s="48"/>
      <c r="E518" s="48"/>
      <c r="F518" s="257"/>
      <c r="G518" s="257"/>
      <c r="H518" s="200"/>
      <c r="I518" s="252"/>
      <c r="J518" s="252"/>
      <c r="K518" s="257"/>
      <c r="L518" s="257"/>
      <c r="M518" s="268"/>
      <c r="N518" s="268"/>
    </row>
    <row r="519" spans="1:14" ht="27" customHeight="1">
      <c r="A519" s="261"/>
      <c r="B519" s="260"/>
      <c r="C519" s="257"/>
      <c r="D519" s="260"/>
      <c r="E519" s="257"/>
      <c r="F519" s="156"/>
      <c r="G519" s="156"/>
      <c r="H519" s="257"/>
      <c r="I519" s="257"/>
      <c r="J519" s="257"/>
      <c r="K519" s="257"/>
      <c r="L519" s="252"/>
      <c r="M519" s="261"/>
      <c r="N519" s="257"/>
    </row>
    <row r="520" spans="1:14" ht="27" customHeight="1">
      <c r="A520" s="252"/>
      <c r="B520" s="252"/>
      <c r="C520" s="257"/>
      <c r="D520" s="48"/>
      <c r="E520" s="48"/>
      <c r="F520" s="257"/>
      <c r="G520" s="257"/>
      <c r="H520" s="252"/>
      <c r="I520" s="252"/>
      <c r="J520" s="252"/>
      <c r="K520" s="257"/>
      <c r="L520" s="252"/>
      <c r="M520" s="268"/>
      <c r="N520" s="268"/>
    </row>
    <row r="521" spans="1:14" s="259" customFormat="1" ht="27" customHeight="1">
      <c r="A521" s="261"/>
      <c r="B521" s="260"/>
      <c r="C521" s="257"/>
      <c r="D521" s="260"/>
      <c r="E521" s="257"/>
      <c r="F521" s="156"/>
      <c r="G521" s="156"/>
      <c r="H521" s="257"/>
      <c r="I521" s="257"/>
      <c r="J521" s="257"/>
      <c r="K521" s="257"/>
      <c r="L521" s="252"/>
      <c r="M521" s="261"/>
      <c r="N521" s="257"/>
    </row>
    <row r="522" spans="1:14" s="259" customFormat="1" ht="27" customHeight="1">
      <c r="A522" s="261"/>
      <c r="B522" s="260"/>
      <c r="C522" s="257"/>
      <c r="D522" s="260"/>
      <c r="E522" s="257"/>
      <c r="F522" s="156"/>
      <c r="G522" s="156"/>
      <c r="H522" s="257"/>
      <c r="I522" s="257"/>
      <c r="J522" s="257"/>
      <c r="K522" s="257"/>
      <c r="L522" s="252"/>
      <c r="M522" s="261"/>
      <c r="N522" s="257"/>
    </row>
    <row r="523" spans="1:14" s="259" customFormat="1" ht="27" customHeight="1">
      <c r="A523" s="257"/>
      <c r="B523" s="46"/>
      <c r="C523" s="257"/>
      <c r="D523" s="48"/>
      <c r="E523" s="48"/>
      <c r="F523" s="43"/>
      <c r="G523" s="43"/>
      <c r="H523" s="188"/>
      <c r="I523" s="257"/>
      <c r="J523" s="257"/>
      <c r="K523" s="257"/>
      <c r="L523" s="257"/>
      <c r="M523" s="266"/>
      <c r="N523" s="266"/>
    </row>
    <row r="524" spans="1:14" s="259" customFormat="1" ht="27" customHeight="1">
      <c r="A524" s="252"/>
      <c r="B524" s="46"/>
      <c r="C524" s="252"/>
      <c r="D524" s="48"/>
      <c r="E524" s="48"/>
      <c r="F524" s="43"/>
      <c r="G524" s="43"/>
      <c r="H524" s="243"/>
      <c r="I524" s="46"/>
      <c r="J524" s="46"/>
      <c r="K524" s="257"/>
      <c r="L524" s="257"/>
      <c r="M524" s="266"/>
      <c r="N524" s="266"/>
    </row>
    <row r="525" spans="1:14" s="259" customFormat="1" ht="27" customHeight="1">
      <c r="A525" s="261"/>
      <c r="B525" s="260"/>
      <c r="C525" s="257"/>
      <c r="D525" s="260"/>
      <c r="E525" s="257"/>
      <c r="F525" s="156"/>
      <c r="G525" s="156"/>
      <c r="H525" s="257"/>
      <c r="I525" s="257"/>
      <c r="J525" s="257"/>
      <c r="K525" s="257"/>
      <c r="L525" s="252"/>
      <c r="M525" s="261"/>
      <c r="N525" s="257"/>
    </row>
    <row r="526" spans="1:14" s="259" customFormat="1" ht="27" customHeight="1">
      <c r="A526" s="261"/>
      <c r="B526" s="260"/>
      <c r="C526" s="257"/>
      <c r="D526" s="260"/>
      <c r="E526" s="257"/>
      <c r="F526" s="156"/>
      <c r="G526" s="156"/>
      <c r="H526" s="257"/>
      <c r="I526" s="257"/>
      <c r="J526" s="257"/>
      <c r="K526" s="257"/>
      <c r="L526" s="252"/>
      <c r="M526" s="261"/>
      <c r="N526" s="257"/>
    </row>
    <row r="527" spans="1:14" s="259" customFormat="1" ht="27" customHeight="1">
      <c r="A527" s="261"/>
      <c r="B527" s="260"/>
      <c r="C527" s="257"/>
      <c r="D527" s="260"/>
      <c r="E527" s="257"/>
      <c r="F527" s="156"/>
      <c r="G527" s="156"/>
      <c r="H527" s="257"/>
      <c r="I527" s="257"/>
      <c r="J527" s="257"/>
      <c r="K527" s="257"/>
      <c r="L527" s="252"/>
      <c r="M527" s="261"/>
      <c r="N527" s="257"/>
    </row>
    <row r="528" spans="1:14" s="259" customFormat="1" ht="27" customHeight="1">
      <c r="A528" s="261"/>
      <c r="B528" s="260"/>
      <c r="C528" s="257"/>
      <c r="D528" s="260"/>
      <c r="E528" s="257"/>
      <c r="F528" s="156"/>
      <c r="G528" s="156"/>
      <c r="H528" s="257"/>
      <c r="I528" s="257"/>
      <c r="J528" s="257"/>
      <c r="K528" s="257"/>
      <c r="L528" s="252"/>
      <c r="M528" s="261"/>
      <c r="N528" s="257"/>
    </row>
    <row r="529" spans="1:14" s="259" customFormat="1" ht="27" customHeight="1">
      <c r="A529" s="257"/>
      <c r="B529" s="257"/>
      <c r="C529" s="257"/>
      <c r="D529" s="29"/>
      <c r="E529" s="29"/>
      <c r="F529" s="251"/>
      <c r="G529" s="251"/>
      <c r="H529" s="188"/>
      <c r="I529" s="188"/>
      <c r="J529" s="188"/>
      <c r="K529" s="257"/>
      <c r="L529" s="257"/>
      <c r="M529" s="258"/>
      <c r="N529" s="258"/>
    </row>
    <row r="530" spans="1:14" s="259" customFormat="1" ht="27" customHeight="1">
      <c r="A530" s="27"/>
      <c r="B530" s="27"/>
      <c r="C530" s="252"/>
      <c r="D530" s="250"/>
      <c r="E530" s="250"/>
      <c r="F530" s="43"/>
      <c r="G530" s="43"/>
      <c r="H530" s="27"/>
      <c r="I530" s="27"/>
      <c r="J530" s="27"/>
      <c r="K530" s="257"/>
      <c r="L530" s="27"/>
      <c r="M530" s="58"/>
      <c r="N530" s="58"/>
    </row>
    <row r="531" spans="1:14" s="259" customFormat="1" ht="27" customHeight="1">
      <c r="A531" s="54"/>
      <c r="B531" s="256"/>
      <c r="C531" s="252"/>
      <c r="D531" s="250"/>
      <c r="E531" s="250"/>
      <c r="F531" s="251"/>
      <c r="G531" s="251"/>
      <c r="H531" s="282"/>
      <c r="I531" s="256"/>
      <c r="J531" s="256"/>
      <c r="K531" s="257"/>
      <c r="L531" s="27"/>
      <c r="M531" s="58"/>
      <c r="N531" s="58"/>
    </row>
    <row r="532" spans="1:14" s="259" customFormat="1" ht="27" customHeight="1">
      <c r="A532" s="261"/>
      <c r="B532" s="260"/>
      <c r="C532" s="257"/>
      <c r="D532" s="260"/>
      <c r="E532" s="257"/>
      <c r="F532" s="156"/>
      <c r="G532" s="156"/>
      <c r="H532" s="257"/>
      <c r="I532" s="257"/>
      <c r="J532" s="257"/>
      <c r="K532" s="257"/>
      <c r="L532" s="252"/>
      <c r="M532" s="261"/>
      <c r="N532" s="257"/>
    </row>
    <row r="533" spans="1:14" s="259" customFormat="1" ht="27" customHeight="1">
      <c r="A533" s="261"/>
      <c r="B533" s="260"/>
      <c r="C533" s="257"/>
      <c r="D533" s="260"/>
      <c r="E533" s="257"/>
      <c r="F533" s="156"/>
      <c r="G533" s="156"/>
      <c r="H533" s="257"/>
      <c r="I533" s="257"/>
      <c r="J533" s="257"/>
      <c r="K533" s="257"/>
      <c r="L533" s="252"/>
      <c r="M533" s="261"/>
      <c r="N533" s="257"/>
    </row>
    <row r="534" spans="1:14" s="259" customFormat="1" ht="27" customHeight="1">
      <c r="A534" s="252"/>
      <c r="B534" s="257"/>
      <c r="C534" s="252"/>
      <c r="D534" s="250"/>
      <c r="E534" s="250"/>
      <c r="F534" s="251"/>
      <c r="G534" s="251"/>
      <c r="H534" s="188"/>
      <c r="I534" s="257"/>
      <c r="J534" s="257"/>
      <c r="K534" s="257"/>
      <c r="L534" s="27"/>
      <c r="M534" s="268"/>
      <c r="N534" s="268"/>
    </row>
    <row r="535" spans="1:14" s="259" customFormat="1" ht="27" customHeight="1">
      <c r="A535" s="252"/>
      <c r="B535" s="257"/>
      <c r="C535" s="252"/>
      <c r="D535" s="250"/>
      <c r="E535" s="250"/>
      <c r="F535" s="251"/>
      <c r="G535" s="251"/>
      <c r="H535" s="188"/>
      <c r="I535" s="257"/>
      <c r="J535" s="257"/>
      <c r="K535" s="257"/>
      <c r="L535" s="27"/>
      <c r="M535" s="268"/>
      <c r="N535" s="268"/>
    </row>
    <row r="536" spans="1:14" s="259" customFormat="1" ht="27" customHeight="1">
      <c r="A536" s="252"/>
      <c r="B536" s="252"/>
      <c r="C536" s="257"/>
      <c r="D536" s="48"/>
      <c r="E536" s="49"/>
      <c r="F536" s="257"/>
      <c r="G536" s="257"/>
      <c r="H536" s="252"/>
      <c r="I536" s="252"/>
      <c r="J536" s="252"/>
      <c r="K536" s="257"/>
      <c r="L536" s="252"/>
      <c r="M536" s="268"/>
      <c r="N536" s="268"/>
    </row>
    <row r="537" spans="1:14" s="259" customFormat="1" ht="27" customHeight="1">
      <c r="A537" s="143"/>
      <c r="B537" s="143"/>
      <c r="C537" s="252"/>
      <c r="D537" s="257"/>
      <c r="E537" s="209"/>
      <c r="F537" s="151"/>
      <c r="G537" s="151"/>
      <c r="H537" s="262"/>
      <c r="I537" s="262"/>
      <c r="J537" s="257"/>
      <c r="K537" s="257"/>
      <c r="L537" s="257"/>
      <c r="M537" s="261"/>
      <c r="N537" s="257"/>
    </row>
    <row r="538" spans="1:14" s="259" customFormat="1" ht="27" customHeight="1">
      <c r="A538" s="261"/>
      <c r="B538" s="260"/>
      <c r="C538" s="257"/>
      <c r="D538" s="260"/>
      <c r="E538" s="257"/>
      <c r="F538" s="156"/>
      <c r="G538" s="156"/>
      <c r="H538" s="257"/>
      <c r="I538" s="257"/>
      <c r="J538" s="257"/>
      <c r="K538" s="257"/>
      <c r="L538" s="252"/>
      <c r="M538" s="261"/>
      <c r="N538" s="257"/>
    </row>
    <row r="539" spans="1:14" s="259" customFormat="1" ht="27" customHeight="1">
      <c r="A539" s="27"/>
      <c r="B539" s="27"/>
      <c r="C539" s="252"/>
      <c r="D539" s="250"/>
      <c r="E539" s="250"/>
      <c r="F539" s="251"/>
      <c r="G539" s="251"/>
      <c r="H539" s="281"/>
      <c r="I539" s="27"/>
      <c r="J539" s="27"/>
      <c r="K539" s="257"/>
      <c r="L539" s="27"/>
      <c r="M539" s="58"/>
      <c r="N539" s="58"/>
    </row>
    <row r="540" spans="1:14" s="259" customFormat="1" ht="27" customHeight="1">
      <c r="A540" s="252"/>
      <c r="B540" s="257"/>
      <c r="C540" s="252"/>
      <c r="D540" s="139"/>
      <c r="E540" s="139"/>
      <c r="F540" s="137"/>
      <c r="G540" s="137"/>
      <c r="H540" s="188"/>
      <c r="I540" s="188"/>
      <c r="J540" s="188"/>
      <c r="K540" s="257"/>
      <c r="L540" s="27"/>
      <c r="M540" s="268"/>
      <c r="N540" s="268"/>
    </row>
    <row r="541" spans="1:14" s="259" customFormat="1" ht="27" customHeight="1">
      <c r="A541" s="252"/>
      <c r="B541" s="252"/>
      <c r="C541" s="257"/>
      <c r="D541" s="48"/>
      <c r="E541" s="48"/>
      <c r="F541" s="257"/>
      <c r="G541" s="257"/>
      <c r="H541" s="252"/>
      <c r="I541" s="252"/>
      <c r="J541" s="252"/>
      <c r="K541" s="257"/>
      <c r="L541" s="252"/>
      <c r="M541" s="268"/>
      <c r="N541" s="268"/>
    </row>
    <row r="542" spans="1:14" s="259" customFormat="1" ht="27" customHeight="1">
      <c r="A542" s="252"/>
      <c r="B542" s="46"/>
      <c r="C542" s="252"/>
      <c r="D542" s="250"/>
      <c r="E542" s="250"/>
      <c r="F542" s="43"/>
      <c r="G542" s="43"/>
      <c r="H542" s="243"/>
      <c r="I542" s="46"/>
      <c r="J542" s="46"/>
      <c r="K542" s="257"/>
      <c r="L542" s="257"/>
      <c r="M542" s="258"/>
      <c r="N542" s="258"/>
    </row>
    <row r="543" spans="1:14" s="259" customFormat="1" ht="27" customHeight="1">
      <c r="A543" s="252"/>
      <c r="B543" s="252"/>
      <c r="C543" s="257"/>
      <c r="D543" s="48"/>
      <c r="E543" s="48"/>
      <c r="F543" s="257"/>
      <c r="G543" s="257"/>
      <c r="H543" s="252"/>
      <c r="I543" s="252"/>
      <c r="J543" s="252"/>
      <c r="K543" s="257"/>
      <c r="L543" s="252"/>
      <c r="M543" s="268"/>
      <c r="N543" s="268"/>
    </row>
    <row r="544" spans="1:14" s="259" customFormat="1" ht="27" customHeight="1">
      <c r="A544" s="261"/>
      <c r="B544" s="260"/>
      <c r="C544" s="257"/>
      <c r="D544" s="260"/>
      <c r="E544" s="257"/>
      <c r="F544" s="156"/>
      <c r="G544" s="156"/>
      <c r="H544" s="257"/>
      <c r="I544" s="257"/>
      <c r="J544" s="257"/>
      <c r="K544" s="257"/>
      <c r="L544" s="252"/>
      <c r="M544" s="261"/>
      <c r="N544" s="257"/>
    </row>
    <row r="545" spans="1:14" s="259" customFormat="1" ht="27" customHeight="1">
      <c r="A545" s="252"/>
      <c r="B545" s="252"/>
      <c r="C545" s="257"/>
      <c r="D545" s="48"/>
      <c r="E545" s="48"/>
      <c r="F545" s="251"/>
      <c r="G545" s="251"/>
      <c r="H545" s="252"/>
      <c r="I545" s="252"/>
      <c r="J545" s="252"/>
      <c r="K545" s="257"/>
      <c r="L545" s="252"/>
      <c r="M545" s="268"/>
      <c r="N545" s="268"/>
    </row>
    <row r="546" spans="1:14" s="259" customFormat="1" ht="27" customHeight="1">
      <c r="A546" s="261"/>
      <c r="B546" s="260"/>
      <c r="C546" s="257"/>
      <c r="D546" s="260"/>
      <c r="E546" s="257"/>
      <c r="F546" s="156"/>
      <c r="G546" s="156"/>
      <c r="H546" s="257"/>
      <c r="I546" s="257"/>
      <c r="J546" s="257"/>
      <c r="K546" s="257"/>
      <c r="L546" s="252"/>
      <c r="M546" s="261"/>
      <c r="N546" s="257"/>
    </row>
    <row r="547" spans="1:14" s="259" customFormat="1" ht="27" customHeight="1">
      <c r="A547" s="261"/>
      <c r="B547" s="260"/>
      <c r="C547" s="257"/>
      <c r="D547" s="260"/>
      <c r="E547" s="257"/>
      <c r="F547" s="156"/>
      <c r="G547" s="156"/>
      <c r="H547" s="257"/>
      <c r="I547" s="257"/>
      <c r="J547" s="257"/>
      <c r="K547" s="257"/>
      <c r="L547" s="252"/>
      <c r="M547" s="261"/>
      <c r="N547" s="257"/>
    </row>
    <row r="548" spans="1:14" s="259" customFormat="1" ht="27" customHeight="1">
      <c r="A548" s="252"/>
      <c r="B548" s="256"/>
      <c r="C548" s="252"/>
      <c r="D548" s="250"/>
      <c r="E548" s="250"/>
      <c r="F548" s="251"/>
      <c r="G548" s="251"/>
      <c r="H548" s="282"/>
      <c r="I548" s="256"/>
      <c r="J548" s="256"/>
      <c r="K548" s="257"/>
      <c r="L548" s="257"/>
      <c r="M548" s="258"/>
      <c r="N548" s="258"/>
    </row>
    <row r="549" spans="1:14" s="259" customFormat="1" ht="27.75" customHeight="1">
      <c r="A549" s="261"/>
      <c r="B549" s="260"/>
      <c r="C549" s="257"/>
      <c r="D549" s="260"/>
      <c r="E549" s="257"/>
      <c r="F549" s="156"/>
      <c r="G549" s="156"/>
      <c r="H549" s="257"/>
      <c r="I549" s="257"/>
      <c r="J549" s="257"/>
      <c r="K549" s="257"/>
      <c r="L549" s="252"/>
      <c r="M549" s="261"/>
      <c r="N549" s="257"/>
    </row>
    <row r="550" spans="1:14" s="259" customFormat="1" ht="27.75" customHeight="1">
      <c r="A550" s="252"/>
      <c r="B550" s="256"/>
      <c r="C550" s="252"/>
      <c r="D550" s="250"/>
      <c r="E550" s="250"/>
      <c r="F550" s="265"/>
      <c r="G550" s="265"/>
      <c r="H550" s="282"/>
      <c r="I550" s="256"/>
      <c r="J550" s="256"/>
      <c r="K550" s="257"/>
      <c r="L550" s="257"/>
      <c r="M550" s="258"/>
      <c r="N550" s="258"/>
    </row>
    <row r="551" spans="1:14" s="259" customFormat="1" ht="27.75" customHeight="1">
      <c r="A551" s="252"/>
      <c r="B551" s="256"/>
      <c r="C551" s="252"/>
      <c r="D551" s="250"/>
      <c r="E551" s="250"/>
      <c r="F551" s="43"/>
      <c r="G551" s="43"/>
      <c r="H551" s="282"/>
      <c r="I551" s="256"/>
      <c r="J551" s="256"/>
      <c r="K551" s="257"/>
      <c r="L551" s="257"/>
      <c r="M551" s="258"/>
      <c r="N551" s="258"/>
    </row>
    <row r="552" spans="1:14" s="259" customFormat="1" ht="14.25">
      <c r="A552" s="27"/>
      <c r="B552" s="27"/>
      <c r="C552" s="252"/>
      <c r="D552" s="250"/>
      <c r="E552" s="250"/>
      <c r="F552" s="43"/>
      <c r="G552" s="43"/>
      <c r="H552" s="27"/>
      <c r="I552" s="27"/>
      <c r="J552" s="27"/>
      <c r="K552" s="257"/>
      <c r="L552" s="27"/>
      <c r="M552" s="58"/>
      <c r="N552" s="58"/>
    </row>
    <row r="553" spans="1:14" s="259" customFormat="1" ht="14.25">
      <c r="A553" s="27"/>
      <c r="B553" s="27"/>
      <c r="C553" s="252"/>
      <c r="D553" s="250"/>
      <c r="E553" s="250"/>
      <c r="F553" s="43"/>
      <c r="G553" s="43"/>
      <c r="H553" s="27"/>
      <c r="I553" s="27"/>
      <c r="J553" s="27"/>
      <c r="K553" s="257"/>
      <c r="L553" s="27"/>
      <c r="M553" s="58"/>
      <c r="N553" s="58"/>
    </row>
    <row r="554" spans="1:14" s="259" customFormat="1" ht="27.75" customHeight="1">
      <c r="A554" s="27"/>
      <c r="B554" s="27"/>
      <c r="C554" s="252"/>
      <c r="D554" s="250"/>
      <c r="E554" s="250"/>
      <c r="F554" s="43"/>
      <c r="G554" s="43"/>
      <c r="H554" s="27"/>
      <c r="I554" s="27"/>
      <c r="J554" s="27"/>
      <c r="K554" s="257"/>
      <c r="L554" s="27"/>
      <c r="M554" s="58"/>
      <c r="N554" s="58"/>
    </row>
    <row r="555" spans="1:14" s="259" customFormat="1" ht="27.75" customHeight="1">
      <c r="A555" s="261"/>
      <c r="B555" s="260"/>
      <c r="C555" s="257"/>
      <c r="D555" s="260"/>
      <c r="E555" s="257"/>
      <c r="F555" s="156"/>
      <c r="G555" s="156"/>
      <c r="H555" s="257"/>
      <c r="I555" s="257"/>
      <c r="J555" s="257"/>
      <c r="K555" s="257"/>
      <c r="L555" s="252"/>
      <c r="M555" s="261"/>
      <c r="N555" s="257"/>
    </row>
    <row r="556" spans="1:14" ht="27" customHeight="1">
      <c r="A556" s="27"/>
      <c r="B556" s="27"/>
      <c r="C556" s="252"/>
      <c r="D556" s="250"/>
      <c r="E556" s="250"/>
      <c r="F556" s="251"/>
      <c r="G556" s="251"/>
      <c r="H556" s="281"/>
      <c r="I556" s="27"/>
      <c r="J556" s="27"/>
      <c r="K556" s="257"/>
      <c r="L556" s="27"/>
      <c r="M556" s="58"/>
      <c r="N556" s="58"/>
    </row>
    <row r="557" spans="1:14" s="259" customFormat="1" ht="27" customHeight="1">
      <c r="A557" s="27"/>
      <c r="B557" s="27"/>
      <c r="C557" s="252"/>
      <c r="D557" s="250"/>
      <c r="E557" s="250"/>
      <c r="F557" s="251"/>
      <c r="G557" s="251"/>
      <c r="H557" s="281"/>
      <c r="I557" s="27"/>
      <c r="J557" s="27"/>
      <c r="K557" s="257"/>
      <c r="L557" s="27"/>
      <c r="M557" s="58"/>
      <c r="N557" s="58"/>
    </row>
    <row r="558" spans="1:14" s="259" customFormat="1" ht="27" customHeight="1">
      <c r="A558" s="27"/>
      <c r="B558" s="27"/>
      <c r="C558" s="252"/>
      <c r="D558" s="250"/>
      <c r="E558" s="250"/>
      <c r="F558" s="251"/>
      <c r="G558" s="251"/>
      <c r="H558" s="281"/>
      <c r="I558" s="27"/>
      <c r="J558" s="27"/>
      <c r="K558" s="257"/>
      <c r="L558" s="27"/>
      <c r="M558" s="58"/>
      <c r="N558" s="58"/>
    </row>
    <row r="559" spans="1:14" s="259" customFormat="1" ht="27" customHeight="1">
      <c r="A559" s="27"/>
      <c r="B559" s="27"/>
      <c r="C559" s="252"/>
      <c r="D559" s="250"/>
      <c r="E559" s="250"/>
      <c r="F559" s="251"/>
      <c r="G559" s="251"/>
      <c r="H559" s="281"/>
      <c r="I559" s="27"/>
      <c r="J559" s="27"/>
      <c r="K559" s="257"/>
      <c r="L559" s="27"/>
      <c r="M559" s="58"/>
      <c r="N559" s="58"/>
    </row>
    <row r="560" spans="1:14" s="259" customFormat="1" ht="27" customHeight="1">
      <c r="A560" s="27"/>
      <c r="B560" s="27"/>
      <c r="C560" s="252"/>
      <c r="D560" s="250"/>
      <c r="E560" s="250"/>
      <c r="F560" s="251"/>
      <c r="G560" s="251"/>
      <c r="H560" s="281"/>
      <c r="I560" s="27"/>
      <c r="J560" s="27"/>
      <c r="K560" s="257"/>
      <c r="L560" s="27"/>
      <c r="M560" s="58"/>
      <c r="N560" s="58"/>
    </row>
    <row r="561" spans="1:14" s="259" customFormat="1" ht="27" customHeight="1">
      <c r="A561" s="261"/>
      <c r="B561" s="260"/>
      <c r="C561" s="257"/>
      <c r="D561" s="260"/>
      <c r="E561" s="257"/>
      <c r="F561" s="156"/>
      <c r="G561" s="156"/>
      <c r="H561" s="257"/>
      <c r="I561" s="257"/>
      <c r="J561" s="257"/>
      <c r="K561" s="257"/>
      <c r="L561" s="252"/>
      <c r="M561" s="261"/>
      <c r="N561" s="257"/>
    </row>
    <row r="562" spans="1:14" s="259" customFormat="1" ht="27" customHeight="1">
      <c r="A562" s="252"/>
      <c r="B562" s="256"/>
      <c r="C562" s="252"/>
      <c r="D562" s="250"/>
      <c r="E562" s="250"/>
      <c r="F562" s="251"/>
      <c r="G562" s="251"/>
      <c r="H562" s="282"/>
      <c r="I562" s="256"/>
      <c r="J562" s="256"/>
      <c r="K562" s="257"/>
      <c r="L562" s="257"/>
      <c r="M562" s="258"/>
      <c r="N562" s="258"/>
    </row>
    <row r="563" spans="1:14" s="259" customFormat="1" ht="27" customHeight="1">
      <c r="A563" s="27"/>
      <c r="B563" s="27"/>
      <c r="C563" s="252"/>
      <c r="D563" s="250"/>
      <c r="E563" s="250"/>
      <c r="F563" s="251"/>
      <c r="G563" s="251"/>
      <c r="H563" s="281"/>
      <c r="I563" s="27"/>
      <c r="J563" s="27"/>
      <c r="K563" s="257"/>
      <c r="L563" s="252"/>
      <c r="M563" s="58"/>
      <c r="N563" s="58"/>
    </row>
    <row r="564" spans="1:14" ht="27" customHeight="1">
      <c r="A564" s="261"/>
      <c r="B564" s="260"/>
      <c r="C564" s="257"/>
      <c r="D564" s="260"/>
      <c r="E564" s="257"/>
      <c r="F564" s="156"/>
      <c r="G564" s="156"/>
      <c r="H564" s="257"/>
      <c r="I564" s="257"/>
      <c r="J564" s="257"/>
      <c r="K564" s="257"/>
      <c r="L564" s="252"/>
      <c r="M564" s="261"/>
      <c r="N564" s="257"/>
    </row>
    <row r="565" spans="1:14" s="259" customFormat="1" ht="14.25">
      <c r="A565" s="252"/>
      <c r="B565" s="252"/>
      <c r="C565" s="257"/>
      <c r="D565" s="48"/>
      <c r="E565" s="48"/>
      <c r="F565" s="257"/>
      <c r="G565" s="257"/>
      <c r="H565" s="252"/>
      <c r="I565" s="252"/>
      <c r="J565" s="252"/>
      <c r="K565" s="257"/>
      <c r="L565" s="252"/>
      <c r="M565" s="268"/>
      <c r="N565" s="268"/>
    </row>
    <row r="566" spans="1:14" s="259" customFormat="1" ht="27" customHeight="1">
      <c r="A566" s="252"/>
      <c r="B566" s="252"/>
      <c r="C566" s="257"/>
      <c r="D566" s="48"/>
      <c r="E566" s="48"/>
      <c r="F566" s="257"/>
      <c r="G566" s="257"/>
      <c r="H566" s="252"/>
      <c r="I566" s="252"/>
      <c r="J566" s="252"/>
      <c r="K566" s="257"/>
      <c r="L566" s="252"/>
      <c r="M566" s="268"/>
      <c r="N566" s="268"/>
    </row>
    <row r="567" spans="1:14" s="80" customFormat="1" ht="27" customHeight="1">
      <c r="A567" s="261"/>
      <c r="B567" s="260"/>
      <c r="C567" s="257"/>
      <c r="D567" s="260"/>
      <c r="E567" s="257"/>
      <c r="F567" s="156"/>
      <c r="G567" s="156"/>
      <c r="H567" s="257"/>
      <c r="I567" s="257"/>
      <c r="J567" s="257"/>
      <c r="K567" s="257"/>
      <c r="L567" s="252"/>
      <c r="M567" s="261"/>
      <c r="N567" s="257"/>
    </row>
    <row r="568" spans="1:14" s="259" customFormat="1" ht="27" customHeight="1">
      <c r="A568" s="261"/>
      <c r="B568" s="260"/>
      <c r="C568" s="257"/>
      <c r="D568" s="260"/>
      <c r="E568" s="257"/>
      <c r="F568" s="156"/>
      <c r="G568" s="156"/>
      <c r="H568" s="257"/>
      <c r="I568" s="257"/>
      <c r="J568" s="257"/>
      <c r="K568" s="257"/>
      <c r="L568" s="252"/>
      <c r="M568" s="261"/>
      <c r="N568" s="257"/>
    </row>
    <row r="569" spans="1:14" s="259" customFormat="1" ht="27" customHeight="1">
      <c r="A569" s="261"/>
      <c r="B569" s="260"/>
      <c r="C569" s="257"/>
      <c r="D569" s="260"/>
      <c r="E569" s="257"/>
      <c r="F569" s="156"/>
      <c r="G569" s="156"/>
      <c r="H569" s="257"/>
      <c r="I569" s="257"/>
      <c r="J569" s="257"/>
      <c r="K569" s="257"/>
      <c r="L569" s="252"/>
      <c r="M569" s="261"/>
      <c r="N569" s="257"/>
    </row>
    <row r="570" spans="1:14" s="259" customFormat="1" ht="27" customHeight="1">
      <c r="A570" s="143"/>
      <c r="B570" s="143"/>
      <c r="C570" s="252"/>
      <c r="D570" s="257"/>
      <c r="E570" s="209"/>
      <c r="F570" s="151"/>
      <c r="G570" s="151"/>
      <c r="H570" s="262"/>
      <c r="I570" s="262"/>
      <c r="J570" s="188"/>
      <c r="K570" s="262"/>
      <c r="L570" s="257"/>
      <c r="M570" s="261"/>
      <c r="N570" s="258"/>
    </row>
    <row r="571" spans="1:14">
      <c r="A571" s="261"/>
      <c r="B571" s="260"/>
      <c r="C571" s="257"/>
      <c r="D571" s="260"/>
      <c r="E571" s="257"/>
      <c r="F571" s="156"/>
      <c r="G571" s="156"/>
      <c r="H571" s="257"/>
      <c r="I571" s="257"/>
      <c r="J571" s="257"/>
      <c r="K571" s="257"/>
      <c r="L571" s="252"/>
      <c r="M571" s="261"/>
      <c r="N571" s="257"/>
    </row>
    <row r="572" spans="1:14">
      <c r="A572" s="143"/>
      <c r="B572" s="143"/>
      <c r="C572" s="252"/>
      <c r="D572" s="257"/>
      <c r="E572" s="209"/>
      <c r="F572" s="151"/>
      <c r="G572" s="151"/>
      <c r="H572" s="262"/>
      <c r="I572" s="262"/>
      <c r="J572" s="262"/>
      <c r="K572" s="262"/>
      <c r="L572" s="257"/>
      <c r="M572" s="261"/>
      <c r="N572" s="144"/>
    </row>
    <row r="573" spans="1:14" s="259" customFormat="1" ht="27" customHeight="1">
      <c r="A573" s="252"/>
      <c r="B573" s="252"/>
      <c r="C573" s="257"/>
      <c r="D573" s="48"/>
      <c r="E573" s="48"/>
      <c r="F573" s="257"/>
      <c r="G573" s="257"/>
      <c r="H573" s="252"/>
      <c r="I573" s="252"/>
      <c r="J573" s="252"/>
      <c r="K573" s="257"/>
      <c r="L573" s="252"/>
      <c r="M573" s="268"/>
      <c r="N573" s="268"/>
    </row>
    <row r="574" spans="1:14" s="259" customFormat="1" ht="27" customHeight="1">
      <c r="A574" s="261"/>
      <c r="B574" s="260"/>
      <c r="C574" s="257"/>
      <c r="D574" s="260"/>
      <c r="E574" s="257"/>
      <c r="F574" s="156"/>
      <c r="G574" s="156"/>
      <c r="H574" s="257"/>
      <c r="I574" s="257"/>
      <c r="J574" s="257"/>
      <c r="K574" s="257"/>
      <c r="L574" s="252"/>
      <c r="M574" s="261"/>
      <c r="N574" s="257"/>
    </row>
    <row r="575" spans="1:14" s="363" customFormat="1" ht="15">
      <c r="A575" s="261"/>
      <c r="B575" s="260"/>
      <c r="C575" s="257"/>
      <c r="D575" s="260"/>
      <c r="E575" s="257"/>
      <c r="F575" s="156"/>
      <c r="G575" s="156"/>
      <c r="H575" s="257"/>
      <c r="I575" s="257"/>
      <c r="J575" s="257"/>
      <c r="K575" s="257"/>
      <c r="L575" s="252"/>
      <c r="M575" s="261"/>
      <c r="N575" s="257"/>
    </row>
    <row r="576" spans="1:14" s="363" customFormat="1" ht="15">
      <c r="A576" s="261"/>
      <c r="B576" s="260"/>
      <c r="C576" s="257"/>
      <c r="D576" s="260"/>
      <c r="E576" s="257"/>
      <c r="F576" s="156"/>
      <c r="G576" s="156"/>
      <c r="H576" s="257"/>
      <c r="I576" s="257"/>
      <c r="J576" s="257"/>
      <c r="K576" s="257"/>
      <c r="L576" s="252"/>
      <c r="M576" s="261"/>
      <c r="N576" s="257"/>
    </row>
    <row r="577" spans="1:14" s="363" customFormat="1" ht="15">
      <c r="A577" s="261"/>
      <c r="B577" s="260"/>
      <c r="C577" s="257"/>
      <c r="D577" s="260"/>
      <c r="E577" s="257"/>
      <c r="F577" s="156"/>
      <c r="G577" s="156"/>
      <c r="H577" s="257"/>
      <c r="I577" s="257"/>
      <c r="J577" s="257"/>
      <c r="K577" s="257"/>
      <c r="L577" s="252"/>
      <c r="M577" s="261"/>
      <c r="N577" s="257"/>
    </row>
    <row r="578" spans="1:14" s="363" customFormat="1" ht="15">
      <c r="A578" s="252"/>
      <c r="B578" s="252"/>
      <c r="C578" s="257"/>
      <c r="D578" s="48"/>
      <c r="E578" s="48"/>
      <c r="F578" s="257"/>
      <c r="G578" s="257"/>
      <c r="H578" s="252"/>
      <c r="I578" s="252"/>
      <c r="J578" s="252"/>
      <c r="K578" s="257"/>
      <c r="L578" s="252"/>
      <c r="M578" s="268"/>
      <c r="N578" s="268"/>
    </row>
    <row r="579" spans="1:14" s="363" customFormat="1" ht="15">
      <c r="A579" s="261"/>
      <c r="B579" s="260"/>
      <c r="C579" s="257"/>
      <c r="D579" s="260"/>
      <c r="E579" s="257"/>
      <c r="F579" s="156"/>
      <c r="G579" s="156"/>
      <c r="H579" s="257"/>
      <c r="I579" s="257"/>
      <c r="J579" s="257"/>
      <c r="K579" s="257"/>
      <c r="L579" s="252"/>
      <c r="M579" s="261"/>
      <c r="N579" s="257"/>
    </row>
    <row r="580" spans="1:14" s="363" customFormat="1" ht="15">
      <c r="A580" s="261"/>
      <c r="B580" s="260"/>
      <c r="C580" s="257"/>
      <c r="D580" s="260"/>
      <c r="E580" s="257"/>
      <c r="F580" s="156"/>
      <c r="G580" s="156"/>
      <c r="H580" s="257"/>
      <c r="I580" s="257"/>
      <c r="J580" s="257"/>
      <c r="K580" s="257"/>
      <c r="L580" s="252"/>
      <c r="M580" s="261"/>
      <c r="N580" s="257"/>
    </row>
    <row r="581" spans="1:14" s="363" customFormat="1" ht="15">
      <c r="A581" s="257"/>
      <c r="B581" s="46"/>
      <c r="C581" s="257"/>
      <c r="D581" s="250"/>
      <c r="E581" s="250"/>
      <c r="F581" s="43"/>
      <c r="G581" s="43"/>
      <c r="H581" s="243"/>
      <c r="I581" s="46"/>
      <c r="J581" s="46"/>
      <c r="K581" s="257"/>
      <c r="L581" s="257"/>
      <c r="M581" s="258"/>
      <c r="N581" s="258"/>
    </row>
    <row r="582" spans="1:14" s="363" customFormat="1" ht="15">
      <c r="A582" s="252"/>
      <c r="B582" s="252"/>
      <c r="C582" s="257"/>
      <c r="D582" s="48"/>
      <c r="E582" s="48"/>
      <c r="F582" s="251"/>
      <c r="G582" s="251"/>
      <c r="H582" s="252"/>
      <c r="I582" s="252"/>
      <c r="J582" s="252"/>
      <c r="K582" s="257"/>
      <c r="L582" s="252"/>
      <c r="M582" s="268"/>
      <c r="N582" s="268"/>
    </row>
    <row r="583" spans="1:14" s="363" customFormat="1" ht="15">
      <c r="A583" s="252"/>
      <c r="B583" s="252"/>
      <c r="C583" s="257"/>
      <c r="D583" s="48"/>
      <c r="E583" s="48"/>
      <c r="F583" s="257"/>
      <c r="G583" s="257"/>
      <c r="H583" s="252"/>
      <c r="I583" s="252"/>
      <c r="J583" s="252"/>
      <c r="K583" s="257"/>
      <c r="L583" s="252"/>
      <c r="M583" s="268"/>
      <c r="N583" s="268"/>
    </row>
    <row r="584" spans="1:14" s="363" customFormat="1" ht="15">
      <c r="A584" s="252"/>
      <c r="B584" s="252"/>
      <c r="C584" s="257"/>
      <c r="D584" s="48"/>
      <c r="E584" s="48"/>
      <c r="F584" s="257"/>
      <c r="G584" s="257"/>
      <c r="H584" s="252"/>
      <c r="I584" s="252"/>
      <c r="J584" s="252"/>
      <c r="K584" s="257"/>
      <c r="L584" s="252"/>
      <c r="M584" s="268"/>
      <c r="N584" s="268"/>
    </row>
    <row r="585" spans="1:14" s="363" customFormat="1" ht="15">
      <c r="A585" s="252"/>
      <c r="B585" s="252"/>
      <c r="C585" s="257"/>
      <c r="D585" s="48"/>
      <c r="E585" s="48"/>
      <c r="F585" s="172"/>
      <c r="G585" s="172"/>
      <c r="H585" s="252"/>
      <c r="I585" s="252"/>
      <c r="J585" s="252"/>
      <c r="K585" s="257"/>
      <c r="L585" s="252"/>
      <c r="M585" s="268"/>
      <c r="N585" s="268"/>
    </row>
    <row r="586" spans="1:14" s="363" customFormat="1" ht="15">
      <c r="A586" s="27"/>
      <c r="B586" s="27"/>
      <c r="C586" s="252"/>
      <c r="D586" s="250"/>
      <c r="E586" s="250"/>
      <c r="F586" s="251"/>
      <c r="G586" s="251"/>
      <c r="H586" s="281"/>
      <c r="I586" s="27"/>
      <c r="J586" s="27"/>
      <c r="K586" s="257"/>
      <c r="L586" s="27"/>
      <c r="M586" s="58"/>
      <c r="N586" s="58"/>
    </row>
    <row r="587" spans="1:14" s="363" customFormat="1" ht="15">
      <c r="A587" s="261"/>
      <c r="B587" s="260"/>
      <c r="C587" s="257"/>
      <c r="D587" s="260"/>
      <c r="E587" s="257"/>
      <c r="F587" s="156"/>
      <c r="G587" s="156"/>
      <c r="H587" s="257"/>
      <c r="I587" s="257"/>
      <c r="J587" s="257"/>
      <c r="K587" s="257"/>
      <c r="L587" s="252"/>
      <c r="M587" s="261"/>
      <c r="N587" s="257"/>
    </row>
    <row r="588" spans="1:14" s="363" customFormat="1" ht="15">
      <c r="A588" s="27"/>
      <c r="B588" s="27"/>
      <c r="C588" s="252"/>
      <c r="D588" s="250"/>
      <c r="E588" s="250"/>
      <c r="F588" s="43"/>
      <c r="G588" s="43"/>
      <c r="H588" s="27"/>
      <c r="I588" s="27"/>
      <c r="J588" s="27"/>
      <c r="K588" s="257"/>
      <c r="L588" s="27"/>
      <c r="M588" s="58"/>
      <c r="N588" s="58"/>
    </row>
    <row r="589" spans="1:14" s="363" customFormat="1" ht="15">
      <c r="A589" s="252"/>
      <c r="B589" s="257"/>
      <c r="C589" s="252"/>
      <c r="D589" s="29"/>
      <c r="E589" s="29"/>
      <c r="F589" s="251"/>
      <c r="G589" s="251"/>
      <c r="H589" s="188"/>
      <c r="I589" s="257"/>
      <c r="J589" s="257"/>
      <c r="K589" s="257"/>
      <c r="L589" s="27"/>
      <c r="M589" s="58"/>
      <c r="N589" s="58"/>
    </row>
    <row r="590" spans="1:14" s="363" customFormat="1" ht="15">
      <c r="A590" s="261"/>
      <c r="B590" s="260"/>
      <c r="C590" s="257"/>
      <c r="D590" s="260"/>
      <c r="E590" s="257"/>
      <c r="F590" s="156"/>
      <c r="G590" s="156"/>
      <c r="H590" s="257"/>
      <c r="I590" s="257"/>
      <c r="J590" s="257"/>
      <c r="K590" s="257"/>
      <c r="L590" s="252"/>
      <c r="M590" s="261"/>
      <c r="N590" s="257"/>
    </row>
    <row r="591" spans="1:14" s="363" customFormat="1" ht="15">
      <c r="A591" s="257"/>
      <c r="B591" s="46"/>
      <c r="C591" s="257"/>
      <c r="D591" s="48"/>
      <c r="E591" s="181"/>
      <c r="F591" s="43"/>
      <c r="G591" s="43"/>
      <c r="H591" s="243"/>
      <c r="I591" s="46"/>
      <c r="J591" s="46"/>
      <c r="K591" s="257"/>
      <c r="L591" s="257"/>
      <c r="M591" s="270"/>
      <c r="N591" s="270"/>
    </row>
    <row r="592" spans="1:14" s="363" customFormat="1" ht="15">
      <c r="A592" s="261"/>
      <c r="B592" s="260"/>
      <c r="C592" s="257"/>
      <c r="D592" s="260"/>
      <c r="E592" s="257"/>
      <c r="F592" s="156"/>
      <c r="G592" s="156"/>
      <c r="H592" s="257"/>
      <c r="I592" s="257"/>
      <c r="J592" s="257"/>
      <c r="K592" s="257"/>
      <c r="L592" s="252"/>
      <c r="M592" s="261"/>
      <c r="N592" s="257"/>
    </row>
    <row r="593" spans="1:14" s="363" customFormat="1" ht="15">
      <c r="A593" s="261"/>
      <c r="B593" s="260"/>
      <c r="C593" s="257"/>
      <c r="D593" s="260"/>
      <c r="E593" s="257"/>
      <c r="F593" s="156"/>
      <c r="G593" s="156"/>
      <c r="H593" s="257"/>
      <c r="I593" s="257"/>
      <c r="J593" s="257"/>
      <c r="K593" s="257"/>
      <c r="L593" s="252"/>
      <c r="M593" s="261"/>
      <c r="N593" s="257"/>
    </row>
    <row r="594" spans="1:14" s="363" customFormat="1" ht="15">
      <c r="A594" s="27"/>
      <c r="B594" s="27"/>
      <c r="C594" s="252"/>
      <c r="D594" s="29"/>
      <c r="E594" s="29"/>
      <c r="F594" s="251"/>
      <c r="G594" s="251"/>
      <c r="H594" s="281"/>
      <c r="I594" s="39"/>
      <c r="J594" s="39"/>
      <c r="K594" s="257"/>
      <c r="L594" s="252"/>
      <c r="M594" s="58"/>
      <c r="N594" s="58"/>
    </row>
    <row r="595" spans="1:14" s="363" customFormat="1" ht="15">
      <c r="A595" s="257"/>
      <c r="B595" s="256"/>
      <c r="C595" s="257"/>
      <c r="D595" s="257"/>
      <c r="E595" s="253"/>
      <c r="F595" s="251"/>
      <c r="G595" s="251"/>
      <c r="H595" s="281"/>
      <c r="I595" s="281"/>
      <c r="J595" s="257"/>
      <c r="K595" s="253"/>
      <c r="L595" s="257"/>
      <c r="M595" s="258"/>
      <c r="N595" s="258"/>
    </row>
    <row r="596" spans="1:14" s="363" customFormat="1" ht="15">
      <c r="A596" s="257"/>
      <c r="B596" s="256"/>
      <c r="C596" s="257"/>
      <c r="D596" s="257"/>
      <c r="E596" s="253"/>
      <c r="F596" s="251"/>
      <c r="G596" s="251"/>
      <c r="H596" s="281"/>
      <c r="I596" s="281"/>
      <c r="J596" s="257"/>
      <c r="K596" s="253"/>
      <c r="L596" s="257"/>
      <c r="M596" s="258"/>
      <c r="N596" s="258"/>
    </row>
    <row r="597" spans="1:14" s="363" customFormat="1" ht="15">
      <c r="A597" s="257"/>
      <c r="B597" s="256"/>
      <c r="C597" s="257"/>
      <c r="D597" s="257"/>
      <c r="E597" s="253"/>
      <c r="F597" s="251"/>
      <c r="G597" s="251"/>
      <c r="H597" s="281"/>
      <c r="I597" s="281"/>
      <c r="J597" s="257"/>
      <c r="K597" s="253"/>
      <c r="L597" s="257"/>
      <c r="M597" s="258"/>
      <c r="N597" s="258"/>
    </row>
    <row r="598" spans="1:14" s="363" customFormat="1" ht="15">
      <c r="A598" s="257"/>
      <c r="B598" s="256"/>
      <c r="C598" s="257"/>
      <c r="D598" s="257"/>
      <c r="E598" s="253"/>
      <c r="F598" s="251"/>
      <c r="G598" s="251"/>
      <c r="H598" s="281"/>
      <c r="I598" s="257"/>
      <c r="J598" s="257"/>
      <c r="K598" s="253"/>
      <c r="L598" s="257"/>
      <c r="M598" s="258"/>
      <c r="N598" s="258"/>
    </row>
    <row r="599" spans="1:14" s="363" customFormat="1" ht="15">
      <c r="A599" s="257"/>
      <c r="B599" s="256"/>
      <c r="C599" s="257"/>
      <c r="D599" s="257"/>
      <c r="E599" s="253"/>
      <c r="F599" s="251"/>
      <c r="G599" s="251"/>
      <c r="H599" s="281"/>
      <c r="I599" s="257"/>
      <c r="J599" s="257"/>
      <c r="K599" s="253"/>
      <c r="L599" s="257"/>
      <c r="M599" s="258"/>
      <c r="N599" s="258"/>
    </row>
    <row r="600" spans="1:14" s="363" customFormat="1" ht="15">
      <c r="A600" s="261"/>
      <c r="B600" s="260"/>
      <c r="C600" s="257"/>
      <c r="D600" s="260"/>
      <c r="E600" s="257"/>
      <c r="F600" s="156"/>
      <c r="G600" s="156"/>
      <c r="H600" s="257"/>
      <c r="I600" s="257"/>
      <c r="J600" s="257"/>
      <c r="K600" s="257"/>
      <c r="L600" s="252"/>
      <c r="M600" s="261"/>
      <c r="N600" s="257"/>
    </row>
    <row r="601" spans="1:14" s="363" customFormat="1" ht="15">
      <c r="A601" s="261"/>
      <c r="B601" s="260"/>
      <c r="C601" s="257"/>
      <c r="D601" s="260"/>
      <c r="E601" s="257"/>
      <c r="F601" s="156"/>
      <c r="G601" s="156"/>
      <c r="H601" s="257"/>
      <c r="I601" s="257"/>
      <c r="J601" s="257"/>
      <c r="K601" s="257"/>
      <c r="L601" s="252"/>
      <c r="M601" s="261"/>
      <c r="N601" s="257"/>
    </row>
    <row r="602" spans="1:14" s="363" customFormat="1" ht="15">
      <c r="A602" s="261"/>
      <c r="B602" s="260"/>
      <c r="C602" s="257"/>
      <c r="D602" s="260"/>
      <c r="E602" s="257"/>
      <c r="F602" s="156"/>
      <c r="G602" s="156"/>
      <c r="H602" s="257"/>
      <c r="I602" s="257"/>
      <c r="J602" s="257"/>
      <c r="K602" s="257"/>
      <c r="L602" s="252"/>
      <c r="M602" s="261"/>
      <c r="N602" s="257"/>
    </row>
    <row r="603" spans="1:14" s="363" customFormat="1" ht="15">
      <c r="A603" s="257"/>
      <c r="B603" s="256"/>
      <c r="C603" s="257"/>
      <c r="D603" s="257"/>
      <c r="E603" s="253"/>
      <c r="F603" s="251"/>
      <c r="G603" s="251"/>
      <c r="H603" s="281"/>
      <c r="I603" s="257"/>
      <c r="J603" s="257"/>
      <c r="K603" s="253"/>
      <c r="L603" s="257"/>
      <c r="M603" s="258"/>
      <c r="N603" s="258"/>
    </row>
    <row r="604" spans="1:14" s="363" customFormat="1" ht="15">
      <c r="A604" s="261"/>
      <c r="B604" s="260"/>
      <c r="C604" s="257"/>
      <c r="D604" s="260"/>
      <c r="E604" s="257"/>
      <c r="F604" s="156"/>
      <c r="G604" s="156"/>
      <c r="H604" s="257"/>
      <c r="I604" s="257"/>
      <c r="J604" s="257"/>
      <c r="K604" s="257"/>
      <c r="L604" s="252"/>
      <c r="M604" s="261"/>
      <c r="N604" s="257"/>
    </row>
    <row r="605" spans="1:14" s="363" customFormat="1" ht="15">
      <c r="A605" s="261"/>
      <c r="B605" s="260"/>
      <c r="C605" s="257"/>
      <c r="D605" s="260"/>
      <c r="E605" s="257"/>
      <c r="F605" s="156"/>
      <c r="G605" s="156"/>
      <c r="H605" s="257"/>
      <c r="I605" s="257"/>
      <c r="J605" s="257"/>
      <c r="K605" s="257"/>
      <c r="L605" s="252"/>
      <c r="M605" s="261"/>
      <c r="N605" s="257"/>
    </row>
    <row r="606" spans="1:14" s="363" customFormat="1" ht="15">
      <c r="A606" s="261"/>
      <c r="B606" s="260"/>
      <c r="C606" s="257"/>
      <c r="D606" s="260"/>
      <c r="E606" s="257"/>
      <c r="F606" s="156"/>
      <c r="G606" s="156"/>
      <c r="H606" s="257"/>
      <c r="I606" s="257"/>
      <c r="J606" s="257"/>
      <c r="K606" s="257"/>
      <c r="L606" s="252"/>
      <c r="M606" s="261"/>
      <c r="N606" s="257"/>
    </row>
    <row r="607" spans="1:14" s="363" customFormat="1" ht="15">
      <c r="A607" s="261"/>
      <c r="B607" s="260"/>
      <c r="C607" s="257"/>
      <c r="D607" s="260"/>
      <c r="E607" s="257"/>
      <c r="F607" s="156"/>
      <c r="G607" s="156"/>
      <c r="H607" s="257"/>
      <c r="I607" s="257"/>
      <c r="J607" s="257"/>
      <c r="K607" s="257"/>
      <c r="L607" s="252"/>
      <c r="M607" s="261"/>
      <c r="N607" s="257"/>
    </row>
    <row r="608" spans="1:14" s="363" customFormat="1" ht="15">
      <c r="A608" s="261"/>
      <c r="B608" s="260"/>
      <c r="C608" s="257"/>
      <c r="D608" s="260"/>
      <c r="E608" s="257"/>
      <c r="F608" s="156"/>
      <c r="G608" s="156"/>
      <c r="H608" s="257"/>
      <c r="I608" s="257"/>
      <c r="J608" s="257"/>
      <c r="K608" s="257"/>
      <c r="L608" s="252"/>
      <c r="M608" s="261"/>
      <c r="N608" s="257"/>
    </row>
    <row r="609" spans="1:14" s="363" customFormat="1" ht="15">
      <c r="A609" s="261"/>
      <c r="B609" s="260"/>
      <c r="C609" s="257"/>
      <c r="D609" s="260"/>
      <c r="E609" s="257"/>
      <c r="F609" s="156"/>
      <c r="G609" s="156"/>
      <c r="H609" s="257"/>
      <c r="I609" s="257"/>
      <c r="J609" s="257"/>
      <c r="K609" s="257"/>
      <c r="L609" s="252"/>
      <c r="M609" s="261"/>
      <c r="N609" s="257"/>
    </row>
    <row r="610" spans="1:14" s="363" customFormat="1" ht="15">
      <c r="A610" s="261"/>
      <c r="B610" s="260"/>
      <c r="C610" s="257"/>
      <c r="D610" s="260"/>
      <c r="E610" s="257"/>
      <c r="F610" s="156"/>
      <c r="G610" s="156"/>
      <c r="H610" s="257"/>
      <c r="I610" s="257"/>
      <c r="J610" s="257"/>
      <c r="K610" s="257"/>
      <c r="L610" s="252"/>
      <c r="M610" s="261"/>
      <c r="N610" s="257"/>
    </row>
    <row r="611" spans="1:14" s="363" customFormat="1" ht="15">
      <c r="A611" s="261"/>
      <c r="B611" s="260"/>
      <c r="C611" s="257"/>
      <c r="D611" s="260"/>
      <c r="E611" s="257"/>
      <c r="F611" s="156"/>
      <c r="G611" s="156"/>
      <c r="H611" s="257"/>
      <c r="I611" s="257"/>
      <c r="J611" s="257"/>
      <c r="K611" s="257"/>
      <c r="L611" s="252"/>
      <c r="M611" s="261"/>
      <c r="N611" s="257"/>
    </row>
    <row r="612" spans="1:14" s="363" customFormat="1" ht="15">
      <c r="A612" s="261"/>
      <c r="B612" s="260"/>
      <c r="C612" s="257"/>
      <c r="D612" s="260"/>
      <c r="E612" s="257"/>
      <c r="F612" s="156"/>
      <c r="G612" s="156"/>
      <c r="H612" s="257"/>
      <c r="I612" s="257"/>
      <c r="J612" s="257"/>
      <c r="K612" s="257"/>
      <c r="L612" s="252"/>
      <c r="M612" s="261"/>
      <c r="N612" s="257"/>
    </row>
    <row r="613" spans="1:14" s="363" customFormat="1" ht="15">
      <c r="A613" s="261"/>
      <c r="B613" s="260"/>
      <c r="C613" s="257"/>
      <c r="D613" s="260"/>
      <c r="E613" s="257"/>
      <c r="F613" s="156"/>
      <c r="G613" s="156"/>
      <c r="H613" s="257"/>
      <c r="I613" s="257"/>
      <c r="J613" s="257"/>
      <c r="K613" s="257"/>
      <c r="L613" s="252"/>
      <c r="M613" s="261"/>
      <c r="N613" s="257"/>
    </row>
    <row r="614" spans="1:14" s="363" customFormat="1" ht="15">
      <c r="A614" s="261"/>
      <c r="B614" s="260"/>
      <c r="C614" s="257"/>
      <c r="D614" s="260"/>
      <c r="E614" s="257"/>
      <c r="F614" s="156"/>
      <c r="G614" s="156"/>
      <c r="H614" s="257"/>
      <c r="I614" s="257"/>
      <c r="J614" s="257"/>
      <c r="K614" s="257"/>
      <c r="L614" s="252"/>
      <c r="M614" s="261"/>
      <c r="N614" s="257"/>
    </row>
    <row r="615" spans="1:14" s="363" customFormat="1" ht="15">
      <c r="A615" s="261"/>
      <c r="B615" s="260"/>
      <c r="C615" s="257"/>
      <c r="D615" s="260"/>
      <c r="E615" s="257"/>
      <c r="F615" s="156"/>
      <c r="G615" s="156"/>
      <c r="H615" s="257"/>
      <c r="I615" s="257"/>
      <c r="J615" s="257"/>
      <c r="K615" s="257"/>
      <c r="L615" s="252"/>
      <c r="M615" s="261"/>
      <c r="N615" s="257"/>
    </row>
    <row r="616" spans="1:14" s="363" customFormat="1" ht="15">
      <c r="A616" s="27"/>
      <c r="B616" s="27"/>
      <c r="C616" s="252"/>
      <c r="D616" s="250"/>
      <c r="E616" s="250"/>
      <c r="F616" s="251"/>
      <c r="G616" s="251"/>
      <c r="H616" s="281"/>
      <c r="I616" s="27"/>
      <c r="J616" s="27"/>
      <c r="K616" s="257"/>
      <c r="L616" s="27"/>
      <c r="M616" s="58"/>
      <c r="N616" s="58"/>
    </row>
    <row r="617" spans="1:14" s="363" customFormat="1" ht="15">
      <c r="A617" s="27"/>
      <c r="B617" s="27"/>
      <c r="C617" s="252"/>
      <c r="D617" s="250"/>
      <c r="E617" s="250"/>
      <c r="F617" s="251"/>
      <c r="G617" s="251"/>
      <c r="H617" s="281"/>
      <c r="I617" s="27"/>
      <c r="J617" s="27"/>
      <c r="K617" s="257"/>
      <c r="L617" s="27"/>
      <c r="M617" s="58"/>
      <c r="N617" s="58"/>
    </row>
    <row r="618" spans="1:14" s="363" customFormat="1" ht="15">
      <c r="A618" s="257"/>
      <c r="B618" s="256"/>
      <c r="C618" s="257"/>
      <c r="D618" s="250"/>
      <c r="E618" s="250"/>
      <c r="F618" s="251"/>
      <c r="G618" s="251"/>
      <c r="H618" s="282"/>
      <c r="I618" s="256"/>
      <c r="J618" s="256"/>
      <c r="K618" s="257"/>
      <c r="L618" s="257"/>
      <c r="M618" s="258"/>
      <c r="N618" s="258"/>
    </row>
    <row r="619" spans="1:14" s="363" customFormat="1" ht="15">
      <c r="A619" s="257"/>
      <c r="B619" s="256"/>
      <c r="C619" s="257"/>
      <c r="D619" s="250"/>
      <c r="E619" s="250"/>
      <c r="F619" s="251"/>
      <c r="G619" s="251"/>
      <c r="H619" s="282"/>
      <c r="I619" s="256"/>
      <c r="J619" s="256"/>
      <c r="K619" s="257"/>
      <c r="L619" s="257"/>
      <c r="M619" s="258"/>
      <c r="N619" s="258"/>
    </row>
    <row r="620" spans="1:14" s="363" customFormat="1" ht="15">
      <c r="A620" s="27"/>
      <c r="B620" s="27"/>
      <c r="C620" s="252"/>
      <c r="D620" s="250"/>
      <c r="E620" s="250"/>
      <c r="F620" s="43"/>
      <c r="G620" s="43"/>
      <c r="H620" s="27"/>
      <c r="I620" s="27"/>
      <c r="J620" s="27"/>
      <c r="K620" s="257"/>
      <c r="L620" s="27"/>
      <c r="M620" s="58"/>
      <c r="N620" s="58"/>
    </row>
    <row r="621" spans="1:14" s="363" customFormat="1" ht="15">
      <c r="A621" s="27"/>
      <c r="B621" s="27"/>
      <c r="C621" s="252"/>
      <c r="D621" s="250"/>
      <c r="E621" s="250"/>
      <c r="F621" s="43"/>
      <c r="G621" s="43"/>
      <c r="H621" s="27"/>
      <c r="I621" s="27"/>
      <c r="J621" s="27"/>
      <c r="K621" s="257"/>
      <c r="L621" s="27"/>
      <c r="M621" s="58"/>
      <c r="N621" s="58"/>
    </row>
    <row r="622" spans="1:14" s="363" customFormat="1" ht="15">
      <c r="A622" s="261"/>
      <c r="B622" s="260"/>
      <c r="C622" s="257"/>
      <c r="D622" s="260"/>
      <c r="E622" s="257"/>
      <c r="F622" s="156"/>
      <c r="G622" s="156"/>
      <c r="H622" s="257"/>
      <c r="I622" s="257"/>
      <c r="J622" s="257"/>
      <c r="K622" s="257"/>
      <c r="L622" s="252"/>
      <c r="M622" s="261"/>
      <c r="N622" s="257"/>
    </row>
    <row r="623" spans="1:14" s="363" customFormat="1" ht="15">
      <c r="A623" s="252"/>
      <c r="B623" s="256"/>
      <c r="C623" s="252"/>
      <c r="D623" s="250"/>
      <c r="E623" s="250"/>
      <c r="F623" s="138"/>
      <c r="G623" s="138"/>
      <c r="H623" s="282"/>
      <c r="I623" s="256"/>
      <c r="J623" s="256"/>
      <c r="K623" s="257"/>
      <c r="L623" s="257"/>
      <c r="M623" s="258"/>
      <c r="N623" s="258"/>
    </row>
    <row r="624" spans="1:14" s="363" customFormat="1" ht="15">
      <c r="A624" s="252"/>
      <c r="B624" s="256"/>
      <c r="C624" s="252"/>
      <c r="D624" s="250"/>
      <c r="E624" s="250"/>
      <c r="F624" s="43"/>
      <c r="G624" s="43"/>
      <c r="H624" s="282"/>
      <c r="I624" s="256"/>
      <c r="J624" s="256"/>
      <c r="K624" s="257"/>
      <c r="L624" s="257"/>
      <c r="M624" s="258"/>
      <c r="N624" s="258"/>
    </row>
    <row r="625" spans="1:14" s="363" customFormat="1" ht="15">
      <c r="A625" s="252"/>
      <c r="B625" s="46"/>
      <c r="C625" s="252"/>
      <c r="D625" s="48"/>
      <c r="E625" s="181"/>
      <c r="F625" s="43"/>
      <c r="G625" s="43"/>
      <c r="H625" s="278"/>
      <c r="I625" s="46"/>
      <c r="J625" s="46"/>
      <c r="K625" s="257"/>
      <c r="L625" s="257"/>
      <c r="M625" s="266"/>
      <c r="N625" s="266"/>
    </row>
    <row r="626" spans="1:14" s="363" customFormat="1" ht="15">
      <c r="A626" s="143"/>
      <c r="B626" s="143"/>
      <c r="C626" s="252"/>
      <c r="D626" s="260"/>
      <c r="E626" s="163"/>
      <c r="F626" s="156"/>
      <c r="G626" s="156"/>
      <c r="H626" s="262"/>
      <c r="I626" s="262"/>
      <c r="J626" s="262"/>
      <c r="K626" s="252"/>
      <c r="L626" s="257"/>
      <c r="M626" s="261"/>
      <c r="N626" s="144"/>
    </row>
    <row r="627" spans="1:14" s="363" customFormat="1" ht="15">
      <c r="A627" s="27"/>
      <c r="B627" s="27"/>
      <c r="C627" s="252"/>
      <c r="D627" s="250"/>
      <c r="E627" s="250"/>
      <c r="F627" s="251"/>
      <c r="G627" s="251"/>
      <c r="H627" s="281"/>
      <c r="I627" s="27"/>
      <c r="J627" s="27"/>
      <c r="K627" s="257"/>
      <c r="L627" s="27"/>
      <c r="M627" s="58"/>
      <c r="N627" s="58"/>
    </row>
    <row r="628" spans="1:14" s="363" customFormat="1" ht="15">
      <c r="A628" s="252"/>
      <c r="B628" s="256"/>
      <c r="C628" s="252"/>
      <c r="D628" s="250"/>
      <c r="E628" s="250"/>
      <c r="F628" s="43"/>
      <c r="G628" s="43"/>
      <c r="H628" s="282"/>
      <c r="I628" s="256"/>
      <c r="J628" s="256"/>
      <c r="K628" s="257"/>
      <c r="L628" s="257"/>
      <c r="M628" s="258"/>
      <c r="N628" s="258"/>
    </row>
    <row r="629" spans="1:14" s="363" customFormat="1" ht="15">
      <c r="A629" s="252"/>
      <c r="B629" s="256"/>
      <c r="C629" s="252"/>
      <c r="D629" s="250"/>
      <c r="E629" s="250"/>
      <c r="F629" s="43"/>
      <c r="G629" s="43"/>
      <c r="H629" s="282"/>
      <c r="I629" s="256"/>
      <c r="J629" s="256"/>
      <c r="K629" s="257"/>
      <c r="L629" s="257"/>
      <c r="M629" s="258"/>
      <c r="N629" s="258"/>
    </row>
    <row r="630" spans="1:14" s="363" customFormat="1" ht="15">
      <c r="A630" s="252"/>
      <c r="B630" s="256"/>
      <c r="C630" s="252"/>
      <c r="D630" s="250"/>
      <c r="E630" s="250"/>
      <c r="F630" s="43"/>
      <c r="G630" s="43"/>
      <c r="H630" s="282"/>
      <c r="I630" s="256"/>
      <c r="J630" s="256"/>
      <c r="K630" s="257"/>
      <c r="L630" s="257"/>
      <c r="M630" s="258"/>
      <c r="N630" s="258"/>
    </row>
    <row r="631" spans="1:14" s="363" customFormat="1" ht="15">
      <c r="A631" s="252"/>
      <c r="B631" s="256"/>
      <c r="C631" s="252"/>
      <c r="D631" s="250"/>
      <c r="E631" s="250"/>
      <c r="F631" s="43"/>
      <c r="G631" s="43"/>
      <c r="H631" s="282"/>
      <c r="I631" s="256"/>
      <c r="J631" s="256"/>
      <c r="K631" s="257"/>
      <c r="L631" s="257"/>
      <c r="M631" s="258"/>
      <c r="N631" s="258"/>
    </row>
    <row r="632" spans="1:14" s="363" customFormat="1" ht="15">
      <c r="A632" s="252"/>
      <c r="B632" s="256"/>
      <c r="C632" s="252"/>
      <c r="D632" s="250"/>
      <c r="E632" s="250"/>
      <c r="F632" s="43"/>
      <c r="G632" s="43"/>
      <c r="H632" s="282"/>
      <c r="I632" s="256"/>
      <c r="J632" s="256"/>
      <c r="K632" s="257"/>
      <c r="L632" s="257"/>
      <c r="M632" s="258"/>
      <c r="N632" s="258"/>
    </row>
    <row r="633" spans="1:14" s="363" customFormat="1" ht="15">
      <c r="A633" s="252"/>
      <c r="B633" s="256"/>
      <c r="C633" s="252"/>
      <c r="D633" s="250"/>
      <c r="E633" s="250"/>
      <c r="F633" s="43"/>
      <c r="G633" s="43"/>
      <c r="H633" s="282"/>
      <c r="I633" s="256"/>
      <c r="J633" s="256"/>
      <c r="K633" s="257"/>
      <c r="L633" s="257"/>
      <c r="M633" s="258"/>
      <c r="N633" s="258"/>
    </row>
    <row r="634" spans="1:14" s="363" customFormat="1" ht="15">
      <c r="A634" s="252"/>
      <c r="B634" s="256"/>
      <c r="C634" s="252"/>
      <c r="D634" s="250"/>
      <c r="E634" s="250"/>
      <c r="F634" s="43"/>
      <c r="G634" s="43"/>
      <c r="H634" s="282"/>
      <c r="I634" s="256"/>
      <c r="J634" s="256"/>
      <c r="K634" s="257"/>
      <c r="L634" s="257"/>
      <c r="M634" s="258"/>
      <c r="N634" s="258"/>
    </row>
    <row r="635" spans="1:14" s="363" customFormat="1" ht="15">
      <c r="A635" s="261"/>
      <c r="B635" s="260"/>
      <c r="C635" s="257"/>
      <c r="D635" s="260"/>
      <c r="E635" s="257"/>
      <c r="F635" s="156"/>
      <c r="G635" s="156"/>
      <c r="H635" s="257"/>
      <c r="I635" s="257"/>
      <c r="J635" s="257"/>
      <c r="K635" s="257"/>
      <c r="L635" s="252"/>
      <c r="M635" s="261"/>
      <c r="N635" s="257"/>
    </row>
    <row r="636" spans="1:14" s="363" customFormat="1" ht="15">
      <c r="A636" s="254"/>
      <c r="B636" s="257"/>
      <c r="C636" s="252"/>
      <c r="D636" s="261"/>
      <c r="E636" s="261"/>
      <c r="F636" s="137"/>
      <c r="G636" s="137"/>
      <c r="H636" s="188"/>
      <c r="I636" s="257"/>
      <c r="J636" s="257"/>
      <c r="K636" s="257"/>
      <c r="L636" s="27"/>
      <c r="M636" s="271"/>
      <c r="N636" s="271"/>
    </row>
    <row r="637" spans="1:14" s="363" customFormat="1" ht="15">
      <c r="A637" s="254"/>
      <c r="B637" s="257"/>
      <c r="C637" s="252"/>
      <c r="D637" s="261"/>
      <c r="E637" s="261"/>
      <c r="F637" s="137"/>
      <c r="G637" s="137"/>
      <c r="H637" s="188"/>
      <c r="I637" s="257"/>
      <c r="J637" s="257"/>
      <c r="K637" s="257"/>
      <c r="L637" s="27"/>
      <c r="M637" s="271"/>
      <c r="N637" s="271"/>
    </row>
    <row r="638" spans="1:14" s="363" customFormat="1" ht="15">
      <c r="A638" s="254"/>
      <c r="B638" s="257"/>
      <c r="C638" s="252"/>
      <c r="D638" s="261"/>
      <c r="E638" s="261"/>
      <c r="F638" s="137"/>
      <c r="G638" s="137"/>
      <c r="H638" s="188"/>
      <c r="I638" s="257"/>
      <c r="J638" s="257"/>
      <c r="K638" s="257"/>
      <c r="L638" s="27"/>
      <c r="M638" s="271"/>
      <c r="N638" s="271"/>
    </row>
    <row r="639" spans="1:14" s="363" customFormat="1" ht="15">
      <c r="A639" s="252"/>
      <c r="B639" s="257"/>
      <c r="C639" s="252"/>
      <c r="D639" s="261"/>
      <c r="E639" s="261"/>
      <c r="F639" s="137"/>
      <c r="G639" s="137"/>
      <c r="H639" s="188"/>
      <c r="I639" s="257"/>
      <c r="J639" s="257"/>
      <c r="K639" s="257"/>
      <c r="L639" s="27"/>
      <c r="M639" s="258"/>
      <c r="N639" s="258"/>
    </row>
    <row r="640" spans="1:14" s="363" customFormat="1" ht="15">
      <c r="A640" s="252"/>
      <c r="B640" s="257"/>
      <c r="C640" s="252"/>
      <c r="D640" s="261"/>
      <c r="E640" s="261"/>
      <c r="F640" s="137"/>
      <c r="G640" s="137"/>
      <c r="H640" s="188"/>
      <c r="I640" s="257"/>
      <c r="J640" s="257"/>
      <c r="K640" s="257"/>
      <c r="L640" s="27"/>
      <c r="M640" s="258"/>
      <c r="N640" s="258"/>
    </row>
    <row r="641" spans="1:14" s="363" customFormat="1" ht="15">
      <c r="A641" s="252"/>
      <c r="B641" s="257"/>
      <c r="C641" s="252"/>
      <c r="D641" s="139"/>
      <c r="E641" s="139"/>
      <c r="F641" s="137"/>
      <c r="G641" s="137"/>
      <c r="H641" s="188"/>
      <c r="I641" s="257"/>
      <c r="J641" s="257"/>
      <c r="K641" s="257"/>
      <c r="L641" s="27"/>
      <c r="M641" s="258"/>
      <c r="N641" s="258"/>
    </row>
    <row r="642" spans="1:14" s="363" customFormat="1" ht="15">
      <c r="A642" s="252"/>
      <c r="B642" s="257"/>
      <c r="C642" s="252"/>
      <c r="D642" s="261"/>
      <c r="E642" s="261"/>
      <c r="F642" s="137"/>
      <c r="G642" s="137"/>
      <c r="H642" s="188"/>
      <c r="I642" s="257"/>
      <c r="J642" s="257"/>
      <c r="K642" s="257"/>
      <c r="L642" s="27"/>
      <c r="M642" s="258"/>
      <c r="N642" s="258"/>
    </row>
    <row r="643" spans="1:14" s="363" customFormat="1" ht="15">
      <c r="A643" s="252"/>
      <c r="B643" s="257"/>
      <c r="C643" s="252"/>
      <c r="D643" s="261"/>
      <c r="E643" s="261"/>
      <c r="F643" s="137"/>
      <c r="G643" s="137"/>
      <c r="H643" s="188"/>
      <c r="I643" s="257"/>
      <c r="J643" s="257"/>
      <c r="K643" s="257"/>
      <c r="L643" s="27"/>
      <c r="M643" s="258"/>
      <c r="N643" s="258"/>
    </row>
    <row r="644" spans="1:14" s="363" customFormat="1" ht="15">
      <c r="A644" s="252"/>
      <c r="B644" s="257"/>
      <c r="C644" s="252"/>
      <c r="D644" s="139"/>
      <c r="E644" s="139"/>
      <c r="F644" s="137"/>
      <c r="G644" s="137"/>
      <c r="H644" s="188"/>
      <c r="I644" s="257"/>
      <c r="J644" s="257"/>
      <c r="K644" s="257"/>
      <c r="L644" s="27"/>
      <c r="M644" s="258"/>
      <c r="N644" s="258"/>
    </row>
    <row r="645" spans="1:14" s="363" customFormat="1" ht="15">
      <c r="A645" s="261"/>
      <c r="B645" s="260"/>
      <c r="C645" s="257"/>
      <c r="D645" s="260"/>
      <c r="E645" s="257"/>
      <c r="F645" s="156"/>
      <c r="G645" s="156"/>
      <c r="H645" s="257"/>
      <c r="I645" s="257"/>
      <c r="J645" s="257"/>
      <c r="K645" s="257"/>
      <c r="L645" s="252"/>
      <c r="M645" s="261"/>
      <c r="N645" s="257"/>
    </row>
    <row r="646" spans="1:14" s="363" customFormat="1" ht="15">
      <c r="A646" s="261"/>
      <c r="B646" s="260"/>
      <c r="C646" s="257"/>
      <c r="D646" s="260"/>
      <c r="E646" s="257"/>
      <c r="F646" s="156"/>
      <c r="G646" s="156"/>
      <c r="H646" s="257"/>
      <c r="I646" s="257"/>
      <c r="J646" s="257"/>
      <c r="K646" s="257"/>
      <c r="L646" s="252"/>
      <c r="M646" s="261"/>
      <c r="N646" s="257"/>
    </row>
    <row r="647" spans="1:14" s="363" customFormat="1" ht="15">
      <c r="A647" s="252"/>
      <c r="B647" s="256"/>
      <c r="C647" s="252"/>
      <c r="D647" s="250"/>
      <c r="E647" s="250"/>
      <c r="F647" s="43"/>
      <c r="G647" s="43"/>
      <c r="H647" s="282"/>
      <c r="I647" s="256"/>
      <c r="J647" s="256"/>
      <c r="K647" s="257"/>
      <c r="L647" s="257"/>
      <c r="M647" s="258"/>
      <c r="N647" s="258"/>
    </row>
    <row r="648" spans="1:14" s="363" customFormat="1" ht="15">
      <c r="A648" s="252"/>
      <c r="B648" s="256"/>
      <c r="C648" s="252"/>
      <c r="D648" s="250"/>
      <c r="E648" s="250"/>
      <c r="F648" s="43"/>
      <c r="G648" s="43"/>
      <c r="H648" s="282"/>
      <c r="I648" s="256"/>
      <c r="J648" s="256"/>
      <c r="K648" s="257"/>
      <c r="L648" s="257"/>
      <c r="M648" s="258"/>
      <c r="N648" s="258"/>
    </row>
    <row r="649" spans="1:14" s="363" customFormat="1" ht="15">
      <c r="A649" s="252"/>
      <c r="B649" s="256"/>
      <c r="C649" s="252"/>
      <c r="D649" s="250"/>
      <c r="E649" s="250"/>
      <c r="F649" s="43"/>
      <c r="G649" s="43"/>
      <c r="H649" s="282"/>
      <c r="I649" s="256"/>
      <c r="J649" s="256"/>
      <c r="K649" s="257"/>
      <c r="L649" s="257"/>
      <c r="M649" s="258"/>
      <c r="N649" s="258"/>
    </row>
    <row r="650" spans="1:14" s="363" customFormat="1" ht="15">
      <c r="A650" s="252"/>
      <c r="B650" s="256"/>
      <c r="C650" s="252"/>
      <c r="D650" s="250"/>
      <c r="E650" s="250"/>
      <c r="F650" s="43"/>
      <c r="G650" s="43"/>
      <c r="H650" s="282"/>
      <c r="I650" s="256"/>
      <c r="J650" s="256"/>
      <c r="K650" s="257"/>
      <c r="L650" s="257"/>
      <c r="M650" s="258"/>
      <c r="N650" s="258"/>
    </row>
    <row r="651" spans="1:14" s="363" customFormat="1" ht="15">
      <c r="A651" s="143"/>
      <c r="B651" s="143"/>
      <c r="C651" s="260"/>
      <c r="D651" s="257"/>
      <c r="E651" s="209"/>
      <c r="F651" s="151"/>
      <c r="G651" s="151"/>
      <c r="H651" s="262"/>
      <c r="I651" s="262"/>
      <c r="J651" s="188"/>
      <c r="K651" s="262"/>
      <c r="L651" s="257"/>
      <c r="M651" s="261"/>
      <c r="N651" s="258"/>
    </row>
    <row r="652" spans="1:14" s="363" customFormat="1" ht="15">
      <c r="A652" s="252"/>
      <c r="B652" s="256"/>
      <c r="C652" s="252"/>
      <c r="D652" s="250"/>
      <c r="E652" s="250"/>
      <c r="F652" s="251"/>
      <c r="G652" s="251"/>
      <c r="H652" s="282"/>
      <c r="I652" s="256"/>
      <c r="J652" s="256"/>
      <c r="K652" s="257"/>
      <c r="L652" s="257"/>
      <c r="M652" s="258"/>
      <c r="N652" s="258"/>
    </row>
    <row r="653" spans="1:14" s="363" customFormat="1" ht="15">
      <c r="A653" s="261"/>
      <c r="B653" s="260"/>
      <c r="C653" s="257"/>
      <c r="D653" s="260"/>
      <c r="E653" s="257"/>
      <c r="F653" s="156"/>
      <c r="G653" s="156"/>
      <c r="H653" s="257"/>
      <c r="I653" s="257"/>
      <c r="J653" s="257"/>
      <c r="K653" s="257"/>
      <c r="L653" s="252"/>
      <c r="M653" s="261"/>
      <c r="N653" s="257"/>
    </row>
    <row r="654" spans="1:14" s="363" customFormat="1" ht="15">
      <c r="A654" s="27"/>
      <c r="B654" s="27"/>
      <c r="C654" s="252"/>
      <c r="D654" s="250"/>
      <c r="E654" s="250"/>
      <c r="F654" s="43"/>
      <c r="G654" s="43"/>
      <c r="H654" s="27"/>
      <c r="I654" s="27"/>
      <c r="J654" s="27"/>
      <c r="K654" s="257"/>
      <c r="L654" s="27"/>
      <c r="M654" s="58"/>
      <c r="N654" s="58"/>
    </row>
    <row r="655" spans="1:14" s="363" customFormat="1" ht="15">
      <c r="A655" s="252"/>
      <c r="B655" s="252"/>
      <c r="C655" s="257"/>
      <c r="D655" s="48"/>
      <c r="E655" s="48"/>
      <c r="F655" s="257"/>
      <c r="G655" s="257"/>
      <c r="H655" s="252"/>
      <c r="I655" s="252"/>
      <c r="J655" s="252"/>
      <c r="K655" s="257"/>
      <c r="L655" s="252"/>
      <c r="M655" s="268"/>
      <c r="N655" s="268"/>
    </row>
    <row r="656" spans="1:14" s="363" customFormat="1" ht="15">
      <c r="A656" s="252"/>
      <c r="B656" s="252"/>
      <c r="C656" s="257"/>
      <c r="D656" s="48"/>
      <c r="E656" s="48"/>
      <c r="F656" s="257"/>
      <c r="G656" s="257"/>
      <c r="H656" s="252"/>
      <c r="I656" s="252"/>
      <c r="J656" s="252"/>
      <c r="K656" s="257"/>
      <c r="L656" s="252"/>
      <c r="M656" s="268"/>
      <c r="N656" s="268"/>
    </row>
    <row r="657" spans="1:14" s="363" customFormat="1" ht="15">
      <c r="A657" s="27"/>
      <c r="B657" s="27"/>
      <c r="C657" s="252"/>
      <c r="D657" s="250"/>
      <c r="E657" s="250"/>
      <c r="F657" s="251"/>
      <c r="G657" s="251"/>
      <c r="H657" s="281"/>
      <c r="I657" s="27"/>
      <c r="J657" s="27"/>
      <c r="K657" s="257"/>
      <c r="L657" s="252"/>
      <c r="M657" s="58"/>
      <c r="N657" s="58"/>
    </row>
    <row r="658" spans="1:14" s="363" customFormat="1" ht="15">
      <c r="A658" s="27"/>
      <c r="B658" s="27"/>
      <c r="C658" s="252"/>
      <c r="D658" s="250"/>
      <c r="E658" s="250"/>
      <c r="F658" s="251"/>
      <c r="G658" s="251"/>
      <c r="H658" s="281"/>
      <c r="I658" s="27"/>
      <c r="J658" s="27"/>
      <c r="K658" s="257"/>
      <c r="L658" s="252"/>
      <c r="M658" s="58"/>
      <c r="N658" s="58"/>
    </row>
    <row r="659" spans="1:14" s="363" customFormat="1" ht="15">
      <c r="A659" s="252"/>
      <c r="B659" s="252"/>
      <c r="C659" s="257"/>
      <c r="D659" s="48"/>
      <c r="E659" s="48"/>
      <c r="F659" s="257"/>
      <c r="G659" s="257"/>
      <c r="H659" s="252"/>
      <c r="I659" s="252"/>
      <c r="J659" s="252"/>
      <c r="K659" s="257"/>
      <c r="L659" s="252"/>
      <c r="M659" s="268"/>
      <c r="N659" s="268"/>
    </row>
    <row r="660" spans="1:14" s="363" customFormat="1" ht="15">
      <c r="A660" s="252"/>
      <c r="B660" s="252"/>
      <c r="C660" s="257"/>
      <c r="D660" s="48"/>
      <c r="E660" s="48"/>
      <c r="F660" s="257"/>
      <c r="G660" s="257"/>
      <c r="H660" s="252"/>
      <c r="I660" s="252"/>
      <c r="J660" s="252"/>
      <c r="K660" s="257"/>
      <c r="L660" s="252"/>
      <c r="M660" s="268"/>
      <c r="N660" s="268"/>
    </row>
    <row r="661" spans="1:14" s="363" customFormat="1" ht="15">
      <c r="A661" s="143"/>
      <c r="B661" s="143"/>
      <c r="C661" s="252"/>
      <c r="D661" s="257"/>
      <c r="E661" s="209"/>
      <c r="F661" s="151"/>
      <c r="G661" s="151"/>
      <c r="H661" s="262"/>
      <c r="I661" s="262"/>
      <c r="J661" s="188"/>
      <c r="K661" s="262"/>
      <c r="L661" s="257"/>
      <c r="M661" s="261"/>
      <c r="N661" s="258"/>
    </row>
    <row r="662" spans="1:14" s="363" customFormat="1" ht="15">
      <c r="A662" s="27"/>
      <c r="B662" s="27"/>
      <c r="C662" s="252"/>
      <c r="D662" s="29"/>
      <c r="E662" s="29"/>
      <c r="F662" s="251"/>
      <c r="G662" s="251"/>
      <c r="H662" s="281"/>
      <c r="I662" s="27"/>
      <c r="J662" s="27"/>
      <c r="K662" s="257"/>
      <c r="L662" s="27"/>
      <c r="M662" s="58"/>
      <c r="N662" s="58"/>
    </row>
    <row r="663" spans="1:14" s="363" customFormat="1" ht="15">
      <c r="A663" s="143"/>
      <c r="B663" s="143"/>
      <c r="C663" s="257"/>
      <c r="D663" s="257"/>
      <c r="E663" s="209"/>
      <c r="F663" s="151"/>
      <c r="G663" s="151"/>
      <c r="H663" s="262"/>
      <c r="I663" s="262"/>
      <c r="J663" s="262"/>
      <c r="K663" s="262"/>
      <c r="L663" s="257"/>
      <c r="M663" s="261"/>
      <c r="N663" s="144"/>
    </row>
    <row r="664" spans="1:14" s="363" customFormat="1" ht="15">
      <c r="A664" s="261"/>
      <c r="B664" s="260"/>
      <c r="C664" s="257"/>
      <c r="D664" s="260"/>
      <c r="E664" s="257"/>
      <c r="F664" s="156"/>
      <c r="G664" s="156"/>
      <c r="H664" s="257"/>
      <c r="I664" s="257"/>
      <c r="J664" s="257"/>
      <c r="K664" s="257"/>
      <c r="L664" s="252"/>
      <c r="M664" s="261"/>
      <c r="N664" s="257"/>
    </row>
    <row r="665" spans="1:14" s="363" customFormat="1" ht="15">
      <c r="A665" s="261"/>
      <c r="B665" s="260"/>
      <c r="C665" s="257"/>
      <c r="D665" s="260"/>
      <c r="E665" s="257"/>
      <c r="F665" s="156"/>
      <c r="G665" s="156"/>
      <c r="H665" s="257"/>
      <c r="I665" s="257"/>
      <c r="J665" s="257"/>
      <c r="K665" s="257"/>
      <c r="L665" s="252"/>
      <c r="M665" s="261"/>
      <c r="N665" s="257"/>
    </row>
    <row r="666" spans="1:14" s="363" customFormat="1" ht="15">
      <c r="A666" s="248"/>
      <c r="B666" s="248"/>
      <c r="C666" s="257"/>
      <c r="D666" s="29"/>
      <c r="E666" s="29"/>
      <c r="F666" s="251"/>
      <c r="G666" s="251"/>
      <c r="H666" s="281"/>
      <c r="I666" s="248"/>
      <c r="J666" s="248"/>
      <c r="K666" s="257"/>
      <c r="L666" s="248"/>
      <c r="M666" s="58"/>
      <c r="N666" s="58"/>
    </row>
    <row r="667" spans="1:14" s="363" customFormat="1" ht="15">
      <c r="A667" s="143"/>
      <c r="B667" s="143"/>
      <c r="C667" s="143"/>
      <c r="D667" s="29"/>
      <c r="E667" s="143"/>
      <c r="F667" s="344"/>
      <c r="G667" s="344"/>
      <c r="H667" s="241"/>
      <c r="I667" s="246"/>
      <c r="J667" s="246"/>
      <c r="K667" s="257"/>
      <c r="L667" s="248"/>
      <c r="M667" s="58"/>
      <c r="N667" s="58"/>
    </row>
    <row r="668" spans="1:14" s="363" customFormat="1" ht="15">
      <c r="A668" s="261"/>
      <c r="B668" s="260"/>
      <c r="C668" s="257"/>
      <c r="D668" s="260"/>
      <c r="E668" s="257"/>
      <c r="F668" s="156"/>
      <c r="G668" s="156"/>
      <c r="H668" s="257"/>
      <c r="I668" s="257"/>
      <c r="J668" s="257"/>
      <c r="K668" s="257"/>
      <c r="L668" s="252"/>
      <c r="M668" s="261"/>
      <c r="N668" s="257"/>
    </row>
    <row r="669" spans="1:14" s="363" customFormat="1" ht="15">
      <c r="A669" s="261"/>
      <c r="B669" s="260"/>
      <c r="C669" s="257"/>
      <c r="D669" s="260"/>
      <c r="E669" s="257"/>
      <c r="F669" s="156"/>
      <c r="G669" s="156"/>
      <c r="H669" s="257"/>
      <c r="I669" s="257"/>
      <c r="J669" s="257"/>
      <c r="K669" s="257"/>
      <c r="L669" s="252"/>
      <c r="M669" s="261"/>
      <c r="N669" s="257"/>
    </row>
    <row r="670" spans="1:14" s="363" customFormat="1" ht="15">
      <c r="A670" s="261"/>
      <c r="B670" s="260"/>
      <c r="C670" s="257"/>
      <c r="D670" s="260"/>
      <c r="E670" s="257"/>
      <c r="F670" s="156"/>
      <c r="G670" s="156"/>
      <c r="H670" s="257"/>
      <c r="I670" s="257"/>
      <c r="J670" s="257"/>
      <c r="K670" s="257"/>
      <c r="L670" s="252"/>
      <c r="M670" s="261"/>
      <c r="N670" s="257"/>
    </row>
    <row r="671" spans="1:14" s="363" customFormat="1" ht="15">
      <c r="A671" s="143"/>
      <c r="B671" s="143"/>
      <c r="C671" s="254"/>
      <c r="D671" s="29"/>
      <c r="E671" s="254"/>
      <c r="F671" s="346"/>
      <c r="G671" s="346"/>
      <c r="H671" s="241"/>
      <c r="I671" s="241"/>
      <c r="J671" s="241"/>
      <c r="K671" s="134"/>
      <c r="L671" s="27"/>
      <c r="M671" s="58"/>
      <c r="N671" s="58"/>
    </row>
    <row r="672" spans="1:14" s="363" customFormat="1" ht="15">
      <c r="A672" s="252"/>
      <c r="B672" s="46"/>
      <c r="C672" s="252"/>
      <c r="D672" s="48"/>
      <c r="E672" s="48"/>
      <c r="F672" s="43"/>
      <c r="G672" s="43"/>
      <c r="H672" s="243"/>
      <c r="I672" s="46"/>
      <c r="J672" s="46"/>
      <c r="K672" s="257"/>
      <c r="L672" s="257"/>
      <c r="M672" s="270"/>
      <c r="N672" s="270"/>
    </row>
    <row r="673" spans="1:14" s="363" customFormat="1" ht="15">
      <c r="A673" s="252"/>
      <c r="B673" s="252"/>
      <c r="C673" s="257"/>
      <c r="D673" s="48"/>
      <c r="E673" s="48"/>
      <c r="F673" s="257"/>
      <c r="G673" s="257"/>
      <c r="H673" s="252"/>
      <c r="I673" s="252"/>
      <c r="J673" s="252"/>
      <c r="K673" s="257"/>
      <c r="L673" s="252"/>
      <c r="M673" s="268"/>
      <c r="N673" s="268"/>
    </row>
    <row r="674" spans="1:14" s="363" customFormat="1" ht="15">
      <c r="A674" s="261"/>
      <c r="B674" s="260"/>
      <c r="C674" s="257"/>
      <c r="D674" s="260"/>
      <c r="E674" s="257"/>
      <c r="F674" s="156"/>
      <c r="G674" s="156"/>
      <c r="H674" s="257"/>
      <c r="I674" s="257"/>
      <c r="J674" s="257"/>
      <c r="K674" s="257"/>
      <c r="L674" s="252"/>
      <c r="M674" s="261"/>
      <c r="N674" s="257"/>
    </row>
    <row r="675" spans="1:14" s="363" customFormat="1" ht="15">
      <c r="A675" s="27"/>
      <c r="B675" s="27"/>
      <c r="C675" s="252"/>
      <c r="D675" s="250"/>
      <c r="E675" s="250"/>
      <c r="F675" s="43"/>
      <c r="G675" s="43"/>
      <c r="H675" s="27"/>
      <c r="I675" s="27"/>
      <c r="J675" s="27"/>
      <c r="K675" s="257"/>
      <c r="L675" s="27"/>
      <c r="M675" s="58"/>
      <c r="N675" s="58"/>
    </row>
    <row r="676" spans="1:14" s="363" customFormat="1" ht="15">
      <c r="A676" s="27"/>
      <c r="B676" s="27"/>
      <c r="C676" s="252"/>
      <c r="D676" s="250"/>
      <c r="E676" s="250"/>
      <c r="F676" s="43"/>
      <c r="G676" s="43"/>
      <c r="H676" s="27"/>
      <c r="I676" s="27"/>
      <c r="J676" s="27"/>
      <c r="K676" s="257"/>
      <c r="L676" s="27"/>
      <c r="M676" s="58"/>
      <c r="N676" s="58"/>
    </row>
    <row r="677" spans="1:14" s="363" customFormat="1" ht="15">
      <c r="A677" s="27"/>
      <c r="B677" s="27"/>
      <c r="C677" s="252"/>
      <c r="D677" s="250"/>
      <c r="E677" s="250"/>
      <c r="F677" s="43"/>
      <c r="G677" s="43"/>
      <c r="H677" s="27"/>
      <c r="I677" s="27"/>
      <c r="J677" s="27"/>
      <c r="K677" s="257"/>
      <c r="L677" s="27"/>
      <c r="M677" s="58"/>
      <c r="N677" s="58"/>
    </row>
    <row r="678" spans="1:14" s="363" customFormat="1" ht="15">
      <c r="A678" s="27"/>
      <c r="B678" s="27"/>
      <c r="C678" s="252"/>
      <c r="D678" s="250"/>
      <c r="E678" s="250"/>
      <c r="F678" s="43"/>
      <c r="G678" s="43"/>
      <c r="H678" s="27"/>
      <c r="I678" s="27"/>
      <c r="J678" s="27"/>
      <c r="K678" s="257"/>
      <c r="L678" s="27"/>
      <c r="M678" s="58"/>
      <c r="N678" s="58"/>
    </row>
    <row r="679" spans="1:14" s="363" customFormat="1" ht="15">
      <c r="A679" s="27"/>
      <c r="B679" s="27"/>
      <c r="C679" s="252"/>
      <c r="D679" s="250"/>
      <c r="E679" s="250"/>
      <c r="F679" s="43"/>
      <c r="G679" s="43"/>
      <c r="H679" s="27"/>
      <c r="I679" s="27"/>
      <c r="J679" s="27"/>
      <c r="K679" s="257"/>
      <c r="L679" s="27"/>
      <c r="M679" s="58"/>
      <c r="N679" s="58"/>
    </row>
    <row r="680" spans="1:14" s="363" customFormat="1" ht="15">
      <c r="A680" s="261"/>
      <c r="B680" s="260"/>
      <c r="C680" s="257"/>
      <c r="D680" s="260"/>
      <c r="E680" s="257"/>
      <c r="F680" s="156"/>
      <c r="G680" s="156"/>
      <c r="H680" s="257"/>
      <c r="I680" s="257"/>
      <c r="J680" s="257"/>
      <c r="K680" s="257"/>
      <c r="L680" s="252"/>
      <c r="M680" s="261"/>
      <c r="N680" s="257"/>
    </row>
    <row r="681" spans="1:14" s="363" customFormat="1" ht="15">
      <c r="A681" s="27"/>
      <c r="B681" s="27"/>
      <c r="C681" s="252"/>
      <c r="D681" s="29"/>
      <c r="E681" s="29"/>
      <c r="F681" s="251"/>
      <c r="G681" s="251"/>
      <c r="H681" s="281"/>
      <c r="I681" s="27"/>
      <c r="J681" s="27"/>
      <c r="K681" s="257"/>
      <c r="L681" s="27"/>
      <c r="M681" s="58"/>
      <c r="N681" s="58"/>
    </row>
    <row r="682" spans="1:14" s="363" customFormat="1" ht="15">
      <c r="A682" s="261"/>
      <c r="B682" s="260"/>
      <c r="C682" s="257"/>
      <c r="D682" s="260"/>
      <c r="E682" s="257"/>
      <c r="F682" s="156"/>
      <c r="G682" s="156"/>
      <c r="H682" s="257"/>
      <c r="I682" s="257"/>
      <c r="J682" s="257"/>
      <c r="K682" s="257"/>
      <c r="L682" s="252"/>
      <c r="M682" s="261"/>
      <c r="N682" s="257"/>
    </row>
    <row r="683" spans="1:14" s="363" customFormat="1" ht="15">
      <c r="A683" s="252"/>
      <c r="B683" s="252"/>
      <c r="C683" s="257"/>
      <c r="D683" s="48"/>
      <c r="E683" s="48"/>
      <c r="F683" s="257"/>
      <c r="G683" s="257"/>
      <c r="H683" s="252"/>
      <c r="I683" s="252"/>
      <c r="J683" s="252"/>
      <c r="K683" s="257"/>
      <c r="L683" s="252"/>
      <c r="M683" s="268"/>
      <c r="N683" s="268"/>
    </row>
    <row r="684" spans="1:14" s="363" customFormat="1" ht="15">
      <c r="A684" s="252"/>
      <c r="B684" s="252"/>
      <c r="C684" s="257"/>
      <c r="D684" s="48"/>
      <c r="E684" s="48"/>
      <c r="F684" s="257"/>
      <c r="G684" s="257"/>
      <c r="H684" s="252"/>
      <c r="I684" s="252"/>
      <c r="J684" s="252"/>
      <c r="K684" s="257"/>
      <c r="L684" s="252"/>
      <c r="M684" s="268"/>
      <c r="N684" s="268"/>
    </row>
    <row r="685" spans="1:14" s="363" customFormat="1" ht="15">
      <c r="A685" s="252"/>
      <c r="B685" s="252"/>
      <c r="C685" s="257"/>
      <c r="D685" s="48"/>
      <c r="E685" s="48"/>
      <c r="F685" s="257"/>
      <c r="G685" s="257"/>
      <c r="H685" s="252"/>
      <c r="I685" s="252"/>
      <c r="J685" s="252"/>
      <c r="K685" s="257"/>
      <c r="L685" s="252"/>
      <c r="M685" s="268"/>
      <c r="N685" s="268"/>
    </row>
    <row r="686" spans="1:14" s="363" customFormat="1" ht="15">
      <c r="A686" s="261"/>
      <c r="B686" s="260"/>
      <c r="C686" s="257"/>
      <c r="D686" s="260"/>
      <c r="E686" s="257"/>
      <c r="F686" s="156"/>
      <c r="G686" s="156"/>
      <c r="H686" s="257"/>
      <c r="I686" s="257"/>
      <c r="J686" s="257"/>
      <c r="K686" s="257"/>
      <c r="L686" s="252"/>
      <c r="M686" s="261"/>
      <c r="N686" s="257"/>
    </row>
    <row r="687" spans="1:14" s="363" customFormat="1" ht="15">
      <c r="A687" s="27"/>
      <c r="B687" s="27"/>
      <c r="C687" s="252"/>
      <c r="D687" s="250"/>
      <c r="E687" s="48"/>
      <c r="F687" s="251"/>
      <c r="G687" s="251"/>
      <c r="H687" s="281"/>
      <c r="I687" s="27"/>
      <c r="J687" s="27"/>
      <c r="K687" s="27"/>
      <c r="L687" s="252"/>
      <c r="M687" s="58"/>
      <c r="N687" s="58"/>
    </row>
    <row r="688" spans="1:14" s="363" customFormat="1" ht="15">
      <c r="A688" s="261"/>
      <c r="B688" s="260"/>
      <c r="C688" s="257"/>
      <c r="D688" s="260"/>
      <c r="E688" s="257"/>
      <c r="F688" s="156"/>
      <c r="G688" s="156"/>
      <c r="H688" s="257"/>
      <c r="I688" s="257"/>
      <c r="J688" s="257"/>
      <c r="K688" s="257"/>
      <c r="L688" s="252"/>
      <c r="M688" s="261"/>
      <c r="N688" s="257"/>
    </row>
    <row r="689" spans="1:14" s="363" customFormat="1" ht="15">
      <c r="A689" s="27"/>
      <c r="B689" s="52"/>
      <c r="C689" s="252"/>
      <c r="D689" s="250"/>
      <c r="E689" s="250"/>
      <c r="F689" s="50"/>
      <c r="G689" s="50"/>
      <c r="H689" s="276"/>
      <c r="I689" s="52"/>
      <c r="J689" s="52"/>
      <c r="K689" s="257"/>
      <c r="L689" s="27"/>
      <c r="M689" s="58"/>
      <c r="N689" s="58"/>
    </row>
    <row r="690" spans="1:14" s="363" customFormat="1" ht="15">
      <c r="A690" s="261"/>
      <c r="B690" s="260"/>
      <c r="C690" s="257"/>
      <c r="D690" s="260"/>
      <c r="E690" s="257"/>
      <c r="F690" s="156"/>
      <c r="G690" s="156"/>
      <c r="H690" s="257"/>
      <c r="I690" s="257"/>
      <c r="J690" s="257"/>
      <c r="K690" s="257"/>
      <c r="L690" s="252"/>
      <c r="M690" s="261"/>
      <c r="N690" s="257"/>
    </row>
    <row r="691" spans="1:14" s="363" customFormat="1" ht="15">
      <c r="A691" s="252"/>
      <c r="B691" s="252"/>
      <c r="C691" s="257"/>
      <c r="D691" s="48"/>
      <c r="E691" s="48"/>
      <c r="F691" s="257"/>
      <c r="G691" s="257"/>
      <c r="H691" s="252"/>
      <c r="I691" s="252"/>
      <c r="J691" s="252"/>
      <c r="K691" s="257"/>
      <c r="L691" s="252"/>
      <c r="M691" s="268"/>
      <c r="N691" s="268"/>
    </row>
    <row r="692" spans="1:14" s="363" customFormat="1" ht="15">
      <c r="A692" s="27"/>
      <c r="B692" s="27"/>
      <c r="C692" s="252"/>
      <c r="D692" s="29"/>
      <c r="E692" s="29"/>
      <c r="F692" s="251"/>
      <c r="G692" s="251"/>
      <c r="H692" s="281"/>
      <c r="I692" s="27"/>
      <c r="J692" s="27"/>
      <c r="K692" s="257"/>
      <c r="L692" s="27"/>
      <c r="M692" s="58"/>
      <c r="N692" s="58"/>
    </row>
    <row r="693" spans="1:14" s="363" customFormat="1" ht="15.75" customHeight="1">
      <c r="A693" s="27"/>
      <c r="B693" s="27"/>
      <c r="C693" s="252"/>
      <c r="D693" s="29"/>
      <c r="E693" s="29"/>
      <c r="F693" s="251"/>
      <c r="G693" s="251"/>
      <c r="H693" s="281"/>
      <c r="I693" s="27"/>
      <c r="J693" s="27"/>
      <c r="K693" s="257"/>
      <c r="L693" s="27"/>
      <c r="M693" s="58"/>
      <c r="N693" s="58"/>
    </row>
    <row r="694" spans="1:14" s="363" customFormat="1" ht="15">
      <c r="A694" s="257"/>
      <c r="B694" s="257"/>
      <c r="C694" s="257"/>
      <c r="D694" s="44"/>
      <c r="E694" s="44"/>
      <c r="F694" s="251"/>
      <c r="G694" s="251"/>
      <c r="H694" s="257"/>
      <c r="I694" s="257"/>
      <c r="J694" s="257"/>
      <c r="K694" s="252"/>
      <c r="L694" s="248"/>
      <c r="M694" s="268"/>
      <c r="N694" s="268"/>
    </row>
    <row r="695" spans="1:14" s="363" customFormat="1" ht="15">
      <c r="A695" s="261"/>
      <c r="B695" s="260"/>
      <c r="C695" s="257"/>
      <c r="D695" s="260"/>
      <c r="E695" s="257"/>
      <c r="F695" s="156"/>
      <c r="G695" s="156"/>
      <c r="H695" s="257"/>
      <c r="I695" s="257"/>
      <c r="J695" s="257"/>
      <c r="K695" s="257"/>
      <c r="L695" s="252"/>
      <c r="M695" s="261"/>
      <c r="N695" s="257"/>
    </row>
    <row r="696" spans="1:14" s="363" customFormat="1" ht="15">
      <c r="A696" s="261"/>
      <c r="B696" s="260"/>
      <c r="C696" s="257"/>
      <c r="D696" s="260"/>
      <c r="E696" s="257"/>
      <c r="F696" s="156"/>
      <c r="G696" s="156"/>
      <c r="H696" s="257"/>
      <c r="I696" s="257"/>
      <c r="J696" s="257"/>
      <c r="K696" s="257"/>
      <c r="L696" s="252"/>
      <c r="M696" s="261"/>
      <c r="N696" s="257"/>
    </row>
    <row r="697" spans="1:14" s="363" customFormat="1" ht="15">
      <c r="A697" s="252"/>
      <c r="B697" s="252"/>
      <c r="C697" s="257"/>
      <c r="D697" s="48"/>
      <c r="E697" s="181"/>
      <c r="F697" s="251"/>
      <c r="G697" s="251"/>
      <c r="H697" s="200"/>
      <c r="I697" s="252"/>
      <c r="J697" s="252"/>
      <c r="K697" s="257"/>
      <c r="L697" s="257"/>
      <c r="M697" s="268"/>
      <c r="N697" s="268"/>
    </row>
    <row r="698" spans="1:14" s="363" customFormat="1" ht="15">
      <c r="A698" s="252"/>
      <c r="B698" s="252"/>
      <c r="C698" s="257"/>
      <c r="D698" s="48"/>
      <c r="E698" s="181"/>
      <c r="F698" s="251"/>
      <c r="G698" s="251"/>
      <c r="H698" s="200"/>
      <c r="I698" s="252"/>
      <c r="J698" s="252"/>
      <c r="K698" s="257"/>
      <c r="L698" s="257"/>
      <c r="M698" s="268"/>
      <c r="N698" s="268"/>
    </row>
    <row r="699" spans="1:14" s="363" customFormat="1" ht="15">
      <c r="A699" s="252"/>
      <c r="B699" s="256"/>
      <c r="C699" s="252"/>
      <c r="D699" s="250"/>
      <c r="E699" s="163"/>
      <c r="F699" s="156"/>
      <c r="G699" s="156"/>
      <c r="H699" s="262"/>
      <c r="I699" s="262"/>
      <c r="J699" s="262"/>
      <c r="K699" s="257"/>
      <c r="L699" s="257"/>
      <c r="M699" s="252"/>
      <c r="N699" s="258"/>
    </row>
    <row r="700" spans="1:14" s="363" customFormat="1" ht="15">
      <c r="A700" s="252"/>
      <c r="B700" s="256"/>
      <c r="C700" s="252"/>
      <c r="D700" s="250"/>
      <c r="E700" s="163"/>
      <c r="F700" s="156"/>
      <c r="G700" s="156"/>
      <c r="H700" s="262"/>
      <c r="I700" s="262"/>
      <c r="J700" s="262"/>
      <c r="K700" s="257"/>
      <c r="L700" s="257"/>
      <c r="M700" s="252"/>
      <c r="N700" s="258"/>
    </row>
    <row r="701" spans="1:14" s="363" customFormat="1" ht="15">
      <c r="A701" s="252"/>
      <c r="B701" s="256"/>
      <c r="C701" s="252"/>
      <c r="D701" s="250"/>
      <c r="E701" s="163"/>
      <c r="F701" s="156"/>
      <c r="G701" s="156"/>
      <c r="H701" s="262"/>
      <c r="I701" s="262"/>
      <c r="J701" s="262"/>
      <c r="K701" s="257"/>
      <c r="L701" s="257"/>
      <c r="M701" s="252"/>
      <c r="N701" s="258"/>
    </row>
    <row r="702" spans="1:14" s="363" customFormat="1" ht="15">
      <c r="A702" s="27"/>
      <c r="B702" s="27"/>
      <c r="C702" s="252"/>
      <c r="D702" s="250"/>
      <c r="E702" s="250"/>
      <c r="F702" s="251"/>
      <c r="G702" s="251"/>
      <c r="H702" s="281"/>
      <c r="I702" s="27"/>
      <c r="J702" s="27"/>
      <c r="K702" s="257"/>
      <c r="L702" s="252"/>
      <c r="M702" s="58"/>
      <c r="N702" s="58"/>
    </row>
    <row r="703" spans="1:14" s="363" customFormat="1" ht="15">
      <c r="A703" s="261"/>
      <c r="B703" s="260"/>
      <c r="C703" s="257"/>
      <c r="D703" s="260"/>
      <c r="E703" s="257"/>
      <c r="F703" s="156"/>
      <c r="G703" s="156"/>
      <c r="H703" s="257"/>
      <c r="I703" s="257"/>
      <c r="J703" s="257"/>
      <c r="K703" s="257"/>
      <c r="L703" s="252"/>
      <c r="M703" s="261"/>
      <c r="N703" s="257"/>
    </row>
    <row r="704" spans="1:14" s="363" customFormat="1" ht="15">
      <c r="A704" s="27"/>
      <c r="B704" s="27"/>
      <c r="C704" s="252"/>
      <c r="D704" s="250"/>
      <c r="E704" s="250"/>
      <c r="F704" s="43"/>
      <c r="G704" s="43"/>
      <c r="H704" s="27"/>
      <c r="I704" s="27"/>
      <c r="J704" s="27"/>
      <c r="K704" s="257"/>
      <c r="L704" s="27"/>
      <c r="M704" s="58"/>
      <c r="N704" s="58"/>
    </row>
    <row r="705" spans="1:14" s="363" customFormat="1" ht="15">
      <c r="A705" s="252"/>
      <c r="B705" s="252"/>
      <c r="C705" s="257"/>
      <c r="D705" s="48"/>
      <c r="E705" s="48"/>
      <c r="F705" s="257"/>
      <c r="G705" s="257"/>
      <c r="H705" s="252"/>
      <c r="I705" s="252"/>
      <c r="J705" s="252"/>
      <c r="K705" s="257"/>
      <c r="L705" s="252"/>
      <c r="M705" s="268"/>
      <c r="N705" s="268"/>
    </row>
    <row r="706" spans="1:14" s="363" customFormat="1" ht="15">
      <c r="A706" s="27"/>
      <c r="B706" s="27"/>
      <c r="C706" s="252"/>
      <c r="D706" s="250"/>
      <c r="E706" s="250"/>
      <c r="F706" s="251"/>
      <c r="G706" s="251"/>
      <c r="H706" s="281"/>
      <c r="I706" s="27"/>
      <c r="J706" s="27"/>
      <c r="K706" s="257"/>
      <c r="L706" s="27"/>
      <c r="M706" s="58"/>
      <c r="N706" s="58"/>
    </row>
    <row r="707" spans="1:14" s="363" customFormat="1" ht="15">
      <c r="A707" s="27"/>
      <c r="B707" s="27"/>
      <c r="C707" s="252"/>
      <c r="D707" s="250"/>
      <c r="E707" s="250"/>
      <c r="F707" s="251"/>
      <c r="G707" s="251"/>
      <c r="H707" s="281"/>
      <c r="I707" s="27"/>
      <c r="J707" s="27"/>
      <c r="K707" s="257"/>
      <c r="L707" s="27"/>
      <c r="M707" s="58"/>
      <c r="N707" s="58"/>
    </row>
    <row r="708" spans="1:14" s="363" customFormat="1" ht="15">
      <c r="A708" s="27"/>
      <c r="B708" s="27"/>
      <c r="C708" s="252"/>
      <c r="D708" s="250"/>
      <c r="E708" s="250"/>
      <c r="F708" s="251"/>
      <c r="G708" s="251"/>
      <c r="H708" s="281"/>
      <c r="I708" s="27"/>
      <c r="J708" s="27"/>
      <c r="K708" s="257"/>
      <c r="L708" s="27"/>
      <c r="M708" s="58"/>
      <c r="N708" s="58"/>
    </row>
    <row r="709" spans="1:14" s="363" customFormat="1" ht="15">
      <c r="A709" s="27"/>
      <c r="B709" s="27"/>
      <c r="C709" s="252"/>
      <c r="D709" s="250"/>
      <c r="E709" s="250"/>
      <c r="F709" s="251"/>
      <c r="G709" s="251"/>
      <c r="H709" s="281"/>
      <c r="I709" s="27"/>
      <c r="J709" s="27"/>
      <c r="K709" s="257"/>
      <c r="L709" s="27"/>
      <c r="M709" s="58"/>
      <c r="N709" s="58"/>
    </row>
    <row r="710" spans="1:14" s="363" customFormat="1" ht="15">
      <c r="A710" s="27"/>
      <c r="B710" s="27"/>
      <c r="C710" s="252"/>
      <c r="D710" s="250"/>
      <c r="E710" s="250"/>
      <c r="F710" s="251"/>
      <c r="G710" s="251"/>
      <c r="H710" s="281"/>
      <c r="I710" s="27"/>
      <c r="J710" s="27"/>
      <c r="K710" s="257"/>
      <c r="L710" s="27"/>
      <c r="M710" s="58"/>
      <c r="N710" s="58"/>
    </row>
    <row r="711" spans="1:14" s="363" customFormat="1" ht="15">
      <c r="A711" s="27"/>
      <c r="B711" s="27"/>
      <c r="C711" s="252"/>
      <c r="D711" s="250"/>
      <c r="E711" s="250"/>
      <c r="F711" s="251"/>
      <c r="G711" s="251"/>
      <c r="H711" s="281"/>
      <c r="I711" s="27"/>
      <c r="J711" s="27"/>
      <c r="K711" s="257"/>
      <c r="L711" s="27"/>
      <c r="M711" s="58"/>
      <c r="N711" s="58"/>
    </row>
    <row r="712" spans="1:14" s="363" customFormat="1" ht="15">
      <c r="A712" s="27"/>
      <c r="B712" s="27"/>
      <c r="C712" s="252"/>
      <c r="D712" s="250"/>
      <c r="E712" s="250"/>
      <c r="F712" s="251"/>
      <c r="G712" s="251"/>
      <c r="H712" s="281"/>
      <c r="I712" s="27"/>
      <c r="J712" s="27"/>
      <c r="K712" s="257"/>
      <c r="L712" s="27"/>
      <c r="M712" s="58"/>
      <c r="N712" s="58"/>
    </row>
    <row r="713" spans="1:14" s="363" customFormat="1" ht="15">
      <c r="A713" s="27"/>
      <c r="B713" s="27"/>
      <c r="C713" s="252"/>
      <c r="D713" s="250"/>
      <c r="E713" s="250"/>
      <c r="F713" s="251"/>
      <c r="G713" s="251"/>
      <c r="H713" s="281"/>
      <c r="I713" s="27"/>
      <c r="J713" s="27"/>
      <c r="K713" s="257"/>
      <c r="L713" s="27"/>
      <c r="M713" s="58"/>
      <c r="N713" s="58"/>
    </row>
    <row r="714" spans="1:14" s="363" customFormat="1" ht="15">
      <c r="A714" s="27"/>
      <c r="B714" s="27"/>
      <c r="C714" s="252"/>
      <c r="D714" s="250"/>
      <c r="E714" s="250"/>
      <c r="F714" s="251"/>
      <c r="G714" s="251"/>
      <c r="H714" s="281"/>
      <c r="I714" s="27"/>
      <c r="J714" s="27"/>
      <c r="K714" s="257"/>
      <c r="L714" s="27"/>
      <c r="M714" s="58"/>
      <c r="N714" s="58"/>
    </row>
    <row r="715" spans="1:14" s="363" customFormat="1" ht="15">
      <c r="A715" s="261"/>
      <c r="B715" s="260"/>
      <c r="C715" s="257"/>
      <c r="D715" s="260"/>
      <c r="E715" s="257"/>
      <c r="F715" s="156"/>
      <c r="G715" s="156"/>
      <c r="H715" s="257"/>
      <c r="I715" s="257"/>
      <c r="J715" s="257"/>
      <c r="K715" s="257"/>
      <c r="L715" s="252"/>
      <c r="M715" s="261"/>
      <c r="N715" s="257"/>
    </row>
    <row r="716" spans="1:14" s="363" customFormat="1" ht="15">
      <c r="A716" s="252"/>
      <c r="B716" s="257"/>
      <c r="C716" s="252"/>
      <c r="D716" s="250"/>
      <c r="E716" s="250"/>
      <c r="F716" s="49"/>
      <c r="G716" s="49"/>
      <c r="H716" s="188"/>
      <c r="I716" s="257"/>
      <c r="J716" s="257"/>
      <c r="K716" s="257"/>
      <c r="L716" s="27"/>
      <c r="M716" s="266"/>
      <c r="N716" s="266"/>
    </row>
    <row r="717" spans="1:14" s="363" customFormat="1" ht="15">
      <c r="A717" s="252"/>
      <c r="B717" s="257"/>
      <c r="C717" s="252"/>
      <c r="D717" s="250"/>
      <c r="E717" s="250"/>
      <c r="F717" s="49"/>
      <c r="G717" s="49"/>
      <c r="H717" s="188"/>
      <c r="I717" s="257"/>
      <c r="J717" s="257"/>
      <c r="K717" s="257"/>
      <c r="L717" s="27"/>
      <c r="M717" s="266"/>
      <c r="N717" s="266"/>
    </row>
    <row r="718" spans="1:14" s="363" customFormat="1" ht="15">
      <c r="A718" s="261"/>
      <c r="B718" s="260"/>
      <c r="C718" s="257"/>
      <c r="D718" s="260"/>
      <c r="E718" s="257"/>
      <c r="F718" s="156"/>
      <c r="G718" s="156"/>
      <c r="H718" s="257"/>
      <c r="I718" s="257"/>
      <c r="J718" s="257"/>
      <c r="K718" s="257"/>
      <c r="L718" s="252"/>
      <c r="M718" s="261"/>
      <c r="N718" s="257"/>
    </row>
    <row r="719" spans="1:14" s="363" customFormat="1" ht="15">
      <c r="A719" s="261"/>
      <c r="B719" s="260"/>
      <c r="C719" s="257"/>
      <c r="D719" s="260"/>
      <c r="E719" s="257"/>
      <c r="F719" s="156"/>
      <c r="G719" s="156"/>
      <c r="H719" s="257"/>
      <c r="I719" s="257"/>
      <c r="J719" s="257"/>
      <c r="K719" s="257"/>
      <c r="L719" s="252"/>
      <c r="M719" s="261"/>
      <c r="N719" s="257"/>
    </row>
    <row r="720" spans="1:14" s="363" customFormat="1" ht="15">
      <c r="A720" s="261"/>
      <c r="B720" s="260"/>
      <c r="C720" s="257"/>
      <c r="D720" s="260"/>
      <c r="E720" s="257"/>
      <c r="F720" s="156"/>
      <c r="G720" s="156"/>
      <c r="H720" s="257"/>
      <c r="I720" s="257"/>
      <c r="J720" s="257"/>
      <c r="K720" s="257"/>
      <c r="L720" s="252"/>
      <c r="M720" s="261"/>
      <c r="N720" s="257"/>
    </row>
    <row r="721" spans="1:14" s="363" customFormat="1" ht="15">
      <c r="A721" s="261"/>
      <c r="B721" s="260"/>
      <c r="C721" s="257"/>
      <c r="D721" s="260"/>
      <c r="E721" s="257"/>
      <c r="F721" s="156"/>
      <c r="G721" s="156"/>
      <c r="H721" s="257"/>
      <c r="I721" s="257"/>
      <c r="J721" s="257"/>
      <c r="K721" s="257"/>
      <c r="L721" s="252"/>
      <c r="M721" s="261"/>
      <c r="N721" s="257"/>
    </row>
    <row r="722" spans="1:14" s="363" customFormat="1" ht="15">
      <c r="A722" s="261"/>
      <c r="B722" s="260"/>
      <c r="C722" s="257"/>
      <c r="D722" s="260"/>
      <c r="E722" s="257"/>
      <c r="F722" s="156"/>
      <c r="G722" s="156"/>
      <c r="H722" s="257"/>
      <c r="I722" s="257"/>
      <c r="J722" s="257"/>
      <c r="K722" s="257"/>
      <c r="L722" s="252"/>
      <c r="M722" s="261"/>
      <c r="N722" s="257"/>
    </row>
    <row r="723" spans="1:14" s="363" customFormat="1" ht="15">
      <c r="A723" s="143"/>
      <c r="B723" s="143"/>
      <c r="C723" s="252"/>
      <c r="D723" s="257"/>
      <c r="E723" s="209"/>
      <c r="F723" s="151"/>
      <c r="G723" s="151"/>
      <c r="H723" s="254"/>
      <c r="I723" s="262"/>
      <c r="J723" s="188"/>
      <c r="K723" s="257"/>
      <c r="L723" s="257"/>
      <c r="M723" s="261"/>
      <c r="N723" s="258"/>
    </row>
    <row r="724" spans="1:14" s="363" customFormat="1" ht="15">
      <c r="A724" s="143"/>
      <c r="B724" s="143"/>
      <c r="C724" s="252"/>
      <c r="D724" s="257"/>
      <c r="E724" s="209"/>
      <c r="F724" s="151"/>
      <c r="G724" s="151"/>
      <c r="H724" s="254"/>
      <c r="I724" s="262"/>
      <c r="J724" s="252"/>
      <c r="K724" s="252"/>
      <c r="L724" s="257"/>
      <c r="M724" s="261"/>
      <c r="N724" s="252"/>
    </row>
    <row r="725" spans="1:14" s="363" customFormat="1" ht="15">
      <c r="A725" s="143"/>
      <c r="B725" s="143"/>
      <c r="C725" s="257"/>
      <c r="D725" s="250"/>
      <c r="E725" s="209"/>
      <c r="F725" s="151"/>
      <c r="G725" s="151"/>
      <c r="H725" s="262"/>
      <c r="I725" s="262"/>
      <c r="J725" s="188"/>
      <c r="K725" s="262"/>
      <c r="L725" s="257"/>
      <c r="M725" s="261"/>
      <c r="N725" s="258"/>
    </row>
    <row r="726" spans="1:14" s="363" customFormat="1" ht="15">
      <c r="A726" s="261"/>
      <c r="B726" s="260"/>
      <c r="C726" s="257"/>
      <c r="D726" s="260"/>
      <c r="E726" s="257"/>
      <c r="F726" s="156"/>
      <c r="G726" s="156"/>
      <c r="H726" s="257"/>
      <c r="I726" s="257"/>
      <c r="J726" s="257"/>
      <c r="K726" s="257"/>
      <c r="L726" s="252"/>
      <c r="M726" s="261"/>
      <c r="N726" s="257"/>
    </row>
    <row r="727" spans="1:14" s="363" customFormat="1" ht="15">
      <c r="A727" s="252"/>
      <c r="B727" s="252"/>
      <c r="C727" s="257"/>
      <c r="D727" s="48"/>
      <c r="E727" s="48"/>
      <c r="F727" s="257"/>
      <c r="G727" s="257"/>
      <c r="H727" s="252"/>
      <c r="I727" s="252"/>
      <c r="J727" s="252"/>
      <c r="K727" s="257"/>
      <c r="L727" s="252"/>
      <c r="M727" s="268"/>
      <c r="N727" s="268"/>
    </row>
    <row r="728" spans="1:14" s="363" customFormat="1" ht="15">
      <c r="A728" s="252"/>
      <c r="B728" s="252"/>
      <c r="C728" s="257"/>
      <c r="D728" s="48"/>
      <c r="E728" s="48"/>
      <c r="F728" s="257"/>
      <c r="G728" s="257"/>
      <c r="H728" s="252"/>
      <c r="I728" s="252"/>
      <c r="J728" s="252"/>
      <c r="K728" s="257"/>
      <c r="L728" s="252"/>
      <c r="M728" s="268"/>
      <c r="N728" s="268"/>
    </row>
    <row r="729" spans="1:14" s="363" customFormat="1" ht="15">
      <c r="A729" s="252"/>
      <c r="B729" s="252"/>
      <c r="C729" s="257"/>
      <c r="D729" s="48"/>
      <c r="E729" s="48"/>
      <c r="F729" s="257"/>
      <c r="G729" s="257"/>
      <c r="H729" s="252"/>
      <c r="I729" s="252"/>
      <c r="J729" s="252"/>
      <c r="K729" s="257"/>
      <c r="L729" s="252"/>
      <c r="M729" s="268"/>
      <c r="N729" s="268"/>
    </row>
    <row r="730" spans="1:14" s="363" customFormat="1" ht="15">
      <c r="A730" s="252"/>
      <c r="B730" s="252"/>
      <c r="C730" s="257"/>
      <c r="D730" s="48"/>
      <c r="E730" s="48"/>
      <c r="F730" s="257"/>
      <c r="G730" s="257"/>
      <c r="H730" s="252"/>
      <c r="I730" s="252"/>
      <c r="J730" s="252"/>
      <c r="K730" s="257"/>
      <c r="L730" s="252"/>
      <c r="M730" s="268"/>
      <c r="N730" s="268"/>
    </row>
    <row r="731" spans="1:14" s="363" customFormat="1" ht="15">
      <c r="A731" s="257"/>
      <c r="B731" s="46"/>
      <c r="C731" s="257"/>
      <c r="D731" s="48"/>
      <c r="E731" s="48"/>
      <c r="F731" s="43"/>
      <c r="G731" s="43"/>
      <c r="H731" s="243"/>
      <c r="I731" s="46"/>
      <c r="J731" s="46"/>
      <c r="K731" s="257"/>
      <c r="L731" s="257"/>
      <c r="M731" s="270"/>
      <c r="N731" s="270"/>
    </row>
    <row r="732" spans="1:14" s="363" customFormat="1" ht="15">
      <c r="A732" s="261"/>
      <c r="B732" s="260"/>
      <c r="C732" s="257"/>
      <c r="D732" s="260"/>
      <c r="E732" s="257"/>
      <c r="F732" s="156"/>
      <c r="G732" s="156"/>
      <c r="H732" s="257"/>
      <c r="I732" s="257"/>
      <c r="J732" s="257"/>
      <c r="K732" s="257"/>
      <c r="L732" s="252"/>
      <c r="M732" s="261"/>
      <c r="N732" s="257"/>
    </row>
    <row r="733" spans="1:14" s="363" customFormat="1" ht="15">
      <c r="A733" s="143"/>
      <c r="B733" s="143"/>
      <c r="C733" s="257"/>
      <c r="D733" s="250"/>
      <c r="E733" s="209"/>
      <c r="F733" s="151"/>
      <c r="G733" s="151"/>
      <c r="H733" s="262"/>
      <c r="I733" s="262"/>
      <c r="J733" s="188"/>
      <c r="K733" s="257"/>
      <c r="L733" s="257"/>
      <c r="M733" s="261"/>
      <c r="N733" s="258"/>
    </row>
    <row r="734" spans="1:14" s="363" customFormat="1" ht="15">
      <c r="A734" s="27"/>
      <c r="B734" s="27"/>
      <c r="C734" s="252"/>
      <c r="D734" s="29"/>
      <c r="E734" s="29"/>
      <c r="F734" s="251"/>
      <c r="G734" s="251"/>
      <c r="H734" s="281"/>
      <c r="I734" s="27"/>
      <c r="J734" s="27"/>
      <c r="K734" s="257"/>
      <c r="L734" s="27"/>
      <c r="M734" s="58"/>
      <c r="N734" s="58"/>
    </row>
    <row r="735" spans="1:14" s="363" customFormat="1" ht="15">
      <c r="A735" s="27"/>
      <c r="B735" s="27"/>
      <c r="C735" s="252"/>
      <c r="D735" s="250"/>
      <c r="E735" s="250"/>
      <c r="F735" s="251"/>
      <c r="G735" s="251"/>
      <c r="H735" s="281"/>
      <c r="I735" s="27"/>
      <c r="J735" s="27"/>
      <c r="K735" s="257"/>
      <c r="L735" s="27"/>
      <c r="M735" s="58"/>
      <c r="N735" s="58"/>
    </row>
    <row r="736" spans="1:14" s="363" customFormat="1" ht="15">
      <c r="A736" s="143"/>
      <c r="B736" s="143"/>
      <c r="C736" s="252"/>
      <c r="D736" s="254"/>
      <c r="E736" s="209"/>
      <c r="F736" s="151"/>
      <c r="G736" s="151"/>
      <c r="H736" s="262"/>
      <c r="I736" s="262"/>
      <c r="J736" s="188"/>
      <c r="K736" s="257"/>
      <c r="L736" s="257"/>
      <c r="M736" s="261"/>
      <c r="N736" s="258"/>
    </row>
    <row r="737" spans="1:14" s="363" customFormat="1" ht="15">
      <c r="A737" s="252"/>
      <c r="B737" s="252"/>
      <c r="C737" s="257"/>
      <c r="D737" s="48"/>
      <c r="E737" s="181"/>
      <c r="F737" s="251"/>
      <c r="G737" s="251"/>
      <c r="H737" s="252"/>
      <c r="I737" s="252"/>
      <c r="J737" s="252"/>
      <c r="K737" s="257"/>
      <c r="L737" s="252"/>
      <c r="M737" s="268"/>
      <c r="N737" s="268"/>
    </row>
    <row r="738" spans="1:14" s="363" customFormat="1" ht="15">
      <c r="A738" s="261"/>
      <c r="B738" s="260"/>
      <c r="C738" s="257"/>
      <c r="D738" s="260"/>
      <c r="E738" s="257"/>
      <c r="F738" s="156"/>
      <c r="G738" s="156"/>
      <c r="H738" s="257"/>
      <c r="I738" s="257"/>
      <c r="J738" s="257"/>
      <c r="K738" s="257"/>
      <c r="L738" s="252"/>
      <c r="M738" s="261"/>
      <c r="N738" s="257"/>
    </row>
    <row r="739" spans="1:14" s="363" customFormat="1" ht="15">
      <c r="A739" s="261"/>
      <c r="B739" s="260"/>
      <c r="C739" s="257"/>
      <c r="D739" s="260"/>
      <c r="E739" s="257"/>
      <c r="F739" s="156"/>
      <c r="G739" s="156"/>
      <c r="H739" s="257"/>
      <c r="I739" s="257"/>
      <c r="J739" s="257"/>
      <c r="K739" s="257"/>
      <c r="L739" s="252"/>
      <c r="M739" s="261"/>
      <c r="N739" s="257"/>
    </row>
    <row r="740" spans="1:14" s="363" customFormat="1" ht="15">
      <c r="A740" s="27"/>
      <c r="B740" s="27"/>
      <c r="C740" s="252"/>
      <c r="D740" s="250"/>
      <c r="E740" s="250"/>
      <c r="F740" s="43"/>
      <c r="G740" s="43"/>
      <c r="H740" s="27"/>
      <c r="I740" s="27"/>
      <c r="J740" s="27"/>
      <c r="K740" s="257"/>
      <c r="L740" s="27"/>
      <c r="M740" s="58"/>
      <c r="N740" s="58"/>
    </row>
    <row r="741" spans="1:14" s="363" customFormat="1" ht="15">
      <c r="A741" s="252"/>
      <c r="B741" s="256"/>
      <c r="C741" s="252"/>
      <c r="D741" s="250"/>
      <c r="E741" s="250"/>
      <c r="F741" s="251"/>
      <c r="G741" s="251"/>
      <c r="H741" s="282"/>
      <c r="I741" s="256"/>
      <c r="J741" s="256"/>
      <c r="K741" s="257"/>
      <c r="L741" s="257"/>
      <c r="M741" s="258"/>
      <c r="N741" s="258"/>
    </row>
    <row r="742" spans="1:14" s="363" customFormat="1" ht="15">
      <c r="A742" s="252"/>
      <c r="B742" s="252"/>
      <c r="C742" s="257"/>
      <c r="D742" s="48"/>
      <c r="E742" s="48"/>
      <c r="F742" s="257"/>
      <c r="G742" s="257"/>
      <c r="H742" s="252"/>
      <c r="I742" s="252"/>
      <c r="J742" s="252"/>
      <c r="K742" s="257"/>
      <c r="L742" s="252"/>
      <c r="M742" s="268"/>
      <c r="N742" s="268"/>
    </row>
    <row r="743" spans="1:14" s="363" customFormat="1" ht="15">
      <c r="A743" s="252"/>
      <c r="B743" s="252"/>
      <c r="C743" s="257"/>
      <c r="D743" s="48"/>
      <c r="E743" s="48"/>
      <c r="F743" s="257"/>
      <c r="G743" s="257"/>
      <c r="H743" s="252"/>
      <c r="I743" s="252"/>
      <c r="J743" s="252"/>
      <c r="K743" s="257"/>
      <c r="L743" s="252"/>
      <c r="M743" s="268"/>
      <c r="N743" s="268"/>
    </row>
    <row r="744" spans="1:14" s="363" customFormat="1" ht="15">
      <c r="A744" s="252"/>
      <c r="B744" s="256"/>
      <c r="C744" s="252"/>
      <c r="D744" s="250"/>
      <c r="E744" s="250"/>
      <c r="F744" s="251"/>
      <c r="G744" s="251"/>
      <c r="H744" s="282"/>
      <c r="I744" s="256"/>
      <c r="J744" s="256"/>
      <c r="K744" s="257"/>
      <c r="L744" s="257"/>
      <c r="M744" s="258"/>
      <c r="N744" s="258"/>
    </row>
    <row r="745" spans="1:14" s="363" customFormat="1" ht="15">
      <c r="A745" s="252"/>
      <c r="B745" s="256"/>
      <c r="C745" s="252"/>
      <c r="D745" s="250"/>
      <c r="E745" s="250"/>
      <c r="F745" s="251"/>
      <c r="G745" s="251"/>
      <c r="H745" s="282"/>
      <c r="I745" s="256"/>
      <c r="J745" s="256"/>
      <c r="K745" s="257"/>
      <c r="L745" s="257"/>
      <c r="M745" s="258"/>
      <c r="N745" s="258"/>
    </row>
    <row r="746" spans="1:14" s="363" customFormat="1" ht="15">
      <c r="A746" s="261"/>
      <c r="B746" s="260"/>
      <c r="C746" s="257"/>
      <c r="D746" s="260"/>
      <c r="E746" s="257"/>
      <c r="F746" s="156"/>
      <c r="G746" s="156"/>
      <c r="H746" s="257"/>
      <c r="I746" s="257"/>
      <c r="J746" s="257"/>
      <c r="K746" s="257"/>
      <c r="L746" s="252"/>
      <c r="M746" s="261"/>
      <c r="N746" s="257"/>
    </row>
    <row r="747" spans="1:14" s="363" customFormat="1" ht="15">
      <c r="A747" s="261"/>
      <c r="B747" s="260"/>
      <c r="C747" s="257"/>
      <c r="D747" s="260"/>
      <c r="E747" s="257"/>
      <c r="F747" s="156"/>
      <c r="G747" s="156"/>
      <c r="H747" s="257"/>
      <c r="I747" s="257"/>
      <c r="J747" s="257"/>
      <c r="K747" s="257"/>
      <c r="L747" s="252"/>
      <c r="M747" s="261"/>
      <c r="N747" s="257"/>
    </row>
    <row r="748" spans="1:14" s="363" customFormat="1" ht="15">
      <c r="A748" s="27"/>
      <c r="B748" s="27"/>
      <c r="C748" s="252"/>
      <c r="D748" s="250"/>
      <c r="E748" s="250"/>
      <c r="F748" s="43"/>
      <c r="G748" s="43"/>
      <c r="H748" s="27"/>
      <c r="I748" s="27"/>
      <c r="J748" s="27"/>
      <c r="K748" s="257"/>
      <c r="L748" s="27"/>
      <c r="M748" s="58"/>
      <c r="N748" s="58"/>
    </row>
    <row r="749" spans="1:14" s="363" customFormat="1" ht="15">
      <c r="A749" s="252"/>
      <c r="B749" s="46"/>
      <c r="C749" s="252"/>
      <c r="D749" s="48"/>
      <c r="E749" s="48"/>
      <c r="F749" s="43"/>
      <c r="G749" s="43"/>
      <c r="H749" s="243"/>
      <c r="I749" s="46"/>
      <c r="J749" s="46"/>
      <c r="K749" s="257"/>
      <c r="L749" s="257"/>
      <c r="M749" s="266"/>
      <c r="N749" s="266"/>
    </row>
    <row r="750" spans="1:14" s="363" customFormat="1" ht="15">
      <c r="A750" s="252"/>
      <c r="B750" s="256"/>
      <c r="C750" s="252"/>
      <c r="D750" s="250"/>
      <c r="E750" s="250"/>
      <c r="F750" s="251"/>
      <c r="G750" s="251"/>
      <c r="H750" s="282"/>
      <c r="I750" s="256"/>
      <c r="J750" s="256"/>
      <c r="K750" s="257"/>
      <c r="L750" s="257"/>
      <c r="M750" s="258"/>
      <c r="N750" s="258"/>
    </row>
    <row r="751" spans="1:14" s="363" customFormat="1" ht="15">
      <c r="A751" s="252"/>
      <c r="B751" s="256"/>
      <c r="C751" s="257"/>
      <c r="D751" s="257"/>
      <c r="E751" s="163"/>
      <c r="F751" s="251"/>
      <c r="G751" s="251"/>
      <c r="H751" s="257"/>
      <c r="I751" s="257"/>
      <c r="J751" s="188"/>
      <c r="K751" s="257"/>
      <c r="L751" s="257"/>
      <c r="M751" s="258"/>
      <c r="N751" s="258"/>
    </row>
    <row r="752" spans="1:14" s="363" customFormat="1" ht="15">
      <c r="A752" s="27"/>
      <c r="B752" s="27"/>
      <c r="C752" s="252"/>
      <c r="D752" s="29"/>
      <c r="E752" s="29"/>
      <c r="F752" s="251"/>
      <c r="G752" s="251"/>
      <c r="H752" s="281"/>
      <c r="I752" s="27"/>
      <c r="J752" s="27"/>
      <c r="K752" s="257"/>
      <c r="L752" s="27"/>
      <c r="M752" s="58"/>
      <c r="N752" s="58"/>
    </row>
    <row r="753" spans="1:14" s="363" customFormat="1" ht="15">
      <c r="A753" s="248"/>
      <c r="B753" s="46"/>
      <c r="C753" s="257"/>
      <c r="D753" s="48"/>
      <c r="E753" s="48"/>
      <c r="F753" s="43"/>
      <c r="G753" s="43"/>
      <c r="H753" s="243"/>
      <c r="I753" s="46"/>
      <c r="J753" s="46"/>
      <c r="K753" s="257"/>
      <c r="L753" s="257"/>
      <c r="M753" s="58"/>
      <c r="N753" s="58"/>
    </row>
    <row r="754" spans="1:14" s="363" customFormat="1" ht="15">
      <c r="A754" s="261"/>
      <c r="B754" s="260"/>
      <c r="C754" s="257"/>
      <c r="D754" s="260"/>
      <c r="E754" s="257"/>
      <c r="F754" s="156"/>
      <c r="G754" s="156"/>
      <c r="H754" s="257"/>
      <c r="I754" s="257"/>
      <c r="J754" s="257"/>
      <c r="K754" s="257"/>
      <c r="L754" s="252"/>
      <c r="M754" s="261"/>
      <c r="N754" s="257"/>
    </row>
    <row r="755" spans="1:14" s="363" customFormat="1" ht="15">
      <c r="A755" s="27"/>
      <c r="B755" s="27"/>
      <c r="C755" s="252"/>
      <c r="D755" s="250"/>
      <c r="E755" s="250"/>
      <c r="F755" s="251"/>
      <c r="G755" s="251"/>
      <c r="H755" s="281"/>
      <c r="I755" s="27"/>
      <c r="J755" s="27"/>
      <c r="K755" s="257"/>
      <c r="L755" s="27"/>
      <c r="M755" s="58"/>
      <c r="N755" s="58"/>
    </row>
    <row r="756" spans="1:14" s="363" customFormat="1" ht="15">
      <c r="A756" s="261"/>
      <c r="B756" s="260"/>
      <c r="C756" s="257"/>
      <c r="D756" s="260"/>
      <c r="E756" s="257"/>
      <c r="F756" s="156"/>
      <c r="G756" s="156"/>
      <c r="H756" s="257"/>
      <c r="I756" s="257"/>
      <c r="J756" s="257"/>
      <c r="K756" s="257"/>
      <c r="L756" s="252"/>
      <c r="M756" s="261"/>
      <c r="N756" s="257"/>
    </row>
    <row r="757" spans="1:14" s="363" customFormat="1" ht="15">
      <c r="A757" s="27"/>
      <c r="B757" s="27"/>
      <c r="C757" s="252"/>
      <c r="D757" s="250"/>
      <c r="E757" s="250"/>
      <c r="F757" s="43"/>
      <c r="G757" s="43"/>
      <c r="H757" s="243"/>
      <c r="I757" s="46"/>
      <c r="J757" s="46"/>
      <c r="K757" s="257"/>
      <c r="L757" s="252"/>
      <c r="M757" s="258"/>
      <c r="N757" s="258"/>
    </row>
    <row r="758" spans="1:14" s="363" customFormat="1" ht="15">
      <c r="A758" s="27"/>
      <c r="B758" s="27"/>
      <c r="C758" s="252"/>
      <c r="D758" s="250"/>
      <c r="E758" s="250"/>
      <c r="F758" s="251"/>
      <c r="G758" s="251"/>
      <c r="H758" s="281"/>
      <c r="I758" s="27"/>
      <c r="J758" s="27"/>
      <c r="K758" s="257"/>
      <c r="L758" s="252"/>
      <c r="M758" s="58"/>
      <c r="N758" s="58"/>
    </row>
    <row r="759" spans="1:14" s="363" customFormat="1" ht="15">
      <c r="A759" s="27"/>
      <c r="B759" s="27"/>
      <c r="C759" s="252"/>
      <c r="D759" s="29"/>
      <c r="E759" s="29"/>
      <c r="F759" s="251"/>
      <c r="G759" s="251"/>
      <c r="H759" s="281"/>
      <c r="I759" s="27"/>
      <c r="J759" s="27"/>
      <c r="K759" s="257"/>
      <c r="L759" s="252"/>
      <c r="M759" s="58"/>
      <c r="N759" s="58"/>
    </row>
    <row r="760" spans="1:14" s="363" customFormat="1" ht="15">
      <c r="A760" s="27"/>
      <c r="B760" s="27"/>
      <c r="C760" s="252"/>
      <c r="D760" s="250"/>
      <c r="E760" s="250"/>
      <c r="F760" s="251"/>
      <c r="G760" s="251"/>
      <c r="H760" s="281"/>
      <c r="I760" s="27"/>
      <c r="J760" s="27"/>
      <c r="K760" s="257"/>
      <c r="L760" s="252"/>
      <c r="M760" s="58"/>
      <c r="N760" s="58"/>
    </row>
    <row r="761" spans="1:14" s="363" customFormat="1" ht="15">
      <c r="A761" s="54"/>
      <c r="B761" s="257"/>
      <c r="C761" s="252"/>
      <c r="D761" s="250"/>
      <c r="E761" s="250"/>
      <c r="F761" s="251"/>
      <c r="G761" s="251"/>
      <c r="H761" s="188"/>
      <c r="I761" s="257"/>
      <c r="J761" s="257"/>
      <c r="K761" s="257"/>
      <c r="L761" s="252"/>
      <c r="M761" s="58"/>
      <c r="N761" s="58"/>
    </row>
    <row r="762" spans="1:14" s="363" customFormat="1" ht="15">
      <c r="A762" s="252"/>
      <c r="B762" s="256"/>
      <c r="C762" s="252"/>
      <c r="D762" s="250"/>
      <c r="E762" s="163"/>
      <c r="F762" s="151"/>
      <c r="G762" s="151"/>
      <c r="H762" s="262"/>
      <c r="I762" s="262"/>
      <c r="J762" s="188"/>
      <c r="K762" s="257"/>
      <c r="L762" s="257"/>
      <c r="M762" s="261"/>
      <c r="N762" s="258"/>
    </row>
    <row r="763" spans="1:14" s="363" customFormat="1" ht="15">
      <c r="A763" s="252"/>
      <c r="B763" s="257"/>
      <c r="C763" s="252"/>
      <c r="D763" s="250"/>
      <c r="E763" s="250"/>
      <c r="F763" s="251"/>
      <c r="G763" s="251"/>
      <c r="H763" s="188"/>
      <c r="I763" s="257"/>
      <c r="J763" s="257"/>
      <c r="K763" s="257"/>
      <c r="L763" s="257"/>
      <c r="M763" s="268"/>
      <c r="N763" s="268"/>
    </row>
    <row r="764" spans="1:14" s="363" customFormat="1" ht="15">
      <c r="A764" s="252"/>
      <c r="B764" s="257"/>
      <c r="C764" s="252"/>
      <c r="D764" s="250"/>
      <c r="E764" s="250"/>
      <c r="F764" s="251"/>
      <c r="G764" s="251"/>
      <c r="H764" s="188"/>
      <c r="I764" s="257"/>
      <c r="J764" s="257"/>
      <c r="K764" s="257"/>
      <c r="L764" s="257"/>
      <c r="M764" s="268"/>
      <c r="N764" s="268"/>
    </row>
    <row r="765" spans="1:14" s="363" customFormat="1" ht="15">
      <c r="A765" s="252"/>
      <c r="B765" s="260"/>
      <c r="C765" s="252"/>
      <c r="D765" s="48"/>
      <c r="E765" s="48"/>
      <c r="F765" s="49"/>
      <c r="G765" s="49"/>
      <c r="H765" s="264"/>
      <c r="I765" s="260"/>
      <c r="J765" s="260"/>
      <c r="K765" s="257"/>
      <c r="L765" s="27"/>
      <c r="M765" s="266"/>
      <c r="N765" s="266"/>
    </row>
    <row r="766" spans="1:14" s="363" customFormat="1" ht="15">
      <c r="A766" s="252"/>
      <c r="B766" s="260"/>
      <c r="C766" s="252"/>
      <c r="D766" s="48"/>
      <c r="E766" s="48"/>
      <c r="F766" s="49"/>
      <c r="G766" s="49"/>
      <c r="H766" s="264"/>
      <c r="I766" s="260"/>
      <c r="J766" s="260"/>
      <c r="K766" s="257"/>
      <c r="L766" s="27"/>
      <c r="M766" s="266"/>
      <c r="N766" s="266"/>
    </row>
    <row r="767" spans="1:14" s="363" customFormat="1" ht="15">
      <c r="A767" s="252"/>
      <c r="B767" s="260"/>
      <c r="C767" s="252"/>
      <c r="D767" s="48"/>
      <c r="E767" s="48"/>
      <c r="F767" s="49"/>
      <c r="G767" s="49"/>
      <c r="H767" s="264"/>
      <c r="I767" s="260"/>
      <c r="J767" s="260"/>
      <c r="K767" s="257"/>
      <c r="L767" s="27"/>
      <c r="M767" s="266"/>
      <c r="N767" s="266"/>
    </row>
    <row r="768" spans="1:14" s="363" customFormat="1" ht="15">
      <c r="A768" s="252"/>
      <c r="B768" s="260"/>
      <c r="C768" s="252"/>
      <c r="D768" s="48"/>
      <c r="E768" s="48"/>
      <c r="F768" s="49"/>
      <c r="G768" s="49"/>
      <c r="H768" s="264"/>
      <c r="I768" s="260"/>
      <c r="J768" s="260"/>
      <c r="K768" s="257"/>
      <c r="L768" s="27"/>
      <c r="M768" s="266"/>
      <c r="N768" s="266"/>
    </row>
    <row r="769" spans="1:14" s="363" customFormat="1" ht="15">
      <c r="A769" s="252"/>
      <c r="B769" s="260"/>
      <c r="C769" s="252"/>
      <c r="D769" s="48"/>
      <c r="E769" s="48"/>
      <c r="F769" s="49"/>
      <c r="G769" s="49"/>
      <c r="H769" s="264"/>
      <c r="I769" s="260"/>
      <c r="J769" s="260"/>
      <c r="K769" s="257"/>
      <c r="L769" s="27"/>
      <c r="M769" s="266"/>
      <c r="N769" s="266"/>
    </row>
    <row r="770" spans="1:14" s="363" customFormat="1" ht="15">
      <c r="A770" s="252"/>
      <c r="B770" s="260"/>
      <c r="C770" s="252"/>
      <c r="D770" s="48"/>
      <c r="E770" s="48"/>
      <c r="F770" s="49"/>
      <c r="G770" s="49"/>
      <c r="H770" s="264"/>
      <c r="I770" s="260"/>
      <c r="J770" s="260"/>
      <c r="K770" s="257"/>
      <c r="L770" s="27"/>
      <c r="M770" s="266"/>
      <c r="N770" s="266"/>
    </row>
    <row r="771" spans="1:14" s="363" customFormat="1" ht="15">
      <c r="A771" s="252"/>
      <c r="B771" s="260"/>
      <c r="C771" s="252"/>
      <c r="D771" s="48"/>
      <c r="E771" s="48"/>
      <c r="F771" s="49"/>
      <c r="G771" s="49"/>
      <c r="H771" s="264"/>
      <c r="I771" s="260"/>
      <c r="J771" s="260"/>
      <c r="K771" s="257"/>
      <c r="L771" s="27"/>
      <c r="M771" s="266"/>
      <c r="N771" s="266"/>
    </row>
    <row r="772" spans="1:14" s="363" customFormat="1" ht="15">
      <c r="A772" s="252"/>
      <c r="B772" s="260"/>
      <c r="C772" s="252"/>
      <c r="D772" s="48"/>
      <c r="E772" s="48"/>
      <c r="F772" s="49"/>
      <c r="G772" s="49"/>
      <c r="H772" s="264"/>
      <c r="I772" s="260"/>
      <c r="J772" s="260"/>
      <c r="K772" s="257"/>
      <c r="L772" s="27"/>
      <c r="M772" s="266"/>
      <c r="N772" s="266"/>
    </row>
    <row r="773" spans="1:14" s="363" customFormat="1" ht="15">
      <c r="A773" s="252"/>
      <c r="B773" s="260"/>
      <c r="C773" s="252"/>
      <c r="D773" s="48"/>
      <c r="E773" s="48"/>
      <c r="F773" s="49"/>
      <c r="G773" s="49"/>
      <c r="H773" s="264"/>
      <c r="I773" s="260"/>
      <c r="J773" s="260"/>
      <c r="K773" s="257"/>
      <c r="L773" s="27"/>
      <c r="M773" s="266"/>
      <c r="N773" s="266"/>
    </row>
    <row r="774" spans="1:14" s="363" customFormat="1" ht="15">
      <c r="A774" s="252"/>
      <c r="B774" s="260"/>
      <c r="C774" s="252"/>
      <c r="D774" s="48"/>
      <c r="E774" s="48"/>
      <c r="F774" s="49"/>
      <c r="G774" s="49"/>
      <c r="H774" s="264"/>
      <c r="I774" s="260"/>
      <c r="J774" s="260"/>
      <c r="K774" s="257"/>
      <c r="L774" s="27"/>
      <c r="M774" s="266"/>
      <c r="N774" s="266"/>
    </row>
    <row r="775" spans="1:14" s="363" customFormat="1" ht="15">
      <c r="A775" s="252"/>
      <c r="B775" s="260"/>
      <c r="C775" s="252"/>
      <c r="D775" s="48"/>
      <c r="E775" s="48"/>
      <c r="F775" s="49"/>
      <c r="G775" s="49"/>
      <c r="H775" s="264"/>
      <c r="I775" s="260"/>
      <c r="J775" s="260"/>
      <c r="K775" s="257"/>
      <c r="L775" s="27"/>
      <c r="M775" s="266"/>
      <c r="N775" s="266"/>
    </row>
    <row r="776" spans="1:14" s="363" customFormat="1" ht="15">
      <c r="A776" s="252"/>
      <c r="B776" s="260"/>
      <c r="C776" s="252"/>
      <c r="D776" s="48"/>
      <c r="E776" s="48"/>
      <c r="F776" s="49"/>
      <c r="G776" s="49"/>
      <c r="H776" s="264"/>
      <c r="I776" s="260"/>
      <c r="J776" s="260"/>
      <c r="K776" s="257"/>
      <c r="L776" s="27"/>
      <c r="M776" s="266"/>
      <c r="N776" s="266"/>
    </row>
    <row r="777" spans="1:14" s="363" customFormat="1" ht="15">
      <c r="A777" s="252"/>
      <c r="B777" s="260"/>
      <c r="C777" s="252"/>
      <c r="D777" s="48"/>
      <c r="E777" s="48"/>
      <c r="F777" s="49"/>
      <c r="G777" s="49"/>
      <c r="H777" s="264"/>
      <c r="I777" s="260"/>
      <c r="J777" s="260"/>
      <c r="K777" s="257"/>
      <c r="L777" s="27"/>
      <c r="M777" s="266"/>
      <c r="N777" s="266"/>
    </row>
    <row r="778" spans="1:14" s="363" customFormat="1" ht="15">
      <c r="A778" s="252"/>
      <c r="B778" s="260"/>
      <c r="C778" s="252"/>
      <c r="D778" s="48"/>
      <c r="E778" s="48"/>
      <c r="F778" s="49"/>
      <c r="G778" s="49"/>
      <c r="H778" s="264"/>
      <c r="I778" s="260"/>
      <c r="J778" s="260"/>
      <c r="K778" s="257"/>
      <c r="L778" s="27"/>
      <c r="M778" s="266"/>
      <c r="N778" s="266"/>
    </row>
    <row r="779" spans="1:14" s="363" customFormat="1" ht="15">
      <c r="A779" s="252"/>
      <c r="B779" s="260"/>
      <c r="C779" s="252"/>
      <c r="D779" s="48"/>
      <c r="E779" s="48"/>
      <c r="F779" s="49"/>
      <c r="G779" s="49"/>
      <c r="H779" s="264"/>
      <c r="I779" s="260"/>
      <c r="J779" s="260"/>
      <c r="K779" s="257"/>
      <c r="L779" s="27"/>
      <c r="M779" s="266"/>
      <c r="N779" s="266"/>
    </row>
    <row r="780" spans="1:14" s="363" customFormat="1" ht="15">
      <c r="A780" s="252"/>
      <c r="B780" s="260"/>
      <c r="C780" s="252"/>
      <c r="D780" s="48"/>
      <c r="E780" s="48"/>
      <c r="F780" s="49"/>
      <c r="G780" s="49"/>
      <c r="H780" s="264"/>
      <c r="I780" s="260"/>
      <c r="J780" s="260"/>
      <c r="K780" s="257"/>
      <c r="L780" s="27"/>
      <c r="M780" s="266"/>
      <c r="N780" s="266"/>
    </row>
    <row r="781" spans="1:14" s="363" customFormat="1" ht="15">
      <c r="A781" s="252"/>
      <c r="B781" s="260"/>
      <c r="C781" s="252"/>
      <c r="D781" s="48"/>
      <c r="E781" s="48"/>
      <c r="F781" s="49"/>
      <c r="G781" s="49"/>
      <c r="H781" s="264"/>
      <c r="I781" s="260"/>
      <c r="J781" s="260"/>
      <c r="K781" s="257"/>
      <c r="L781" s="27"/>
      <c r="M781" s="266"/>
      <c r="N781" s="266"/>
    </row>
    <row r="782" spans="1:14" s="363" customFormat="1" ht="15">
      <c r="A782" s="252"/>
      <c r="B782" s="260"/>
      <c r="C782" s="252"/>
      <c r="D782" s="48"/>
      <c r="E782" s="48"/>
      <c r="F782" s="49"/>
      <c r="G782" s="49"/>
      <c r="H782" s="264"/>
      <c r="I782" s="260"/>
      <c r="J782" s="260"/>
      <c r="K782" s="257"/>
      <c r="L782" s="27"/>
      <c r="M782" s="266"/>
      <c r="N782" s="266"/>
    </row>
    <row r="783" spans="1:14" s="363" customFormat="1" ht="15">
      <c r="A783" s="252"/>
      <c r="B783" s="260"/>
      <c r="C783" s="252"/>
      <c r="D783" s="48"/>
      <c r="E783" s="48"/>
      <c r="F783" s="49"/>
      <c r="G783" s="49"/>
      <c r="H783" s="264"/>
      <c r="I783" s="260"/>
      <c r="J783" s="260"/>
      <c r="K783" s="257"/>
      <c r="L783" s="27"/>
      <c r="M783" s="266"/>
      <c r="N783" s="266"/>
    </row>
    <row r="784" spans="1:14" s="363" customFormat="1" ht="15">
      <c r="A784" s="252"/>
      <c r="B784" s="260"/>
      <c r="C784" s="252"/>
      <c r="D784" s="48"/>
      <c r="E784" s="48"/>
      <c r="F784" s="49"/>
      <c r="G784" s="49"/>
      <c r="H784" s="264"/>
      <c r="I784" s="260"/>
      <c r="J784" s="260"/>
      <c r="K784" s="257"/>
      <c r="L784" s="27"/>
      <c r="M784" s="266"/>
      <c r="N784" s="266"/>
    </row>
    <row r="785" spans="1:14" s="363" customFormat="1" ht="15">
      <c r="A785" s="252"/>
      <c r="B785" s="260"/>
      <c r="C785" s="252"/>
      <c r="D785" s="48"/>
      <c r="E785" s="48"/>
      <c r="F785" s="49"/>
      <c r="G785" s="49"/>
      <c r="H785" s="264"/>
      <c r="I785" s="260"/>
      <c r="J785" s="260"/>
      <c r="K785" s="257"/>
      <c r="L785" s="27"/>
      <c r="M785" s="266"/>
      <c r="N785" s="266"/>
    </row>
    <row r="786" spans="1:14" s="363" customFormat="1" ht="15">
      <c r="A786" s="252"/>
      <c r="B786" s="260"/>
      <c r="C786" s="252"/>
      <c r="D786" s="48"/>
      <c r="E786" s="48"/>
      <c r="F786" s="49"/>
      <c r="G786" s="49"/>
      <c r="H786" s="264"/>
      <c r="I786" s="260"/>
      <c r="J786" s="260"/>
      <c r="K786" s="257"/>
      <c r="L786" s="27"/>
      <c r="M786" s="266"/>
      <c r="N786" s="266"/>
    </row>
    <row r="787" spans="1:14" s="363" customFormat="1" ht="15">
      <c r="A787" s="252"/>
      <c r="B787" s="260"/>
      <c r="C787" s="252"/>
      <c r="D787" s="48"/>
      <c r="E787" s="48"/>
      <c r="F787" s="49"/>
      <c r="G787" s="49"/>
      <c r="H787" s="264"/>
      <c r="I787" s="260"/>
      <c r="J787" s="260"/>
      <c r="K787" s="257"/>
      <c r="L787" s="27"/>
      <c r="M787" s="266"/>
      <c r="N787" s="266"/>
    </row>
    <row r="788" spans="1:14" s="363" customFormat="1" ht="15">
      <c r="A788" s="252"/>
      <c r="B788" s="46"/>
      <c r="C788" s="252"/>
      <c r="D788" s="48"/>
      <c r="E788" s="48"/>
      <c r="F788" s="43"/>
      <c r="G788" s="43"/>
      <c r="H788" s="243"/>
      <c r="I788" s="46"/>
      <c r="J788" s="46"/>
      <c r="K788" s="257"/>
      <c r="L788" s="257"/>
      <c r="M788" s="258"/>
      <c r="N788" s="258"/>
    </row>
    <row r="789" spans="1:14" s="363" customFormat="1" ht="15">
      <c r="A789" s="252"/>
      <c r="B789" s="38"/>
      <c r="C789" s="252"/>
      <c r="D789" s="139"/>
      <c r="E789" s="139"/>
      <c r="F789" s="137"/>
      <c r="G789" s="137"/>
      <c r="H789" s="275"/>
      <c r="I789" s="38"/>
      <c r="J789" s="38"/>
      <c r="K789" s="257"/>
      <c r="L789" s="27"/>
      <c r="M789" s="271"/>
      <c r="N789" s="271"/>
    </row>
    <row r="790" spans="1:14" s="363" customFormat="1" ht="15">
      <c r="A790" s="27"/>
      <c r="B790" s="27"/>
      <c r="C790" s="252"/>
      <c r="D790" s="250"/>
      <c r="E790" s="250"/>
      <c r="F790" s="251"/>
      <c r="G790" s="251"/>
      <c r="H790" s="281"/>
      <c r="I790" s="27"/>
      <c r="J790" s="27"/>
      <c r="K790" s="257"/>
      <c r="L790" s="252"/>
      <c r="M790" s="58"/>
      <c r="N790" s="58"/>
    </row>
    <row r="791" spans="1:14" s="363" customFormat="1" ht="15">
      <c r="A791" s="261"/>
      <c r="B791" s="260"/>
      <c r="C791" s="257"/>
      <c r="D791" s="260"/>
      <c r="E791" s="257"/>
      <c r="F791" s="156"/>
      <c r="G791" s="156"/>
      <c r="H791" s="257"/>
      <c r="I791" s="257"/>
      <c r="J791" s="257"/>
      <c r="K791" s="257"/>
      <c r="L791" s="252"/>
      <c r="M791" s="261"/>
      <c r="N791" s="257"/>
    </row>
    <row r="792" spans="1:14" s="363" customFormat="1" ht="15">
      <c r="A792" s="261"/>
      <c r="B792" s="260"/>
      <c r="C792" s="257"/>
      <c r="D792" s="260"/>
      <c r="E792" s="257"/>
      <c r="F792" s="156"/>
      <c r="G792" s="156"/>
      <c r="H792" s="257"/>
      <c r="I792" s="257"/>
      <c r="J792" s="257"/>
      <c r="K792" s="257"/>
      <c r="L792" s="252"/>
      <c r="M792" s="261"/>
      <c r="N792" s="257"/>
    </row>
    <row r="793" spans="1:14" s="363" customFormat="1" ht="15">
      <c r="A793" s="261"/>
      <c r="B793" s="260"/>
      <c r="C793" s="257"/>
      <c r="D793" s="260"/>
      <c r="E793" s="257"/>
      <c r="F793" s="156"/>
      <c r="G793" s="156"/>
      <c r="H793" s="257"/>
      <c r="I793" s="257"/>
      <c r="J793" s="257"/>
      <c r="K793" s="257"/>
      <c r="L793" s="252"/>
      <c r="M793" s="261"/>
      <c r="N793" s="257"/>
    </row>
    <row r="794" spans="1:14" s="363" customFormat="1" ht="15">
      <c r="A794" s="252"/>
      <c r="B794" s="257"/>
      <c r="C794" s="252"/>
      <c r="D794" s="250"/>
      <c r="E794" s="250"/>
      <c r="F794" s="251"/>
      <c r="G794" s="251"/>
      <c r="H794" s="188"/>
      <c r="I794" s="257"/>
      <c r="J794" s="257"/>
      <c r="K794" s="257"/>
      <c r="L794" s="27"/>
      <c r="M794" s="268"/>
      <c r="N794" s="268"/>
    </row>
    <row r="795" spans="1:14" s="363" customFormat="1" ht="15">
      <c r="A795" s="27"/>
      <c r="B795" s="27"/>
      <c r="C795" s="252"/>
      <c r="D795" s="250"/>
      <c r="E795" s="250"/>
      <c r="F795" s="43"/>
      <c r="G795" s="43"/>
      <c r="H795" s="27"/>
      <c r="I795" s="27"/>
      <c r="J795" s="27"/>
      <c r="K795" s="257"/>
      <c r="L795" s="27"/>
      <c r="M795" s="58"/>
      <c r="N795" s="58"/>
    </row>
    <row r="796" spans="1:14" s="363" customFormat="1" ht="15">
      <c r="A796" s="143"/>
      <c r="B796" s="143"/>
      <c r="C796" s="252"/>
      <c r="D796" s="260"/>
      <c r="E796" s="261"/>
      <c r="F796" s="151"/>
      <c r="G796" s="151"/>
      <c r="H796" s="264"/>
      <c r="I796" s="264"/>
      <c r="J796" s="264"/>
      <c r="K796" s="260"/>
      <c r="L796" s="257"/>
      <c r="M796" s="269"/>
      <c r="N796" s="269"/>
    </row>
    <row r="797" spans="1:14" s="363" customFormat="1" ht="15">
      <c r="A797" s="143"/>
      <c r="B797" s="143"/>
      <c r="C797" s="257"/>
      <c r="D797" s="260"/>
      <c r="E797" s="261"/>
      <c r="F797" s="151"/>
      <c r="G797" s="151"/>
      <c r="H797" s="264"/>
      <c r="I797" s="264"/>
      <c r="J797" s="264"/>
      <c r="K797" s="260"/>
      <c r="L797" s="257"/>
      <c r="M797" s="269"/>
      <c r="N797" s="269"/>
    </row>
    <row r="798" spans="1:14" s="363" customFormat="1" ht="15">
      <c r="A798" s="143"/>
      <c r="B798" s="143"/>
      <c r="C798" s="257"/>
      <c r="D798" s="260"/>
      <c r="E798" s="261"/>
      <c r="F798" s="151"/>
      <c r="G798" s="151"/>
      <c r="H798" s="264"/>
      <c r="I798" s="264"/>
      <c r="J798" s="264"/>
      <c r="K798" s="260"/>
      <c r="L798" s="257"/>
      <c r="M798" s="269"/>
      <c r="N798" s="269"/>
    </row>
    <row r="799" spans="1:14" s="363" customFormat="1" ht="15">
      <c r="A799" s="143"/>
      <c r="B799" s="143"/>
      <c r="C799" s="254"/>
      <c r="D799" s="260"/>
      <c r="E799" s="261"/>
      <c r="F799" s="151"/>
      <c r="G799" s="151"/>
      <c r="H799" s="241"/>
      <c r="I799" s="264"/>
      <c r="J799" s="264"/>
      <c r="K799" s="260"/>
      <c r="L799" s="257"/>
      <c r="M799" s="268"/>
      <c r="N799" s="268"/>
    </row>
    <row r="800" spans="1:14" s="363" customFormat="1" ht="15">
      <c r="A800" s="261"/>
      <c r="B800" s="260"/>
      <c r="C800" s="257"/>
      <c r="D800" s="260"/>
      <c r="E800" s="257"/>
      <c r="F800" s="156"/>
      <c r="G800" s="156"/>
      <c r="H800" s="257"/>
      <c r="I800" s="257"/>
      <c r="J800" s="257"/>
      <c r="K800" s="257"/>
      <c r="L800" s="252"/>
      <c r="M800" s="261"/>
      <c r="N800" s="257"/>
    </row>
    <row r="801" spans="1:14" s="363" customFormat="1" ht="15">
      <c r="A801" s="261"/>
      <c r="B801" s="260"/>
      <c r="C801" s="257"/>
      <c r="D801" s="260"/>
      <c r="E801" s="257"/>
      <c r="F801" s="156"/>
      <c r="G801" s="156"/>
      <c r="H801" s="257"/>
      <c r="I801" s="257"/>
      <c r="J801" s="257"/>
      <c r="K801" s="257"/>
      <c r="L801" s="252"/>
      <c r="M801" s="261"/>
      <c r="N801" s="257"/>
    </row>
    <row r="802" spans="1:14" s="363" customFormat="1" ht="15">
      <c r="A802" s="261"/>
      <c r="B802" s="260"/>
      <c r="C802" s="257"/>
      <c r="D802" s="260"/>
      <c r="E802" s="257"/>
      <c r="F802" s="156"/>
      <c r="G802" s="156"/>
      <c r="H802" s="257"/>
      <c r="I802" s="257"/>
      <c r="J802" s="257"/>
      <c r="K802" s="257"/>
      <c r="L802" s="252"/>
      <c r="M802" s="261"/>
      <c r="N802" s="257"/>
    </row>
    <row r="803" spans="1:14" s="363" customFormat="1" ht="15">
      <c r="A803" s="143"/>
      <c r="B803" s="143"/>
      <c r="C803" s="33"/>
      <c r="D803" s="250"/>
      <c r="E803" s="209"/>
      <c r="F803" s="151"/>
      <c r="G803" s="151"/>
      <c r="H803" s="257"/>
      <c r="I803" s="257"/>
      <c r="J803" s="188"/>
      <c r="K803" s="260"/>
      <c r="L803" s="257"/>
      <c r="M803" s="250"/>
      <c r="N803" s="258"/>
    </row>
    <row r="804" spans="1:14" s="363" customFormat="1" ht="15">
      <c r="A804" s="55"/>
      <c r="B804" s="252"/>
      <c r="C804" s="252"/>
      <c r="D804" s="250"/>
      <c r="E804" s="250"/>
      <c r="F804" s="251"/>
      <c r="G804" s="251"/>
      <c r="H804" s="200"/>
      <c r="I804" s="252"/>
      <c r="J804" s="252"/>
      <c r="K804" s="257"/>
      <c r="L804" s="27"/>
      <c r="M804" s="268"/>
      <c r="N804" s="268"/>
    </row>
    <row r="805" spans="1:14" s="363" customFormat="1" ht="15">
      <c r="A805" s="143"/>
      <c r="B805" s="143"/>
      <c r="C805" s="252"/>
      <c r="D805" s="257"/>
      <c r="E805" s="209"/>
      <c r="F805" s="218"/>
      <c r="G805" s="218"/>
      <c r="H805" s="262"/>
      <c r="I805" s="262"/>
      <c r="J805" s="188"/>
      <c r="K805" s="262"/>
      <c r="L805" s="257"/>
      <c r="M805" s="261"/>
      <c r="N805" s="258"/>
    </row>
    <row r="806" spans="1:14" s="363" customFormat="1" ht="15">
      <c r="A806" s="143"/>
      <c r="B806" s="143"/>
      <c r="C806" s="33"/>
      <c r="D806" s="250"/>
      <c r="E806" s="209"/>
      <c r="F806" s="151"/>
      <c r="G806" s="151"/>
      <c r="H806" s="257"/>
      <c r="I806" s="257"/>
      <c r="J806" s="188"/>
      <c r="K806" s="260"/>
      <c r="L806" s="257"/>
      <c r="M806" s="250"/>
      <c r="N806" s="258"/>
    </row>
    <row r="807" spans="1:14" s="363" customFormat="1" ht="15">
      <c r="A807" s="143"/>
      <c r="B807" s="143"/>
      <c r="C807" s="33"/>
      <c r="D807" s="250"/>
      <c r="E807" s="209"/>
      <c r="F807" s="151"/>
      <c r="G807" s="151"/>
      <c r="H807" s="257"/>
      <c r="I807" s="257"/>
      <c r="J807" s="188"/>
      <c r="K807" s="260"/>
      <c r="L807" s="257"/>
      <c r="M807" s="250"/>
      <c r="N807" s="258"/>
    </row>
    <row r="808" spans="1:14" s="363" customFormat="1" ht="15">
      <c r="A808" s="143"/>
      <c r="B808" s="254"/>
      <c r="C808" s="33"/>
      <c r="D808" s="250"/>
      <c r="E808" s="209"/>
      <c r="F808" s="151"/>
      <c r="G808" s="151"/>
      <c r="H808" s="257"/>
      <c r="I808" s="257"/>
      <c r="J808" s="188"/>
      <c r="K808" s="260"/>
      <c r="L808" s="257"/>
      <c r="M808" s="250"/>
      <c r="N808" s="258"/>
    </row>
    <row r="809" spans="1:14" s="363" customFormat="1" ht="15">
      <c r="A809" s="143"/>
      <c r="B809" s="143"/>
      <c r="C809" s="33"/>
      <c r="D809" s="250"/>
      <c r="E809" s="209"/>
      <c r="F809" s="151"/>
      <c r="G809" s="151"/>
      <c r="H809" s="257"/>
      <c r="I809" s="257"/>
      <c r="J809" s="188"/>
      <c r="K809" s="260"/>
      <c r="L809" s="257"/>
      <c r="M809" s="250"/>
      <c r="N809" s="258"/>
    </row>
    <row r="810" spans="1:14" s="363" customFormat="1" ht="15">
      <c r="A810" s="143"/>
      <c r="B810" s="143"/>
      <c r="C810" s="33"/>
      <c r="D810" s="250"/>
      <c r="E810" s="209"/>
      <c r="F810" s="151"/>
      <c r="G810" s="151"/>
      <c r="H810" s="257"/>
      <c r="I810" s="257"/>
      <c r="J810" s="188"/>
      <c r="K810" s="260"/>
      <c r="L810" s="257"/>
      <c r="M810" s="250"/>
      <c r="N810" s="258"/>
    </row>
    <row r="811" spans="1:14" s="363" customFormat="1" ht="15">
      <c r="A811" s="143"/>
      <c r="B811" s="143"/>
      <c r="C811" s="33"/>
      <c r="D811" s="250"/>
      <c r="E811" s="209"/>
      <c r="F811" s="151"/>
      <c r="G811" s="151"/>
      <c r="H811" s="257"/>
      <c r="I811" s="257"/>
      <c r="J811" s="188"/>
      <c r="K811" s="260"/>
      <c r="L811" s="257"/>
      <c r="M811" s="250"/>
      <c r="N811" s="258"/>
    </row>
    <row r="812" spans="1:14" s="363" customFormat="1" ht="15">
      <c r="A812" s="143"/>
      <c r="B812" s="254"/>
      <c r="C812" s="33"/>
      <c r="D812" s="250"/>
      <c r="E812" s="209"/>
      <c r="F812" s="151"/>
      <c r="G812" s="151"/>
      <c r="H812" s="257"/>
      <c r="I812" s="257"/>
      <c r="J812" s="188"/>
      <c r="K812" s="260"/>
      <c r="L812" s="257"/>
      <c r="M812" s="250"/>
      <c r="N812" s="258"/>
    </row>
    <row r="813" spans="1:14" s="363" customFormat="1" ht="15">
      <c r="A813" s="143"/>
      <c r="B813" s="143"/>
      <c r="C813" s="33"/>
      <c r="D813" s="250"/>
      <c r="E813" s="209"/>
      <c r="F813" s="151"/>
      <c r="G813" s="151"/>
      <c r="H813" s="257"/>
      <c r="I813" s="257"/>
      <c r="J813" s="188"/>
      <c r="K813" s="260"/>
      <c r="L813" s="257"/>
      <c r="M813" s="250"/>
      <c r="N813" s="258"/>
    </row>
    <row r="814" spans="1:14" s="363" customFormat="1" ht="15">
      <c r="A814" s="27"/>
      <c r="B814" s="27"/>
      <c r="C814" s="252"/>
      <c r="D814" s="250"/>
      <c r="E814" s="250"/>
      <c r="F814" s="251"/>
      <c r="G814" s="251"/>
      <c r="H814" s="281"/>
      <c r="I814" s="27"/>
      <c r="J814" s="27"/>
      <c r="K814" s="257"/>
      <c r="L814" s="27"/>
      <c r="M814" s="58"/>
      <c r="N814" s="58"/>
    </row>
    <row r="815" spans="1:14" s="363" customFormat="1" ht="15">
      <c r="A815" s="252"/>
      <c r="B815" s="257"/>
      <c r="C815" s="252"/>
      <c r="D815" s="29"/>
      <c r="E815" s="29"/>
      <c r="F815" s="251"/>
      <c r="G815" s="251"/>
      <c r="H815" s="188"/>
      <c r="I815" s="257"/>
      <c r="J815" s="257"/>
      <c r="K815" s="257"/>
      <c r="L815" s="27"/>
      <c r="M815" s="268"/>
      <c r="N815" s="268"/>
    </row>
    <row r="816" spans="1:14" s="363" customFormat="1" ht="15">
      <c r="A816" s="54"/>
      <c r="B816" s="257"/>
      <c r="C816" s="252"/>
      <c r="D816" s="250"/>
      <c r="E816" s="250"/>
      <c r="F816" s="251"/>
      <c r="G816" s="251"/>
      <c r="H816" s="188"/>
      <c r="I816" s="257"/>
      <c r="J816" s="257"/>
      <c r="K816" s="257"/>
      <c r="L816" s="27"/>
      <c r="M816" s="58"/>
      <c r="N816" s="58"/>
    </row>
    <row r="817" spans="1:14" s="363" customFormat="1" ht="15">
      <c r="A817" s="252"/>
      <c r="B817" s="252"/>
      <c r="C817" s="257"/>
      <c r="D817" s="48"/>
      <c r="E817" s="48"/>
      <c r="F817" s="257"/>
      <c r="G817" s="257"/>
      <c r="H817" s="252"/>
      <c r="I817" s="252"/>
      <c r="J817" s="252"/>
      <c r="K817" s="257"/>
      <c r="L817" s="252"/>
      <c r="M817" s="268"/>
      <c r="N817" s="268"/>
    </row>
    <row r="818" spans="1:14" s="363" customFormat="1" ht="15">
      <c r="A818" s="261"/>
      <c r="B818" s="260"/>
      <c r="C818" s="257"/>
      <c r="D818" s="260"/>
      <c r="E818" s="257"/>
      <c r="F818" s="156"/>
      <c r="G818" s="156"/>
      <c r="H818" s="257"/>
      <c r="I818" s="257"/>
      <c r="J818" s="257"/>
      <c r="K818" s="257"/>
      <c r="L818" s="252"/>
      <c r="M818" s="261"/>
      <c r="N818" s="257"/>
    </row>
    <row r="819" spans="1:14" s="363" customFormat="1" ht="15">
      <c r="A819" s="143"/>
      <c r="B819" s="143"/>
      <c r="C819" s="252"/>
      <c r="D819" s="254"/>
      <c r="E819" s="261"/>
      <c r="F819" s="151"/>
      <c r="G819" s="151"/>
      <c r="H819" s="277"/>
      <c r="I819" s="254"/>
      <c r="J819" s="254"/>
      <c r="K819" s="257"/>
      <c r="L819" s="257"/>
      <c r="M819" s="273"/>
      <c r="N819" s="273"/>
    </row>
    <row r="820" spans="1:14" s="363" customFormat="1" ht="15">
      <c r="A820" s="27"/>
      <c r="B820" s="27"/>
      <c r="C820" s="252"/>
      <c r="D820" s="250"/>
      <c r="E820" s="250"/>
      <c r="F820" s="251"/>
      <c r="G820" s="251"/>
      <c r="H820" s="281"/>
      <c r="I820" s="27"/>
      <c r="J820" s="27"/>
      <c r="K820" s="257"/>
      <c r="L820" s="27"/>
      <c r="M820" s="58"/>
      <c r="N820" s="58"/>
    </row>
    <row r="821" spans="1:14" s="363" customFormat="1" ht="15">
      <c r="A821" s="252"/>
      <c r="B821" s="257"/>
      <c r="C821" s="252"/>
      <c r="D821" s="48"/>
      <c r="E821" s="48"/>
      <c r="F821" s="49"/>
      <c r="G821" s="49"/>
      <c r="H821" s="188"/>
      <c r="I821" s="257"/>
      <c r="J821" s="257"/>
      <c r="K821" s="257"/>
      <c r="L821" s="257"/>
      <c r="M821" s="266"/>
      <c r="N821" s="266"/>
    </row>
    <row r="822" spans="1:14" s="363" customFormat="1" ht="15">
      <c r="A822" s="261"/>
      <c r="B822" s="260"/>
      <c r="C822" s="257"/>
      <c r="D822" s="260"/>
      <c r="E822" s="257"/>
      <c r="F822" s="156"/>
      <c r="G822" s="156"/>
      <c r="H822" s="257"/>
      <c r="I822" s="257"/>
      <c r="J822" s="257"/>
      <c r="K822" s="257"/>
      <c r="L822" s="252"/>
      <c r="M822" s="261"/>
      <c r="N822" s="257"/>
    </row>
    <row r="823" spans="1:14" s="363" customFormat="1" ht="15">
      <c r="A823" s="252"/>
      <c r="B823" s="252"/>
      <c r="C823" s="257"/>
      <c r="D823" s="48"/>
      <c r="E823" s="48"/>
      <c r="F823" s="257"/>
      <c r="G823" s="257"/>
      <c r="H823" s="252"/>
      <c r="I823" s="252"/>
      <c r="J823" s="252"/>
      <c r="K823" s="257"/>
      <c r="L823" s="252"/>
      <c r="M823" s="268"/>
      <c r="N823" s="268"/>
    </row>
    <row r="824" spans="1:14" s="363" customFormat="1" ht="15">
      <c r="A824" s="261"/>
      <c r="B824" s="260"/>
      <c r="C824" s="257"/>
      <c r="D824" s="260"/>
      <c r="E824" s="257"/>
      <c r="F824" s="156"/>
      <c r="G824" s="156"/>
      <c r="H824" s="257"/>
      <c r="I824" s="257"/>
      <c r="J824" s="257"/>
      <c r="K824" s="257"/>
      <c r="L824" s="252"/>
      <c r="M824" s="261"/>
      <c r="N824" s="257"/>
    </row>
    <row r="825" spans="1:14" s="363" customFormat="1" ht="15">
      <c r="A825" s="252"/>
      <c r="B825" s="252"/>
      <c r="C825" s="257"/>
      <c r="D825" s="48"/>
      <c r="E825" s="48"/>
      <c r="F825" s="257"/>
      <c r="G825" s="257"/>
      <c r="H825" s="252"/>
      <c r="I825" s="252"/>
      <c r="J825" s="252"/>
      <c r="K825" s="257"/>
      <c r="L825" s="252"/>
      <c r="M825" s="268"/>
      <c r="N825" s="268"/>
    </row>
    <row r="826" spans="1:14" s="363" customFormat="1" ht="15">
      <c r="A826" s="252"/>
      <c r="B826" s="257"/>
      <c r="C826" s="252"/>
      <c r="D826" s="250"/>
      <c r="E826" s="250"/>
      <c r="F826" s="50"/>
      <c r="G826" s="50"/>
      <c r="H826" s="188"/>
      <c r="I826" s="257"/>
      <c r="J826" s="257"/>
      <c r="K826" s="257"/>
      <c r="L826" s="27"/>
      <c r="M826" s="58"/>
      <c r="N826" s="58"/>
    </row>
    <row r="827" spans="1:14" s="363" customFormat="1" ht="15">
      <c r="A827" s="143"/>
      <c r="B827" s="143"/>
      <c r="C827" s="252"/>
      <c r="D827" s="257"/>
      <c r="E827" s="209"/>
      <c r="F827" s="151"/>
      <c r="G827" s="151"/>
      <c r="H827" s="262"/>
      <c r="I827" s="262"/>
      <c r="J827" s="262"/>
      <c r="K827" s="260"/>
      <c r="L827" s="257"/>
      <c r="M827" s="261"/>
      <c r="N827" s="144"/>
    </row>
    <row r="828" spans="1:14" s="363" customFormat="1" ht="15">
      <c r="A828" s="143"/>
      <c r="B828" s="143"/>
      <c r="C828" s="252"/>
      <c r="D828" s="257"/>
      <c r="E828" s="209"/>
      <c r="F828" s="151"/>
      <c r="G828" s="151"/>
      <c r="H828" s="262"/>
      <c r="I828" s="262"/>
      <c r="J828" s="188"/>
      <c r="K828" s="262"/>
      <c r="L828" s="257"/>
      <c r="M828" s="261"/>
      <c r="N828" s="258"/>
    </row>
    <row r="829" spans="1:14" s="363" customFormat="1" ht="15">
      <c r="A829" s="252"/>
      <c r="B829" s="252"/>
      <c r="C829" s="257"/>
      <c r="D829" s="48"/>
      <c r="E829" s="181"/>
      <c r="F829" s="257"/>
      <c r="G829" s="257"/>
      <c r="H829" s="252"/>
      <c r="I829" s="252"/>
      <c r="J829" s="252"/>
      <c r="K829" s="257"/>
      <c r="L829" s="252"/>
      <c r="M829" s="268"/>
      <c r="N829" s="268"/>
    </row>
    <row r="830" spans="1:14" s="363" customFormat="1" ht="15">
      <c r="A830" s="252"/>
      <c r="B830" s="252"/>
      <c r="C830" s="257"/>
      <c r="D830" s="48"/>
      <c r="E830" s="48"/>
      <c r="F830" s="257"/>
      <c r="G830" s="257"/>
      <c r="H830" s="252"/>
      <c r="I830" s="252"/>
      <c r="J830" s="252"/>
      <c r="K830" s="257"/>
      <c r="L830" s="252"/>
      <c r="M830" s="268"/>
      <c r="N830" s="268"/>
    </row>
    <row r="831" spans="1:14" s="363" customFormat="1" ht="15">
      <c r="A831" s="252"/>
      <c r="B831" s="252"/>
      <c r="C831" s="257"/>
      <c r="D831" s="48"/>
      <c r="E831" s="48"/>
      <c r="F831" s="257"/>
      <c r="G831" s="257"/>
      <c r="H831" s="252"/>
      <c r="I831" s="252"/>
      <c r="J831" s="252"/>
      <c r="K831" s="257"/>
      <c r="L831" s="252"/>
      <c r="M831" s="268"/>
      <c r="N831" s="268"/>
    </row>
    <row r="832" spans="1:14" s="363" customFormat="1" ht="15">
      <c r="A832" s="261"/>
      <c r="B832" s="260"/>
      <c r="C832" s="257"/>
      <c r="D832" s="260"/>
      <c r="E832" s="257"/>
      <c r="F832" s="156"/>
      <c r="G832" s="156"/>
      <c r="H832" s="257"/>
      <c r="I832" s="257"/>
      <c r="J832" s="257"/>
      <c r="K832" s="257"/>
      <c r="L832" s="252"/>
      <c r="M832" s="261"/>
      <c r="N832" s="257"/>
    </row>
    <row r="833" spans="1:14" s="363" customFormat="1" ht="15">
      <c r="A833" s="261"/>
      <c r="B833" s="260"/>
      <c r="C833" s="257"/>
      <c r="D833" s="260"/>
      <c r="E833" s="257"/>
      <c r="F833" s="156"/>
      <c r="G833" s="156"/>
      <c r="H833" s="257"/>
      <c r="I833" s="257"/>
      <c r="J833" s="257"/>
      <c r="K833" s="257"/>
      <c r="L833" s="252"/>
      <c r="M833" s="261"/>
      <c r="N833" s="257"/>
    </row>
    <row r="834" spans="1:14" s="363" customFormat="1" ht="15">
      <c r="A834" s="54"/>
      <c r="B834" s="257"/>
      <c r="C834" s="252"/>
      <c r="D834" s="250"/>
      <c r="E834" s="250"/>
      <c r="F834" s="251"/>
      <c r="G834" s="251"/>
      <c r="H834" s="200"/>
      <c r="I834" s="252"/>
      <c r="J834" s="252"/>
      <c r="K834" s="257"/>
      <c r="L834" s="27"/>
      <c r="M834" s="58"/>
      <c r="N834" s="58"/>
    </row>
    <row r="835" spans="1:14" s="363" customFormat="1" ht="15">
      <c r="A835" s="261"/>
      <c r="B835" s="260"/>
      <c r="C835" s="257"/>
      <c r="D835" s="260"/>
      <c r="E835" s="257"/>
      <c r="F835" s="156"/>
      <c r="G835" s="156"/>
      <c r="H835" s="257"/>
      <c r="I835" s="257"/>
      <c r="J835" s="257"/>
      <c r="K835" s="257"/>
      <c r="L835" s="252"/>
      <c r="M835" s="261"/>
      <c r="N835" s="257"/>
    </row>
    <row r="836" spans="1:14" s="363" customFormat="1" ht="15">
      <c r="A836" s="252"/>
      <c r="B836" s="257"/>
      <c r="C836" s="252"/>
      <c r="D836" s="250"/>
      <c r="E836" s="250"/>
      <c r="F836" s="251"/>
      <c r="G836" s="251"/>
      <c r="H836" s="188"/>
      <c r="I836" s="257"/>
      <c r="J836" s="257"/>
      <c r="K836" s="257"/>
      <c r="L836" s="257"/>
      <c r="M836" s="268"/>
      <c r="N836" s="268"/>
    </row>
    <row r="837" spans="1:14" s="363" customFormat="1" ht="15">
      <c r="A837" s="261"/>
      <c r="B837" s="260"/>
      <c r="C837" s="257"/>
      <c r="D837" s="260"/>
      <c r="E837" s="257"/>
      <c r="F837" s="156"/>
      <c r="G837" s="156"/>
      <c r="H837" s="257"/>
      <c r="I837" s="257"/>
      <c r="J837" s="257"/>
      <c r="K837" s="257"/>
      <c r="L837" s="252"/>
      <c r="M837" s="261"/>
      <c r="N837" s="257"/>
    </row>
    <row r="838" spans="1:14" s="363" customFormat="1" ht="15">
      <c r="A838" s="261"/>
      <c r="B838" s="260"/>
      <c r="C838" s="257"/>
      <c r="D838" s="260"/>
      <c r="E838" s="257"/>
      <c r="F838" s="156"/>
      <c r="G838" s="156"/>
      <c r="H838" s="257"/>
      <c r="I838" s="257"/>
      <c r="J838" s="257"/>
      <c r="K838" s="257"/>
      <c r="L838" s="252"/>
      <c r="M838" s="261"/>
      <c r="N838" s="257"/>
    </row>
    <row r="839" spans="1:14" s="363" customFormat="1" ht="15">
      <c r="A839" s="27"/>
      <c r="B839" s="27"/>
      <c r="C839" s="252"/>
      <c r="D839" s="250"/>
      <c r="E839" s="250"/>
      <c r="F839" s="251"/>
      <c r="G839" s="251"/>
      <c r="H839" s="281"/>
      <c r="I839" s="27"/>
      <c r="J839" s="27"/>
      <c r="K839" s="257"/>
      <c r="L839" s="27"/>
      <c r="M839" s="58"/>
      <c r="N839" s="58"/>
    </row>
    <row r="840" spans="1:14" s="363" customFormat="1" ht="15">
      <c r="A840" s="261"/>
      <c r="B840" s="260"/>
      <c r="C840" s="257"/>
      <c r="D840" s="260"/>
      <c r="E840" s="257"/>
      <c r="F840" s="156"/>
      <c r="G840" s="156"/>
      <c r="H840" s="257"/>
      <c r="I840" s="257"/>
      <c r="J840" s="257"/>
      <c r="K840" s="257"/>
      <c r="L840" s="252"/>
      <c r="M840" s="261"/>
      <c r="N840" s="257"/>
    </row>
    <row r="841" spans="1:14" s="363" customFormat="1" ht="15">
      <c r="A841" s="27"/>
      <c r="B841" s="27"/>
      <c r="C841" s="252"/>
      <c r="D841" s="250"/>
      <c r="E841" s="250"/>
      <c r="F841" s="251"/>
      <c r="G841" s="251"/>
      <c r="H841" s="281"/>
      <c r="I841" s="27"/>
      <c r="J841" s="27"/>
      <c r="K841" s="257"/>
      <c r="L841" s="27"/>
      <c r="M841" s="58"/>
      <c r="N841" s="58"/>
    </row>
    <row r="842" spans="1:14" s="363" customFormat="1" ht="15">
      <c r="A842" s="27"/>
      <c r="B842" s="27"/>
      <c r="C842" s="252"/>
      <c r="D842" s="250"/>
      <c r="E842" s="250"/>
      <c r="F842" s="251"/>
      <c r="G842" s="251"/>
      <c r="H842" s="281"/>
      <c r="I842" s="27"/>
      <c r="J842" s="27"/>
      <c r="K842" s="257"/>
      <c r="L842" s="252"/>
      <c r="M842" s="58"/>
      <c r="N842" s="58"/>
    </row>
    <row r="843" spans="1:14" s="363" customFormat="1" ht="15">
      <c r="A843" s="261"/>
      <c r="B843" s="260"/>
      <c r="C843" s="257"/>
      <c r="D843" s="260"/>
      <c r="E843" s="257"/>
      <c r="F843" s="156"/>
      <c r="G843" s="156"/>
      <c r="H843" s="257"/>
      <c r="I843" s="257"/>
      <c r="J843" s="257"/>
      <c r="K843" s="257"/>
      <c r="L843" s="252"/>
      <c r="M843" s="261"/>
      <c r="N843" s="257"/>
    </row>
    <row r="844" spans="1:14" s="363" customFormat="1" ht="15">
      <c r="A844" s="261"/>
      <c r="B844" s="260"/>
      <c r="C844" s="257"/>
      <c r="D844" s="260"/>
      <c r="E844" s="257"/>
      <c r="F844" s="156"/>
      <c r="G844" s="156"/>
      <c r="H844" s="257"/>
      <c r="I844" s="257"/>
      <c r="J844" s="257"/>
      <c r="K844" s="257"/>
      <c r="L844" s="252"/>
      <c r="M844" s="261"/>
      <c r="N844" s="257"/>
    </row>
    <row r="845" spans="1:14" s="363" customFormat="1" ht="15">
      <c r="A845" s="143"/>
      <c r="B845" s="27"/>
      <c r="C845" s="252"/>
      <c r="D845" s="250"/>
      <c r="E845" s="250"/>
      <c r="F845" s="251"/>
      <c r="G845" s="251"/>
      <c r="H845" s="281"/>
      <c r="I845" s="247"/>
      <c r="J845" s="247"/>
      <c r="K845" s="257"/>
      <c r="L845" s="257"/>
      <c r="M845" s="58"/>
      <c r="N845" s="58"/>
    </row>
    <row r="846" spans="1:14" s="363" customFormat="1" ht="15">
      <c r="A846" s="261"/>
      <c r="B846" s="260"/>
      <c r="C846" s="257"/>
      <c r="D846" s="260"/>
      <c r="E846" s="257"/>
      <c r="F846" s="156"/>
      <c r="G846" s="156"/>
      <c r="H846" s="257"/>
      <c r="I846" s="257"/>
      <c r="J846" s="257"/>
      <c r="K846" s="257"/>
      <c r="L846" s="252"/>
      <c r="M846" s="261"/>
      <c r="N846" s="257"/>
    </row>
    <row r="847" spans="1:14" s="363" customFormat="1" ht="15">
      <c r="A847" s="261"/>
      <c r="B847" s="260"/>
      <c r="C847" s="257"/>
      <c r="D847" s="260"/>
      <c r="E847" s="257"/>
      <c r="F847" s="156"/>
      <c r="G847" s="156"/>
      <c r="H847" s="257"/>
      <c r="I847" s="257"/>
      <c r="J847" s="257"/>
      <c r="K847" s="257"/>
      <c r="L847" s="252"/>
      <c r="M847" s="261"/>
      <c r="N847" s="257"/>
    </row>
    <row r="848" spans="1:14" s="363" customFormat="1" ht="15">
      <c r="A848" s="252"/>
      <c r="B848" s="46"/>
      <c r="C848" s="252"/>
      <c r="D848" s="250"/>
      <c r="E848" s="250"/>
      <c r="F848" s="43"/>
      <c r="G848" s="43"/>
      <c r="H848" s="243"/>
      <c r="I848" s="46"/>
      <c r="J848" s="46"/>
      <c r="K848" s="257"/>
      <c r="L848" s="257"/>
      <c r="M848" s="258"/>
      <c r="N848" s="258"/>
    </row>
    <row r="849" spans="1:14" s="363" customFormat="1" ht="15">
      <c r="A849" s="261"/>
      <c r="B849" s="260"/>
      <c r="C849" s="257"/>
      <c r="D849" s="260"/>
      <c r="E849" s="257"/>
      <c r="F849" s="156"/>
      <c r="G849" s="156"/>
      <c r="H849" s="257"/>
      <c r="I849" s="257"/>
      <c r="J849" s="257"/>
      <c r="K849" s="257"/>
      <c r="L849" s="252"/>
      <c r="M849" s="261"/>
      <c r="N849" s="257"/>
    </row>
    <row r="850" spans="1:14" s="363" customFormat="1" ht="15">
      <c r="A850" s="261"/>
      <c r="B850" s="260"/>
      <c r="C850" s="257"/>
      <c r="D850" s="260"/>
      <c r="E850" s="257"/>
      <c r="F850" s="156"/>
      <c r="G850" s="156"/>
      <c r="H850" s="257"/>
      <c r="I850" s="257"/>
      <c r="J850" s="257"/>
      <c r="K850" s="257"/>
      <c r="L850" s="252"/>
      <c r="M850" s="261"/>
      <c r="N850" s="257"/>
    </row>
    <row r="851" spans="1:14" s="363" customFormat="1" ht="15">
      <c r="A851" s="261"/>
      <c r="B851" s="260"/>
      <c r="C851" s="257"/>
      <c r="D851" s="260"/>
      <c r="E851" s="257"/>
      <c r="F851" s="156"/>
      <c r="G851" s="156"/>
      <c r="H851" s="257"/>
      <c r="I851" s="257"/>
      <c r="J851" s="257"/>
      <c r="K851" s="257"/>
      <c r="L851" s="252"/>
      <c r="M851" s="261"/>
      <c r="N851" s="257"/>
    </row>
    <row r="852" spans="1:14" s="363" customFormat="1" ht="15">
      <c r="A852" s="261"/>
      <c r="B852" s="260"/>
      <c r="C852" s="257"/>
      <c r="D852" s="260"/>
      <c r="E852" s="257"/>
      <c r="F852" s="156"/>
      <c r="G852" s="156"/>
      <c r="H852" s="257"/>
      <c r="I852" s="257"/>
      <c r="J852" s="257"/>
      <c r="K852" s="257"/>
      <c r="L852" s="252"/>
      <c r="M852" s="261"/>
      <c r="N852" s="257"/>
    </row>
    <row r="853" spans="1:14" s="363" customFormat="1" ht="15">
      <c r="A853" s="261"/>
      <c r="B853" s="260"/>
      <c r="C853" s="257"/>
      <c r="D853" s="260"/>
      <c r="E853" s="257"/>
      <c r="F853" s="156"/>
      <c r="G853" s="156"/>
      <c r="H853" s="257"/>
      <c r="I853" s="257"/>
      <c r="J853" s="257"/>
      <c r="K853" s="257"/>
      <c r="L853" s="252"/>
      <c r="M853" s="261"/>
      <c r="N853" s="257"/>
    </row>
    <row r="854" spans="1:14" s="363" customFormat="1" ht="15">
      <c r="A854" s="143"/>
      <c r="B854" s="27"/>
      <c r="C854" s="252"/>
      <c r="D854" s="250"/>
      <c r="E854" s="250"/>
      <c r="F854" s="251"/>
      <c r="G854" s="251"/>
      <c r="H854" s="281"/>
      <c r="I854" s="247"/>
      <c r="J854" s="247"/>
      <c r="K854" s="257"/>
      <c r="L854" s="257"/>
      <c r="M854" s="58"/>
      <c r="N854" s="58"/>
    </row>
    <row r="855" spans="1:14" s="363" customFormat="1" ht="15">
      <c r="A855" s="261"/>
      <c r="B855" s="260"/>
      <c r="C855" s="257"/>
      <c r="D855" s="260"/>
      <c r="E855" s="257"/>
      <c r="F855" s="156"/>
      <c r="G855" s="156"/>
      <c r="H855" s="257"/>
      <c r="I855" s="257"/>
      <c r="J855" s="257"/>
      <c r="K855" s="257"/>
      <c r="L855" s="252"/>
      <c r="M855" s="261"/>
      <c r="N855" s="257"/>
    </row>
    <row r="856" spans="1:14" s="363" customFormat="1" ht="15">
      <c r="A856" s="261"/>
      <c r="B856" s="260"/>
      <c r="C856" s="257"/>
      <c r="D856" s="260"/>
      <c r="E856" s="257"/>
      <c r="F856" s="156"/>
      <c r="G856" s="156"/>
      <c r="H856" s="257"/>
      <c r="I856" s="257"/>
      <c r="J856" s="257"/>
      <c r="K856" s="257"/>
      <c r="L856" s="252"/>
      <c r="M856" s="261"/>
      <c r="N856" s="257"/>
    </row>
    <row r="857" spans="1:14" s="363" customFormat="1" ht="15">
      <c r="A857" s="27"/>
      <c r="B857" s="27"/>
      <c r="C857" s="252"/>
      <c r="D857" s="29"/>
      <c r="E857" s="29"/>
      <c r="F857" s="251"/>
      <c r="G857" s="251"/>
      <c r="H857" s="281"/>
      <c r="I857" s="27"/>
      <c r="J857" s="27"/>
      <c r="K857" s="257"/>
      <c r="L857" s="27"/>
      <c r="M857" s="58"/>
      <c r="N857" s="58"/>
    </row>
    <row r="858" spans="1:14" s="363" customFormat="1" ht="15">
      <c r="A858" s="261"/>
      <c r="B858" s="260"/>
      <c r="C858" s="257"/>
      <c r="D858" s="260"/>
      <c r="E858" s="257"/>
      <c r="F858" s="156"/>
      <c r="G858" s="156"/>
      <c r="H858" s="257"/>
      <c r="I858" s="257"/>
      <c r="J858" s="257"/>
      <c r="K858" s="257"/>
      <c r="L858" s="252"/>
      <c r="M858" s="261"/>
      <c r="N858" s="257"/>
    </row>
    <row r="859" spans="1:14" s="363" customFormat="1" ht="15">
      <c r="A859" s="261"/>
      <c r="B859" s="260"/>
      <c r="C859" s="257"/>
      <c r="D859" s="260"/>
      <c r="E859" s="257"/>
      <c r="F859" s="156"/>
      <c r="G859" s="156"/>
      <c r="H859" s="257"/>
      <c r="I859" s="257"/>
      <c r="J859" s="257"/>
      <c r="K859" s="257"/>
      <c r="L859" s="252"/>
      <c r="M859" s="261"/>
      <c r="N859" s="257"/>
    </row>
    <row r="860" spans="1:14" s="363" customFormat="1" ht="15">
      <c r="A860" s="252"/>
      <c r="B860" s="46"/>
      <c r="C860" s="252"/>
      <c r="D860" s="48"/>
      <c r="E860" s="181"/>
      <c r="F860" s="43"/>
      <c r="G860" s="43"/>
      <c r="H860" s="278"/>
      <c r="I860" s="46"/>
      <c r="J860" s="46"/>
      <c r="K860" s="257"/>
      <c r="L860" s="257"/>
      <c r="M860" s="266"/>
      <c r="N860" s="266"/>
    </row>
    <row r="861" spans="1:14" s="363" customFormat="1" ht="15">
      <c r="A861" s="257"/>
      <c r="B861" s="46"/>
      <c r="C861" s="257"/>
      <c r="D861" s="48"/>
      <c r="E861" s="48"/>
      <c r="F861" s="43"/>
      <c r="G861" s="43"/>
      <c r="H861" s="243"/>
      <c r="I861" s="46"/>
      <c r="J861" s="46"/>
      <c r="K861" s="257"/>
      <c r="L861" s="257"/>
      <c r="M861" s="266"/>
      <c r="N861" s="266"/>
    </row>
    <row r="862" spans="1:14" s="363" customFormat="1" ht="15">
      <c r="A862" s="261"/>
      <c r="B862" s="260"/>
      <c r="C862" s="257"/>
      <c r="D862" s="260"/>
      <c r="E862" s="257"/>
      <c r="F862" s="156"/>
      <c r="G862" s="156"/>
      <c r="H862" s="257"/>
      <c r="I862" s="257"/>
      <c r="J862" s="257"/>
      <c r="K862" s="257"/>
      <c r="L862" s="252"/>
      <c r="M862" s="261"/>
      <c r="N862" s="257"/>
    </row>
    <row r="863" spans="1:14" s="363" customFormat="1" ht="15">
      <c r="A863" s="252"/>
      <c r="B863" s="252"/>
      <c r="C863" s="257"/>
      <c r="D863" s="48"/>
      <c r="E863" s="48"/>
      <c r="F863" s="257"/>
      <c r="G863" s="257"/>
      <c r="H863" s="252"/>
      <c r="I863" s="252"/>
      <c r="J863" s="252"/>
      <c r="K863" s="257"/>
      <c r="L863" s="252"/>
      <c r="M863" s="268"/>
      <c r="N863" s="268"/>
    </row>
    <row r="864" spans="1:14" s="363" customFormat="1" ht="15">
      <c r="A864" s="252"/>
      <c r="B864" s="256"/>
      <c r="C864" s="252"/>
      <c r="D864" s="250"/>
      <c r="E864" s="163"/>
      <c r="F864" s="251"/>
      <c r="G864" s="251"/>
      <c r="H864" s="262"/>
      <c r="I864" s="262"/>
      <c r="J864" s="252"/>
      <c r="K864" s="262"/>
      <c r="L864" s="257"/>
      <c r="M864" s="258"/>
      <c r="N864" s="252"/>
    </row>
    <row r="865" spans="1:14" s="363" customFormat="1" ht="15">
      <c r="A865" s="252"/>
      <c r="B865" s="256"/>
      <c r="C865" s="252"/>
      <c r="D865" s="250"/>
      <c r="E865" s="163"/>
      <c r="F865" s="251"/>
      <c r="G865" s="251"/>
      <c r="H865" s="262"/>
      <c r="I865" s="262"/>
      <c r="J865" s="252"/>
      <c r="K865" s="252"/>
      <c r="L865" s="257"/>
      <c r="M865" s="258"/>
      <c r="N865" s="252"/>
    </row>
    <row r="866" spans="1:14" s="363" customFormat="1" ht="15">
      <c r="A866" s="252"/>
      <c r="B866" s="256"/>
      <c r="C866" s="252"/>
      <c r="D866" s="250"/>
      <c r="E866" s="163"/>
      <c r="F866" s="251"/>
      <c r="G866" s="251"/>
      <c r="H866" s="262"/>
      <c r="I866" s="262"/>
      <c r="J866" s="252"/>
      <c r="K866" s="252"/>
      <c r="L866" s="257"/>
      <c r="M866" s="258"/>
      <c r="N866" s="252"/>
    </row>
    <row r="867" spans="1:14" s="363" customFormat="1" ht="15">
      <c r="A867" s="143"/>
      <c r="B867" s="143"/>
      <c r="C867" s="252"/>
      <c r="D867" s="257"/>
      <c r="E867" s="209"/>
      <c r="F867" s="151"/>
      <c r="G867" s="151"/>
      <c r="H867" s="262"/>
      <c r="I867" s="262"/>
      <c r="J867" s="252"/>
      <c r="K867" s="260"/>
      <c r="L867" s="257"/>
      <c r="M867" s="261"/>
      <c r="N867" s="252"/>
    </row>
    <row r="868" spans="1:14" s="363" customFormat="1" ht="15">
      <c r="A868" s="143"/>
      <c r="B868" s="143"/>
      <c r="C868" s="252"/>
      <c r="D868" s="257"/>
      <c r="E868" s="209"/>
      <c r="F868" s="151"/>
      <c r="G868" s="151"/>
      <c r="H868" s="262"/>
      <c r="I868" s="262"/>
      <c r="J868" s="252"/>
      <c r="K868" s="260"/>
      <c r="L868" s="257"/>
      <c r="M868" s="261"/>
      <c r="N868" s="252"/>
    </row>
    <row r="869" spans="1:14" s="363" customFormat="1" ht="15">
      <c r="A869" s="252"/>
      <c r="B869" s="252"/>
      <c r="C869" s="257"/>
      <c r="D869" s="48"/>
      <c r="E869" s="48"/>
      <c r="F869" s="172"/>
      <c r="G869" s="172"/>
      <c r="H869" s="200"/>
      <c r="I869" s="188"/>
      <c r="J869" s="188"/>
      <c r="K869" s="260"/>
      <c r="L869" s="257"/>
      <c r="M869" s="268"/>
      <c r="N869" s="268"/>
    </row>
    <row r="870" spans="1:14" s="363" customFormat="1" ht="15">
      <c r="A870" s="252"/>
      <c r="B870" s="252"/>
      <c r="C870" s="257"/>
      <c r="D870" s="260"/>
      <c r="E870" s="48"/>
      <c r="F870" s="172"/>
      <c r="G870" s="172"/>
      <c r="H870" s="200"/>
      <c r="I870" s="188"/>
      <c r="J870" s="188"/>
      <c r="K870" s="257"/>
      <c r="L870" s="257"/>
      <c r="M870" s="268"/>
      <c r="N870" s="268"/>
    </row>
    <row r="871" spans="1:14" s="363" customFormat="1" ht="15">
      <c r="A871" s="252"/>
      <c r="B871" s="252"/>
      <c r="C871" s="257"/>
      <c r="D871" s="260"/>
      <c r="E871" s="48"/>
      <c r="F871" s="172"/>
      <c r="G871" s="172"/>
      <c r="H871" s="200"/>
      <c r="I871" s="188"/>
      <c r="J871" s="188"/>
      <c r="K871" s="257"/>
      <c r="L871" s="257"/>
      <c r="M871" s="268"/>
      <c r="N871" s="268"/>
    </row>
    <row r="872" spans="1:14" s="363" customFormat="1" ht="15">
      <c r="A872" s="252"/>
      <c r="B872" s="46"/>
      <c r="C872" s="252"/>
      <c r="D872" s="260"/>
      <c r="E872" s="48"/>
      <c r="F872" s="43"/>
      <c r="G872" s="43"/>
      <c r="H872" s="243"/>
      <c r="I872" s="46"/>
      <c r="J872" s="46"/>
      <c r="K872" s="257"/>
      <c r="L872" s="257"/>
      <c r="M872" s="266"/>
      <c r="N872" s="266"/>
    </row>
    <row r="873" spans="1:14" s="363" customFormat="1" ht="15">
      <c r="A873" s="252"/>
      <c r="B873" s="252"/>
      <c r="C873" s="257"/>
      <c r="D873" s="48"/>
      <c r="E873" s="48"/>
      <c r="F873" s="257"/>
      <c r="G873" s="257"/>
      <c r="H873" s="252"/>
      <c r="I873" s="252"/>
      <c r="J873" s="252"/>
      <c r="K873" s="257"/>
      <c r="L873" s="252"/>
      <c r="M873" s="268"/>
      <c r="N873" s="268"/>
    </row>
    <row r="874" spans="1:14" s="363" customFormat="1" ht="15">
      <c r="A874" s="143"/>
      <c r="B874" s="143"/>
      <c r="C874" s="252"/>
      <c r="D874" s="257"/>
      <c r="E874" s="209"/>
      <c r="F874" s="151"/>
      <c r="G874" s="151"/>
      <c r="H874" s="262"/>
      <c r="I874" s="262"/>
      <c r="J874" s="252"/>
      <c r="K874" s="262"/>
      <c r="L874" s="257"/>
      <c r="M874" s="261"/>
      <c r="N874" s="252"/>
    </row>
    <row r="875" spans="1:14" s="363" customFormat="1" ht="15">
      <c r="A875" s="252"/>
      <c r="B875" s="252"/>
      <c r="C875" s="48"/>
      <c r="D875" s="48"/>
      <c r="E875" s="163"/>
      <c r="F875" s="251"/>
      <c r="G875" s="251"/>
      <c r="H875" s="244"/>
      <c r="I875" s="244"/>
      <c r="J875" s="244"/>
      <c r="K875" s="257"/>
      <c r="L875" s="257"/>
      <c r="M875" s="258"/>
      <c r="N875" s="258"/>
    </row>
    <row r="876" spans="1:14" s="363" customFormat="1" ht="15">
      <c r="A876" s="252"/>
      <c r="B876" s="143"/>
      <c r="C876" s="48"/>
      <c r="D876" s="48"/>
      <c r="E876" s="48"/>
      <c r="F876" s="251"/>
      <c r="G876" s="251"/>
      <c r="H876" s="244"/>
      <c r="I876" s="48"/>
      <c r="J876" s="48"/>
      <c r="K876" s="134"/>
      <c r="L876" s="257"/>
      <c r="M876" s="269"/>
      <c r="N876" s="269"/>
    </row>
    <row r="877" spans="1:14" s="363" customFormat="1" ht="15">
      <c r="A877" s="261"/>
      <c r="B877" s="260"/>
      <c r="C877" s="257"/>
      <c r="D877" s="260"/>
      <c r="E877" s="257"/>
      <c r="F877" s="156"/>
      <c r="G877" s="156"/>
      <c r="H877" s="257"/>
      <c r="I877" s="257"/>
      <c r="J877" s="257"/>
      <c r="K877" s="257"/>
      <c r="L877" s="252"/>
      <c r="M877" s="261"/>
      <c r="N877" s="257"/>
    </row>
    <row r="878" spans="1:14" s="363" customFormat="1" ht="15">
      <c r="A878" s="261"/>
      <c r="B878" s="260"/>
      <c r="C878" s="257"/>
      <c r="D878" s="260"/>
      <c r="E878" s="257"/>
      <c r="F878" s="156"/>
      <c r="G878" s="156"/>
      <c r="H878" s="257"/>
      <c r="I878" s="257"/>
      <c r="J878" s="257"/>
      <c r="K878" s="257"/>
      <c r="L878" s="252"/>
      <c r="M878" s="261"/>
      <c r="N878" s="257"/>
    </row>
    <row r="879" spans="1:14" s="363" customFormat="1" ht="15">
      <c r="A879" s="261"/>
      <c r="B879" s="260"/>
      <c r="C879" s="257"/>
      <c r="D879" s="260"/>
      <c r="E879" s="257"/>
      <c r="F879" s="156"/>
      <c r="G879" s="156"/>
      <c r="H879" s="257"/>
      <c r="I879" s="257"/>
      <c r="J879" s="257"/>
      <c r="K879" s="257"/>
      <c r="L879" s="252"/>
      <c r="M879" s="261"/>
      <c r="N879" s="257"/>
    </row>
    <row r="880" spans="1:14" s="363" customFormat="1" ht="15">
      <c r="A880" s="27"/>
      <c r="B880" s="27"/>
      <c r="C880" s="48"/>
      <c r="D880" s="48"/>
      <c r="E880" s="250"/>
      <c r="F880" s="43"/>
      <c r="G880" s="43"/>
      <c r="H880" s="48"/>
      <c r="I880" s="48"/>
      <c r="J880" s="48"/>
      <c r="K880" s="257"/>
      <c r="L880" s="27"/>
      <c r="M880" s="58"/>
      <c r="N880" s="58"/>
    </row>
    <row r="881" spans="1:14" s="363" customFormat="1" ht="15">
      <c r="A881" s="27"/>
      <c r="B881" s="27"/>
      <c r="C881" s="48"/>
      <c r="D881" s="48"/>
      <c r="E881" s="250"/>
      <c r="F881" s="251"/>
      <c r="G881" s="251"/>
      <c r="H881" s="244"/>
      <c r="I881" s="48"/>
      <c r="J881" s="48"/>
      <c r="K881" s="257"/>
      <c r="L881" s="252"/>
      <c r="M881" s="58"/>
      <c r="N881" s="58"/>
    </row>
    <row r="882" spans="1:14" s="363" customFormat="1" ht="15">
      <c r="A882" s="252"/>
      <c r="B882" s="252"/>
      <c r="C882" s="48"/>
      <c r="D882" s="48"/>
      <c r="E882" s="48"/>
      <c r="F882" s="257"/>
      <c r="G882" s="257"/>
      <c r="H882" s="48"/>
      <c r="I882" s="48"/>
      <c r="J882" s="48"/>
      <c r="K882" s="257"/>
      <c r="L882" s="252"/>
      <c r="M882" s="268"/>
      <c r="N882" s="268"/>
    </row>
    <row r="883" spans="1:14" s="363" customFormat="1" ht="15">
      <c r="A883" s="261"/>
      <c r="B883" s="260"/>
      <c r="C883" s="257"/>
      <c r="D883" s="260"/>
      <c r="E883" s="257"/>
      <c r="F883" s="156"/>
      <c r="G883" s="156"/>
      <c r="H883" s="257"/>
      <c r="I883" s="257"/>
      <c r="J883" s="257"/>
      <c r="K883" s="257"/>
      <c r="L883" s="252"/>
      <c r="M883" s="261"/>
      <c r="N883" s="257"/>
    </row>
    <row r="884" spans="1:14" s="363" customFormat="1" ht="15">
      <c r="A884" s="261"/>
      <c r="B884" s="260"/>
      <c r="C884" s="257"/>
      <c r="D884" s="260"/>
      <c r="E884" s="257"/>
      <c r="F884" s="156"/>
      <c r="G884" s="156"/>
      <c r="H884" s="257"/>
      <c r="I884" s="257"/>
      <c r="J884" s="257"/>
      <c r="K884" s="257"/>
      <c r="L884" s="252"/>
      <c r="M884" s="261"/>
      <c r="N884" s="257"/>
    </row>
    <row r="885" spans="1:14" s="363" customFormat="1" ht="15">
      <c r="A885" s="252"/>
      <c r="B885" s="252"/>
      <c r="C885" s="257"/>
      <c r="D885" s="48"/>
      <c r="E885" s="48"/>
      <c r="F885" s="257"/>
      <c r="G885" s="257"/>
      <c r="H885" s="252"/>
      <c r="I885" s="252"/>
      <c r="J885" s="252"/>
      <c r="K885" s="257"/>
      <c r="L885" s="252"/>
      <c r="M885" s="268"/>
      <c r="N885" s="268"/>
    </row>
    <row r="886" spans="1:14" s="363" customFormat="1" ht="15">
      <c r="A886" s="261"/>
      <c r="B886" s="260"/>
      <c r="C886" s="257"/>
      <c r="D886" s="260"/>
      <c r="E886" s="257"/>
      <c r="F886" s="156"/>
      <c r="G886" s="156"/>
      <c r="H886" s="257"/>
      <c r="I886" s="257"/>
      <c r="J886" s="257"/>
      <c r="K886" s="257"/>
      <c r="L886" s="252"/>
      <c r="M886" s="261"/>
      <c r="N886" s="257"/>
    </row>
    <row r="887" spans="1:14" s="363" customFormat="1" ht="15">
      <c r="A887" s="261"/>
      <c r="B887" s="260"/>
      <c r="C887" s="257"/>
      <c r="D887" s="260"/>
      <c r="E887" s="257"/>
      <c r="F887" s="156"/>
      <c r="G887" s="156"/>
      <c r="H887" s="257"/>
      <c r="I887" s="257"/>
      <c r="J887" s="257"/>
      <c r="K887" s="257"/>
      <c r="L887" s="252"/>
      <c r="M887" s="261"/>
      <c r="N887" s="257"/>
    </row>
    <row r="888" spans="1:14" s="363" customFormat="1" ht="15">
      <c r="A888" s="252"/>
      <c r="B888" s="46"/>
      <c r="C888" s="252"/>
      <c r="D888" s="48"/>
      <c r="E888" s="48"/>
      <c r="F888" s="43"/>
      <c r="G888" s="43"/>
      <c r="H888" s="243"/>
      <c r="I888" s="243"/>
      <c r="J888" s="243"/>
      <c r="K888" s="257"/>
      <c r="L888" s="257"/>
      <c r="M888" s="270"/>
      <c r="N888" s="270"/>
    </row>
    <row r="889" spans="1:14" s="363" customFormat="1" ht="15">
      <c r="A889" s="261"/>
      <c r="B889" s="260"/>
      <c r="C889" s="257"/>
      <c r="D889" s="260"/>
      <c r="E889" s="257"/>
      <c r="F889" s="156"/>
      <c r="G889" s="156"/>
      <c r="H889" s="257"/>
      <c r="I889" s="257"/>
      <c r="J889" s="257"/>
      <c r="K889" s="257"/>
      <c r="L889" s="252"/>
      <c r="M889" s="261"/>
      <c r="N889" s="257"/>
    </row>
    <row r="890" spans="1:14" s="363" customFormat="1" ht="15">
      <c r="A890" s="261"/>
      <c r="B890" s="260"/>
      <c r="C890" s="257"/>
      <c r="D890" s="260"/>
      <c r="E890" s="257"/>
      <c r="F890" s="156"/>
      <c r="G890" s="156"/>
      <c r="H890" s="257"/>
      <c r="I890" s="257"/>
      <c r="J890" s="257"/>
      <c r="K890" s="257"/>
      <c r="L890" s="252"/>
      <c r="M890" s="261"/>
      <c r="N890" s="257"/>
    </row>
    <row r="891" spans="1:14" s="363" customFormat="1" ht="15">
      <c r="A891" s="54"/>
      <c r="B891" s="257"/>
      <c r="C891" s="252"/>
      <c r="D891" s="250"/>
      <c r="E891" s="250"/>
      <c r="F891" s="251"/>
      <c r="G891" s="251"/>
      <c r="H891" s="188"/>
      <c r="I891" s="257"/>
      <c r="J891" s="257"/>
      <c r="K891" s="257"/>
      <c r="L891" s="252"/>
      <c r="M891" s="58"/>
      <c r="N891" s="58"/>
    </row>
    <row r="892" spans="1:14" s="363" customFormat="1" ht="15">
      <c r="A892" s="252"/>
      <c r="B892" s="252"/>
      <c r="C892" s="257"/>
      <c r="D892" s="48"/>
      <c r="E892" s="48"/>
      <c r="F892" s="172"/>
      <c r="G892" s="172"/>
      <c r="H892" s="252"/>
      <c r="I892" s="252"/>
      <c r="J892" s="252"/>
      <c r="K892" s="257"/>
      <c r="L892" s="252"/>
      <c r="M892" s="268"/>
      <c r="N892" s="268"/>
    </row>
    <row r="893" spans="1:14" s="363" customFormat="1" ht="15">
      <c r="A893" s="252"/>
      <c r="B893" s="256"/>
      <c r="C893" s="252"/>
      <c r="D893" s="250"/>
      <c r="E893" s="250"/>
      <c r="F893" s="251"/>
      <c r="G893" s="251"/>
      <c r="H893" s="282"/>
      <c r="I893" s="256"/>
      <c r="J893" s="256"/>
      <c r="K893" s="257"/>
      <c r="L893" s="257"/>
      <c r="M893" s="258"/>
      <c r="N893" s="258"/>
    </row>
    <row r="894" spans="1:14" s="363" customFormat="1" ht="15">
      <c r="A894" s="27"/>
      <c r="B894" s="27"/>
      <c r="C894" s="252"/>
      <c r="D894" s="250"/>
      <c r="E894" s="250"/>
      <c r="F894" s="251"/>
      <c r="G894" s="251"/>
      <c r="H894" s="27"/>
      <c r="I894" s="27"/>
      <c r="J894" s="27"/>
      <c r="K894" s="257"/>
      <c r="L894" s="27"/>
      <c r="M894" s="58"/>
      <c r="N894" s="58"/>
    </row>
    <row r="895" spans="1:14" s="363" customFormat="1" ht="15">
      <c r="A895" s="252"/>
      <c r="B895" s="257"/>
      <c r="C895" s="252"/>
      <c r="D895" s="139"/>
      <c r="E895" s="139"/>
      <c r="F895" s="137"/>
      <c r="G895" s="137"/>
      <c r="H895" s="188"/>
      <c r="I895" s="257"/>
      <c r="J895" s="257"/>
      <c r="K895" s="257"/>
      <c r="L895" s="27"/>
      <c r="M895" s="268"/>
      <c r="N895" s="268"/>
    </row>
    <row r="896" spans="1:14" s="363" customFormat="1" ht="15">
      <c r="A896" s="261"/>
      <c r="B896" s="260"/>
      <c r="C896" s="257"/>
      <c r="D896" s="260"/>
      <c r="E896" s="257"/>
      <c r="F896" s="156"/>
      <c r="G896" s="156"/>
      <c r="H896" s="257"/>
      <c r="I896" s="257"/>
      <c r="J896" s="257"/>
      <c r="K896" s="257"/>
      <c r="L896" s="252"/>
      <c r="M896" s="261"/>
      <c r="N896" s="257"/>
    </row>
    <row r="897" spans="1:14" s="363" customFormat="1" ht="15">
      <c r="A897" s="261"/>
      <c r="B897" s="260"/>
      <c r="C897" s="257"/>
      <c r="D897" s="260"/>
      <c r="E897" s="257"/>
      <c r="F897" s="156"/>
      <c r="G897" s="156"/>
      <c r="H897" s="257"/>
      <c r="I897" s="257"/>
      <c r="J897" s="257"/>
      <c r="K897" s="257"/>
      <c r="L897" s="252"/>
      <c r="M897" s="261"/>
      <c r="N897" s="257"/>
    </row>
    <row r="898" spans="1:14" s="363" customFormat="1" ht="15">
      <c r="A898" s="252"/>
      <c r="B898" s="46"/>
      <c r="C898" s="252"/>
      <c r="D898" s="48"/>
      <c r="E898" s="48"/>
      <c r="F898" s="43"/>
      <c r="G898" s="43"/>
      <c r="H898" s="243"/>
      <c r="I898" s="46"/>
      <c r="J898" s="46"/>
      <c r="K898" s="257"/>
      <c r="L898" s="257"/>
      <c r="M898" s="266"/>
      <c r="N898" s="266"/>
    </row>
    <row r="899" spans="1:14" s="363" customFormat="1" ht="15">
      <c r="A899" s="261"/>
      <c r="B899" s="260"/>
      <c r="C899" s="257"/>
      <c r="D899" s="260"/>
      <c r="E899" s="257"/>
      <c r="F899" s="156"/>
      <c r="G899" s="156"/>
      <c r="H899" s="257"/>
      <c r="I899" s="257"/>
      <c r="J899" s="257"/>
      <c r="K899" s="257"/>
      <c r="L899" s="252"/>
      <c r="M899" s="261"/>
      <c r="N899" s="257"/>
    </row>
    <row r="900" spans="1:14" s="363" customFormat="1" ht="15">
      <c r="A900" s="252"/>
      <c r="B900" s="46"/>
      <c r="C900" s="252"/>
      <c r="D900" s="250"/>
      <c r="E900" s="250"/>
      <c r="F900" s="43"/>
      <c r="G900" s="43"/>
      <c r="H900" s="243"/>
      <c r="I900" s="46"/>
      <c r="J900" s="46"/>
      <c r="K900" s="257"/>
      <c r="L900" s="257"/>
      <c r="M900" s="258"/>
      <c r="N900" s="258"/>
    </row>
    <row r="901" spans="1:14" s="363" customFormat="1" ht="15">
      <c r="A901" s="27"/>
      <c r="B901" s="27"/>
      <c r="C901" s="252"/>
      <c r="D901" s="29"/>
      <c r="E901" s="29"/>
      <c r="F901" s="251"/>
      <c r="G901" s="251"/>
      <c r="H901" s="281"/>
      <c r="I901" s="27"/>
      <c r="J901" s="27"/>
      <c r="K901" s="257"/>
      <c r="L901" s="27"/>
      <c r="M901" s="58"/>
      <c r="N901" s="58"/>
    </row>
    <row r="902" spans="1:14" s="363" customFormat="1" ht="15">
      <c r="A902" s="252"/>
      <c r="B902" s="252"/>
      <c r="C902" s="257"/>
      <c r="D902" s="48"/>
      <c r="E902" s="48"/>
      <c r="F902" s="257"/>
      <c r="G902" s="257"/>
      <c r="H902" s="252"/>
      <c r="I902" s="252"/>
      <c r="J902" s="252"/>
      <c r="K902" s="257"/>
      <c r="L902" s="252"/>
      <c r="M902" s="268"/>
      <c r="N902" s="268"/>
    </row>
    <row r="903" spans="1:14" s="363" customFormat="1" ht="15">
      <c r="A903" s="27"/>
      <c r="B903" s="27"/>
      <c r="C903" s="252"/>
      <c r="D903" s="29"/>
      <c r="E903" s="29"/>
      <c r="F903" s="251"/>
      <c r="G903" s="251"/>
      <c r="H903" s="281"/>
      <c r="I903" s="27"/>
      <c r="J903" s="27"/>
      <c r="K903" s="257"/>
      <c r="L903" s="252"/>
      <c r="M903" s="58"/>
      <c r="N903" s="58"/>
    </row>
    <row r="904" spans="1:14" s="363" customFormat="1" ht="15">
      <c r="A904" s="252"/>
      <c r="B904" s="256"/>
      <c r="C904" s="252"/>
      <c r="D904" s="250"/>
      <c r="E904" s="250"/>
      <c r="F904" s="251"/>
      <c r="G904" s="251"/>
      <c r="H904" s="282"/>
      <c r="I904" s="256"/>
      <c r="J904" s="256"/>
      <c r="K904" s="257"/>
      <c r="L904" s="257"/>
      <c r="M904" s="258"/>
      <c r="N904" s="258"/>
    </row>
    <row r="905" spans="1:14" s="363" customFormat="1" ht="15">
      <c r="A905" s="252"/>
      <c r="B905" s="252"/>
      <c r="C905" s="257"/>
      <c r="D905" s="48"/>
      <c r="E905" s="48"/>
      <c r="F905" s="257"/>
      <c r="G905" s="257"/>
      <c r="H905" s="252"/>
      <c r="I905" s="252"/>
      <c r="J905" s="252"/>
      <c r="K905" s="257"/>
      <c r="L905" s="252"/>
      <c r="M905" s="268"/>
      <c r="N905" s="268"/>
    </row>
    <row r="906" spans="1:14" s="363" customFormat="1" ht="15">
      <c r="A906" s="261"/>
      <c r="B906" s="260"/>
      <c r="C906" s="257"/>
      <c r="D906" s="260"/>
      <c r="E906" s="257"/>
      <c r="F906" s="156"/>
      <c r="G906" s="156"/>
      <c r="H906" s="257"/>
      <c r="I906" s="257"/>
      <c r="J906" s="257"/>
      <c r="K906" s="257"/>
      <c r="L906" s="252"/>
      <c r="M906" s="261"/>
      <c r="N906" s="257"/>
    </row>
    <row r="907" spans="1:14" s="363" customFormat="1" ht="15">
      <c r="A907" s="252"/>
      <c r="B907" s="256"/>
      <c r="C907" s="252"/>
      <c r="D907" s="250"/>
      <c r="E907" s="163"/>
      <c r="F907" s="251"/>
      <c r="G907" s="251"/>
      <c r="H907" s="262"/>
      <c r="I907" s="262"/>
      <c r="J907" s="252"/>
      <c r="K907" s="262"/>
      <c r="L907" s="257"/>
      <c r="M907" s="258"/>
      <c r="N907" s="252"/>
    </row>
    <row r="908" spans="1:14" s="363" customFormat="1" ht="15">
      <c r="A908" s="252"/>
      <c r="B908" s="252"/>
      <c r="C908" s="257"/>
      <c r="D908" s="48"/>
      <c r="E908" s="48"/>
      <c r="F908" s="257"/>
      <c r="G908" s="257"/>
      <c r="H908" s="252"/>
      <c r="I908" s="252"/>
      <c r="J908" s="252"/>
      <c r="K908" s="257"/>
      <c r="L908" s="252"/>
      <c r="M908" s="268"/>
      <c r="N908" s="268"/>
    </row>
    <row r="909" spans="1:14" s="363" customFormat="1" ht="15">
      <c r="A909" s="252"/>
      <c r="B909" s="252"/>
      <c r="C909" s="257"/>
      <c r="D909" s="48"/>
      <c r="E909" s="48"/>
      <c r="F909" s="257"/>
      <c r="G909" s="257"/>
      <c r="H909" s="252"/>
      <c r="I909" s="252"/>
      <c r="J909" s="252"/>
      <c r="K909" s="257"/>
      <c r="L909" s="252"/>
      <c r="M909" s="268"/>
      <c r="N909" s="268"/>
    </row>
    <row r="910" spans="1:14" s="363" customFormat="1" ht="15">
      <c r="A910" s="252"/>
      <c r="B910" s="252"/>
      <c r="C910" s="257"/>
      <c r="D910" s="48"/>
      <c r="E910" s="48"/>
      <c r="F910" s="257"/>
      <c r="G910" s="257"/>
      <c r="H910" s="252"/>
      <c r="I910" s="252"/>
      <c r="J910" s="252"/>
      <c r="K910" s="257"/>
      <c r="L910" s="252"/>
      <c r="M910" s="268"/>
      <c r="N910" s="268"/>
    </row>
    <row r="911" spans="1:14" s="363" customFormat="1" ht="15">
      <c r="A911" s="252"/>
      <c r="B911" s="252"/>
      <c r="C911" s="257"/>
      <c r="D911" s="48"/>
      <c r="E911" s="48"/>
      <c r="F911" s="257"/>
      <c r="G911" s="257"/>
      <c r="H911" s="252"/>
      <c r="I911" s="252"/>
      <c r="J911" s="252"/>
      <c r="K911" s="257"/>
      <c r="L911" s="252"/>
      <c r="M911" s="268"/>
      <c r="N911" s="268"/>
    </row>
    <row r="912" spans="1:14" s="363" customFormat="1" ht="15">
      <c r="A912" s="252"/>
      <c r="B912" s="252"/>
      <c r="C912" s="257"/>
      <c r="D912" s="48"/>
      <c r="E912" s="48"/>
      <c r="F912" s="257"/>
      <c r="G912" s="257"/>
      <c r="H912" s="252"/>
      <c r="I912" s="252"/>
      <c r="J912" s="252"/>
      <c r="K912" s="257"/>
      <c r="L912" s="252"/>
      <c r="M912" s="268"/>
      <c r="N912" s="268"/>
    </row>
    <row r="913" spans="1:14" s="363" customFormat="1" ht="15">
      <c r="A913" s="252"/>
      <c r="B913" s="252"/>
      <c r="C913" s="257"/>
      <c r="D913" s="48"/>
      <c r="E913" s="48"/>
      <c r="F913" s="257"/>
      <c r="G913" s="257"/>
      <c r="H913" s="252"/>
      <c r="I913" s="252"/>
      <c r="J913" s="252"/>
      <c r="K913" s="257"/>
      <c r="L913" s="252"/>
      <c r="M913" s="268"/>
      <c r="N913" s="268"/>
    </row>
    <row r="914" spans="1:14" s="363" customFormat="1" ht="15">
      <c r="A914" s="252"/>
      <c r="B914" s="252"/>
      <c r="C914" s="257"/>
      <c r="D914" s="48"/>
      <c r="E914" s="48"/>
      <c r="F914" s="257"/>
      <c r="G914" s="257"/>
      <c r="H914" s="252"/>
      <c r="I914" s="252"/>
      <c r="J914" s="252"/>
      <c r="K914" s="257"/>
      <c r="L914" s="252"/>
      <c r="M914" s="268"/>
      <c r="N914" s="268"/>
    </row>
    <row r="915" spans="1:14" s="363" customFormat="1" ht="15">
      <c r="A915" s="252"/>
      <c r="B915" s="252"/>
      <c r="C915" s="257"/>
      <c r="D915" s="48"/>
      <c r="E915" s="48"/>
      <c r="F915" s="257"/>
      <c r="G915" s="257"/>
      <c r="H915" s="252"/>
      <c r="I915" s="252"/>
      <c r="J915" s="252"/>
      <c r="K915" s="257"/>
      <c r="L915" s="252"/>
      <c r="M915" s="268"/>
      <c r="N915" s="268"/>
    </row>
    <row r="916" spans="1:14" s="363" customFormat="1" ht="15">
      <c r="A916" s="252"/>
      <c r="B916" s="252"/>
      <c r="C916" s="257"/>
      <c r="D916" s="48"/>
      <c r="E916" s="48"/>
      <c r="F916" s="257"/>
      <c r="G916" s="257"/>
      <c r="H916" s="252"/>
      <c r="I916" s="252"/>
      <c r="J916" s="252"/>
      <c r="K916" s="257"/>
      <c r="L916" s="252"/>
      <c r="M916" s="268"/>
      <c r="N916" s="268"/>
    </row>
    <row r="917" spans="1:14" s="363" customFormat="1" ht="15">
      <c r="A917" s="252"/>
      <c r="B917" s="252"/>
      <c r="C917" s="257"/>
      <c r="D917" s="48"/>
      <c r="E917" s="48"/>
      <c r="F917" s="257"/>
      <c r="G917" s="257"/>
      <c r="H917" s="252"/>
      <c r="I917" s="252"/>
      <c r="J917" s="252"/>
      <c r="K917" s="257"/>
      <c r="L917" s="252"/>
      <c r="M917" s="268"/>
      <c r="N917" s="268"/>
    </row>
    <row r="918" spans="1:14" s="363" customFormat="1" ht="15">
      <c r="A918" s="252"/>
      <c r="B918" s="252"/>
      <c r="C918" s="257"/>
      <c r="D918" s="48"/>
      <c r="E918" s="48"/>
      <c r="F918" s="257"/>
      <c r="G918" s="257"/>
      <c r="H918" s="252"/>
      <c r="I918" s="252"/>
      <c r="J918" s="252"/>
      <c r="K918" s="257"/>
      <c r="L918" s="252"/>
      <c r="M918" s="268"/>
      <c r="N918" s="268"/>
    </row>
    <row r="919" spans="1:14" s="363" customFormat="1" ht="15">
      <c r="A919" s="252"/>
      <c r="B919" s="252"/>
      <c r="C919" s="257"/>
      <c r="D919" s="48"/>
      <c r="E919" s="48"/>
      <c r="F919" s="257"/>
      <c r="G919" s="257"/>
      <c r="H919" s="252"/>
      <c r="I919" s="252"/>
      <c r="J919" s="252"/>
      <c r="K919" s="257"/>
      <c r="L919" s="252"/>
      <c r="M919" s="268"/>
      <c r="N919" s="268"/>
    </row>
    <row r="920" spans="1:14" s="363" customFormat="1" ht="15">
      <c r="A920" s="252"/>
      <c r="B920" s="252"/>
      <c r="C920" s="257"/>
      <c r="D920" s="48"/>
      <c r="E920" s="48"/>
      <c r="F920" s="257"/>
      <c r="G920" s="257"/>
      <c r="H920" s="252"/>
      <c r="I920" s="252"/>
      <c r="J920" s="252"/>
      <c r="K920" s="257"/>
      <c r="L920" s="252"/>
      <c r="M920" s="268"/>
      <c r="N920" s="268"/>
    </row>
    <row r="921" spans="1:14" s="363" customFormat="1" ht="15">
      <c r="A921" s="252"/>
      <c r="B921" s="252"/>
      <c r="C921" s="257"/>
      <c r="D921" s="48"/>
      <c r="E921" s="48"/>
      <c r="F921" s="257"/>
      <c r="G921" s="257"/>
      <c r="H921" s="252"/>
      <c r="I921" s="252"/>
      <c r="J921" s="252"/>
      <c r="K921" s="257"/>
      <c r="L921" s="252"/>
      <c r="M921" s="268"/>
      <c r="N921" s="268"/>
    </row>
    <row r="922" spans="1:14" s="363" customFormat="1" ht="15">
      <c r="A922" s="252"/>
      <c r="B922" s="257"/>
      <c r="C922" s="257"/>
      <c r="D922" s="48"/>
      <c r="E922" s="48"/>
      <c r="F922" s="257"/>
      <c r="G922" s="257"/>
      <c r="H922" s="252"/>
      <c r="I922" s="252"/>
      <c r="J922" s="252"/>
      <c r="K922" s="257"/>
      <c r="L922" s="252"/>
      <c r="M922" s="268"/>
      <c r="N922" s="268"/>
    </row>
    <row r="923" spans="1:14" s="363" customFormat="1" ht="15">
      <c r="A923" s="252"/>
      <c r="B923" s="252"/>
      <c r="C923" s="257"/>
      <c r="D923" s="48"/>
      <c r="E923" s="48"/>
      <c r="F923" s="257"/>
      <c r="G923" s="257"/>
      <c r="H923" s="252"/>
      <c r="I923" s="252"/>
      <c r="J923" s="252"/>
      <c r="K923" s="257"/>
      <c r="L923" s="252"/>
      <c r="M923" s="268"/>
      <c r="N923" s="268"/>
    </row>
    <row r="924" spans="1:14" s="363" customFormat="1" ht="15">
      <c r="A924" s="261"/>
      <c r="B924" s="260"/>
      <c r="C924" s="257"/>
      <c r="D924" s="260"/>
      <c r="E924" s="257"/>
      <c r="F924" s="156"/>
      <c r="G924" s="156"/>
      <c r="H924" s="257"/>
      <c r="I924" s="257"/>
      <c r="J924" s="257"/>
      <c r="K924" s="257"/>
      <c r="L924" s="252"/>
      <c r="M924" s="261"/>
      <c r="N924" s="257"/>
    </row>
    <row r="925" spans="1:14" s="363" customFormat="1" ht="15">
      <c r="A925" s="252"/>
      <c r="B925" s="252"/>
      <c r="C925" s="257"/>
      <c r="D925" s="48"/>
      <c r="E925" s="48"/>
      <c r="F925" s="257"/>
      <c r="G925" s="257"/>
      <c r="H925" s="252"/>
      <c r="I925" s="252"/>
      <c r="J925" s="252"/>
      <c r="K925" s="257"/>
      <c r="L925" s="252"/>
      <c r="M925" s="268"/>
      <c r="N925" s="268"/>
    </row>
    <row r="926" spans="1:14" s="363" customFormat="1" ht="15">
      <c r="A926" s="252"/>
      <c r="B926" s="252"/>
      <c r="C926" s="257"/>
      <c r="D926" s="48"/>
      <c r="E926" s="48"/>
      <c r="F926" s="257"/>
      <c r="G926" s="257"/>
      <c r="H926" s="252"/>
      <c r="I926" s="252"/>
      <c r="J926" s="252"/>
      <c r="K926" s="257"/>
      <c r="L926" s="252"/>
      <c r="M926" s="268"/>
      <c r="N926" s="268"/>
    </row>
    <row r="927" spans="1:14" s="363" customFormat="1" ht="15">
      <c r="A927" s="27"/>
      <c r="B927" s="27"/>
      <c r="C927" s="252"/>
      <c r="D927" s="29"/>
      <c r="E927" s="29"/>
      <c r="F927" s="251"/>
      <c r="G927" s="251"/>
      <c r="H927" s="281"/>
      <c r="I927" s="27"/>
      <c r="J927" s="27"/>
      <c r="K927" s="252"/>
      <c r="L927" s="252"/>
      <c r="M927" s="58"/>
      <c r="N927" s="58"/>
    </row>
    <row r="928" spans="1:14" s="363" customFormat="1" ht="15">
      <c r="A928" s="252"/>
      <c r="B928" s="145"/>
      <c r="C928" s="252"/>
      <c r="D928" s="250"/>
      <c r="E928" s="163"/>
      <c r="F928" s="251"/>
      <c r="G928" s="251"/>
      <c r="H928" s="262"/>
      <c r="I928" s="262"/>
      <c r="J928" s="188"/>
      <c r="K928" s="254"/>
      <c r="L928" s="257"/>
      <c r="M928" s="258"/>
      <c r="N928" s="241"/>
    </row>
    <row r="929" spans="1:14" s="363" customFormat="1" ht="15">
      <c r="A929" s="261"/>
      <c r="B929" s="260"/>
      <c r="C929" s="257"/>
      <c r="D929" s="260"/>
      <c r="E929" s="257"/>
      <c r="F929" s="156"/>
      <c r="G929" s="156"/>
      <c r="H929" s="257"/>
      <c r="I929" s="257"/>
      <c r="J929" s="257"/>
      <c r="K929" s="257"/>
      <c r="L929" s="252"/>
      <c r="M929" s="261"/>
      <c r="N929" s="257"/>
    </row>
    <row r="930" spans="1:14" s="363" customFormat="1" ht="15">
      <c r="A930" s="261"/>
      <c r="B930" s="260"/>
      <c r="C930" s="257"/>
      <c r="D930" s="260"/>
      <c r="E930" s="257"/>
      <c r="F930" s="156"/>
      <c r="G930" s="156"/>
      <c r="H930" s="257"/>
      <c r="I930" s="257"/>
      <c r="J930" s="257"/>
      <c r="K930" s="257"/>
      <c r="L930" s="252"/>
      <c r="M930" s="261"/>
      <c r="N930" s="257"/>
    </row>
    <row r="931" spans="1:14" ht="27" customHeight="1">
      <c r="A931" s="261"/>
      <c r="B931" s="260"/>
      <c r="C931" s="257"/>
      <c r="D931" s="260"/>
      <c r="E931" s="257"/>
      <c r="F931" s="156"/>
      <c r="G931" s="156"/>
      <c r="H931" s="257"/>
      <c r="I931" s="257"/>
      <c r="J931" s="257"/>
      <c r="K931" s="257"/>
      <c r="L931" s="252"/>
      <c r="M931" s="261"/>
      <c r="N931" s="257"/>
    </row>
    <row r="932" spans="1:14" s="259" customFormat="1" ht="27" customHeight="1">
      <c r="A932" s="27" t="s">
        <v>3817</v>
      </c>
      <c r="B932" s="252" t="s">
        <v>3817</v>
      </c>
      <c r="C932" s="257" t="s">
        <v>3817</v>
      </c>
      <c r="D932" s="29" t="s">
        <v>3818</v>
      </c>
      <c r="E932" s="29" t="s">
        <v>3818</v>
      </c>
      <c r="F932" s="251" t="s">
        <v>3818</v>
      </c>
      <c r="G932" s="251"/>
      <c r="H932" s="200" t="s">
        <v>3819</v>
      </c>
      <c r="I932" s="188"/>
      <c r="J932" s="188"/>
      <c r="K932" s="257"/>
      <c r="L932" s="252"/>
      <c r="M932" s="332">
        <f t="shared" ref="M932:N932" si="0">SUM(M48:M931)</f>
        <v>0</v>
      </c>
      <c r="N932" s="332">
        <f t="shared" si="0"/>
        <v>0</v>
      </c>
    </row>
  </sheetData>
  <autoFilter ref="A2:N932">
    <sortState ref="A3:W935">
      <sortCondition ref="B2:B935"/>
    </sortState>
  </autoFilter>
  <mergeCells count="1">
    <mergeCell ref="A1:N1"/>
  </mergeCells>
  <conditionalFormatting sqref="C529">
    <cfRule type="duplicateValues" dxfId="41" priority="21"/>
  </conditionalFormatting>
  <conditionalFormatting sqref="C530">
    <cfRule type="duplicateValues" dxfId="40" priority="20"/>
  </conditionalFormatting>
  <conditionalFormatting sqref="C531">
    <cfRule type="duplicateValues" dxfId="39" priority="19"/>
  </conditionalFormatting>
  <conditionalFormatting sqref="C532">
    <cfRule type="duplicateValues" dxfId="38" priority="18"/>
  </conditionalFormatting>
  <conditionalFormatting sqref="C533">
    <cfRule type="duplicateValues" dxfId="37" priority="17"/>
  </conditionalFormatting>
  <conditionalFormatting sqref="D550">
    <cfRule type="duplicateValues" dxfId="36" priority="16"/>
  </conditionalFormatting>
  <conditionalFormatting sqref="E550">
    <cfRule type="duplicateValues" dxfId="35" priority="15"/>
  </conditionalFormatting>
  <conditionalFormatting sqref="M568">
    <cfRule type="duplicateValues" dxfId="34" priority="14"/>
  </conditionalFormatting>
  <conditionalFormatting sqref="C15">
    <cfRule type="duplicateValues" dxfId="33" priority="13"/>
  </conditionalFormatting>
  <conditionalFormatting sqref="C72:C73">
    <cfRule type="duplicateValues" dxfId="32" priority="11"/>
  </conditionalFormatting>
  <conditionalFormatting sqref="K253">
    <cfRule type="duplicateValues" dxfId="31" priority="8"/>
  </conditionalFormatting>
  <conditionalFormatting sqref="C252:C253">
    <cfRule type="duplicateValues" dxfId="30" priority="9"/>
  </conditionalFormatting>
  <conditionalFormatting sqref="K252">
    <cfRule type="duplicateValues" dxfId="29" priority="7"/>
  </conditionalFormatting>
  <conditionalFormatting sqref="K256">
    <cfRule type="duplicateValues" dxfId="28" priority="6"/>
  </conditionalFormatting>
  <conditionalFormatting sqref="K254">
    <cfRule type="duplicateValues" dxfId="27" priority="4"/>
  </conditionalFormatting>
  <conditionalFormatting sqref="C254">
    <cfRule type="duplicateValues" dxfId="26" priority="5"/>
  </conditionalFormatting>
  <conditionalFormatting sqref="H257">
    <cfRule type="duplicateValues" dxfId="25" priority="3"/>
  </conditionalFormatting>
  <conditionalFormatting sqref="D933:D1048576 D1:D2 D16:D18 D74:D112 D528:D564 D571:D572 D6:D14 D258:D265 D381:D514 D516:D526 D20:D71 D114:D251 D267:D379">
    <cfRule type="duplicateValues" dxfId="24" priority="22"/>
  </conditionalFormatting>
  <conditionalFormatting sqref="D1:D4 D6:D1048576">
    <cfRule type="duplicateValues" dxfId="23" priority="2"/>
  </conditionalFormatting>
  <conditionalFormatting sqref="K255">
    <cfRule type="duplicateValues" dxfId="22" priority="23"/>
  </conditionalFormatting>
  <conditionalFormatting sqref="C255">
    <cfRule type="duplicateValues" dxfId="21" priority="24"/>
  </conditionalFormatting>
  <conditionalFormatting sqref="D5">
    <cfRule type="duplicateValues" dxfId="20" priority="1"/>
  </conditionalFormatting>
  <pageMargins left="0.41" right="0.19" top="0.48" bottom="0.28999999999999998" header="0.3" footer="0.17"/>
  <pageSetup scale="8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31"/>
  <sheetViews>
    <sheetView workbookViewId="0">
      <selection activeCell="H4" sqref="H4"/>
    </sheetView>
  </sheetViews>
  <sheetFormatPr defaultRowHeight="15"/>
  <sheetData>
    <row r="1" spans="1:5" s="427" customFormat="1">
      <c r="A1" s="459" t="s">
        <v>5441</v>
      </c>
      <c r="B1" s="459" t="s">
        <v>2</v>
      </c>
      <c r="C1" s="459" t="s">
        <v>4064</v>
      </c>
      <c r="D1" s="459" t="s">
        <v>5442</v>
      </c>
      <c r="E1" s="459" t="s">
        <v>5443</v>
      </c>
    </row>
    <row r="2" spans="1:5">
      <c r="A2">
        <v>2015</v>
      </c>
      <c r="B2" t="s">
        <v>5365</v>
      </c>
      <c r="C2" t="s">
        <v>113</v>
      </c>
      <c r="D2">
        <v>1</v>
      </c>
      <c r="E2">
        <v>2928</v>
      </c>
    </row>
    <row r="3" spans="1:5">
      <c r="A3">
        <v>2015</v>
      </c>
      <c r="B3" t="s">
        <v>5365</v>
      </c>
      <c r="C3" t="s">
        <v>116</v>
      </c>
      <c r="D3">
        <v>1.4</v>
      </c>
      <c r="E3">
        <v>1590</v>
      </c>
    </row>
    <row r="4" spans="1:5">
      <c r="A4">
        <v>2015</v>
      </c>
      <c r="B4" t="s">
        <v>5365</v>
      </c>
      <c r="C4" t="s">
        <v>118</v>
      </c>
      <c r="D4">
        <v>3</v>
      </c>
      <c r="E4">
        <v>117</v>
      </c>
    </row>
    <row r="5" spans="1:5">
      <c r="A5">
        <v>2015</v>
      </c>
      <c r="B5" t="s">
        <v>5365</v>
      </c>
      <c r="C5" t="s">
        <v>5366</v>
      </c>
      <c r="D5">
        <v>34</v>
      </c>
      <c r="E5">
        <v>19124</v>
      </c>
    </row>
    <row r="6" spans="1:5">
      <c r="A6">
        <v>2015</v>
      </c>
      <c r="B6" t="s">
        <v>5365</v>
      </c>
      <c r="C6" t="s">
        <v>5367</v>
      </c>
      <c r="D6">
        <v>54</v>
      </c>
      <c r="E6">
        <v>25521</v>
      </c>
    </row>
    <row r="7" spans="1:5">
      <c r="A7">
        <v>2015</v>
      </c>
      <c r="B7" t="s">
        <v>5365</v>
      </c>
      <c r="C7" t="s">
        <v>5367</v>
      </c>
      <c r="D7">
        <v>54</v>
      </c>
      <c r="E7">
        <v>26087.03</v>
      </c>
    </row>
    <row r="8" spans="1:5">
      <c r="A8">
        <v>2015</v>
      </c>
      <c r="B8" t="s">
        <v>5365</v>
      </c>
      <c r="C8" t="s">
        <v>120</v>
      </c>
      <c r="D8">
        <v>1.5</v>
      </c>
      <c r="E8">
        <v>1099</v>
      </c>
    </row>
    <row r="9" spans="1:5">
      <c r="A9">
        <v>2015</v>
      </c>
      <c r="B9" t="s">
        <v>5365</v>
      </c>
      <c r="C9" t="s">
        <v>122</v>
      </c>
      <c r="D9">
        <v>9.99</v>
      </c>
      <c r="E9">
        <v>18742</v>
      </c>
    </row>
    <row r="10" spans="1:5">
      <c r="A10">
        <v>2015</v>
      </c>
      <c r="B10" t="s">
        <v>5365</v>
      </c>
      <c r="C10" t="s">
        <v>5368</v>
      </c>
      <c r="D10">
        <v>117.9</v>
      </c>
      <c r="E10">
        <v>142910</v>
      </c>
    </row>
    <row r="11" spans="1:5">
      <c r="A11">
        <v>2015</v>
      </c>
      <c r="B11" t="s">
        <v>5365</v>
      </c>
      <c r="C11" t="s">
        <v>5369</v>
      </c>
      <c r="D11">
        <v>82.9</v>
      </c>
      <c r="E11">
        <v>52329</v>
      </c>
    </row>
    <row r="12" spans="1:5">
      <c r="A12">
        <v>2015</v>
      </c>
      <c r="B12" t="s">
        <v>5365</v>
      </c>
      <c r="C12" t="s">
        <v>5370</v>
      </c>
      <c r="D12">
        <v>67.099999999999994</v>
      </c>
      <c r="E12">
        <v>51790</v>
      </c>
    </row>
    <row r="13" spans="1:5">
      <c r="A13">
        <v>2015</v>
      </c>
      <c r="B13" t="s">
        <v>5365</v>
      </c>
      <c r="C13" t="s">
        <v>5371</v>
      </c>
      <c r="D13">
        <v>98.5</v>
      </c>
      <c r="E13">
        <v>111803</v>
      </c>
    </row>
    <row r="14" spans="1:5">
      <c r="A14">
        <v>2015</v>
      </c>
      <c r="B14" t="s">
        <v>5365</v>
      </c>
      <c r="C14" t="s">
        <v>5372</v>
      </c>
      <c r="D14">
        <v>177</v>
      </c>
      <c r="E14">
        <v>176811</v>
      </c>
    </row>
    <row r="15" spans="1:5">
      <c r="A15">
        <v>2015</v>
      </c>
      <c r="B15" t="s">
        <v>5365</v>
      </c>
      <c r="C15" t="s">
        <v>5373</v>
      </c>
      <c r="D15">
        <v>100</v>
      </c>
      <c r="E15">
        <v>76579</v>
      </c>
    </row>
    <row r="16" spans="1:5">
      <c r="A16">
        <v>2015</v>
      </c>
      <c r="B16" t="s">
        <v>5365</v>
      </c>
      <c r="C16" t="s">
        <v>5374</v>
      </c>
      <c r="D16">
        <v>64.5</v>
      </c>
      <c r="E16">
        <v>42165</v>
      </c>
    </row>
    <row r="17" spans="1:5">
      <c r="A17">
        <v>2015</v>
      </c>
      <c r="B17" t="s">
        <v>5365</v>
      </c>
      <c r="C17" t="s">
        <v>2922</v>
      </c>
      <c r="D17">
        <v>9</v>
      </c>
      <c r="E17">
        <v>3361</v>
      </c>
    </row>
    <row r="18" spans="1:5">
      <c r="A18">
        <v>2015</v>
      </c>
      <c r="B18" t="s">
        <v>5365</v>
      </c>
      <c r="C18" t="s">
        <v>126</v>
      </c>
      <c r="D18">
        <v>3.2</v>
      </c>
      <c r="E18">
        <v>9553</v>
      </c>
    </row>
    <row r="19" spans="1:5">
      <c r="A19">
        <v>2015</v>
      </c>
      <c r="B19" t="s">
        <v>5365</v>
      </c>
      <c r="C19" t="s">
        <v>128</v>
      </c>
      <c r="D19">
        <v>7.3</v>
      </c>
      <c r="E19">
        <v>12554</v>
      </c>
    </row>
    <row r="20" spans="1:5">
      <c r="A20">
        <v>2015</v>
      </c>
      <c r="B20" t="s">
        <v>5365</v>
      </c>
      <c r="C20" t="s">
        <v>130</v>
      </c>
      <c r="D20">
        <v>7.84</v>
      </c>
      <c r="E20">
        <v>12683</v>
      </c>
    </row>
    <row r="21" spans="1:5">
      <c r="A21">
        <v>2015</v>
      </c>
      <c r="B21" t="s">
        <v>5365</v>
      </c>
      <c r="C21" t="s">
        <v>132</v>
      </c>
      <c r="D21">
        <v>7.95</v>
      </c>
      <c r="E21">
        <v>23841</v>
      </c>
    </row>
    <row r="22" spans="1:5">
      <c r="A22">
        <v>2015</v>
      </c>
      <c r="B22" t="s">
        <v>5365</v>
      </c>
      <c r="C22" t="s">
        <v>134</v>
      </c>
      <c r="D22">
        <v>3.8</v>
      </c>
      <c r="E22">
        <v>4971</v>
      </c>
    </row>
    <row r="23" spans="1:5">
      <c r="A23">
        <v>2015</v>
      </c>
      <c r="B23" t="s">
        <v>5365</v>
      </c>
      <c r="C23" t="s">
        <v>136</v>
      </c>
      <c r="D23">
        <v>1.6</v>
      </c>
      <c r="E23">
        <v>5926</v>
      </c>
    </row>
    <row r="24" spans="1:5">
      <c r="A24">
        <v>2015</v>
      </c>
      <c r="B24" t="s">
        <v>5365</v>
      </c>
      <c r="C24" t="s">
        <v>138</v>
      </c>
      <c r="D24">
        <v>6.19</v>
      </c>
      <c r="E24">
        <v>4786</v>
      </c>
    </row>
    <row r="25" spans="1:5">
      <c r="A25">
        <v>2015</v>
      </c>
      <c r="B25" t="s">
        <v>5365</v>
      </c>
      <c r="C25" t="s">
        <v>140</v>
      </c>
      <c r="D25">
        <v>11</v>
      </c>
      <c r="E25">
        <v>-221</v>
      </c>
    </row>
    <row r="26" spans="1:5">
      <c r="A26">
        <v>2015</v>
      </c>
      <c r="B26" t="s">
        <v>5365</v>
      </c>
      <c r="C26" t="s">
        <v>5375</v>
      </c>
      <c r="D26">
        <v>33</v>
      </c>
      <c r="E26">
        <v>32716.03</v>
      </c>
    </row>
    <row r="27" spans="1:5">
      <c r="A27">
        <v>2015</v>
      </c>
      <c r="B27" t="s">
        <v>5365</v>
      </c>
      <c r="C27" t="s">
        <v>5375</v>
      </c>
      <c r="D27">
        <v>25</v>
      </c>
      <c r="E27">
        <v>46477.01</v>
      </c>
    </row>
    <row r="28" spans="1:5">
      <c r="A28">
        <v>2015</v>
      </c>
      <c r="B28" t="s">
        <v>5365</v>
      </c>
      <c r="C28" t="s">
        <v>142</v>
      </c>
      <c r="D28">
        <v>0.15</v>
      </c>
      <c r="E28">
        <v>4444</v>
      </c>
    </row>
    <row r="29" spans="1:5">
      <c r="A29">
        <v>2015</v>
      </c>
      <c r="B29" t="s">
        <v>5365</v>
      </c>
      <c r="C29" t="s">
        <v>144</v>
      </c>
      <c r="D29">
        <v>1.5</v>
      </c>
      <c r="E29">
        <v>1652</v>
      </c>
    </row>
    <row r="30" spans="1:5">
      <c r="A30">
        <v>2015</v>
      </c>
      <c r="B30" t="s">
        <v>5365</v>
      </c>
      <c r="C30" t="s">
        <v>5376</v>
      </c>
      <c r="D30">
        <v>40</v>
      </c>
      <c r="E30">
        <v>72586</v>
      </c>
    </row>
    <row r="31" spans="1:5">
      <c r="A31">
        <v>2015</v>
      </c>
      <c r="B31" t="s">
        <v>5365</v>
      </c>
      <c r="C31" t="s">
        <v>145</v>
      </c>
      <c r="D31">
        <v>19.670000000000002</v>
      </c>
      <c r="E31">
        <v>23848.02</v>
      </c>
    </row>
    <row r="32" spans="1:5">
      <c r="A32">
        <v>2015</v>
      </c>
      <c r="B32" t="s">
        <v>5365</v>
      </c>
      <c r="C32" t="s">
        <v>147</v>
      </c>
      <c r="D32">
        <v>1.98</v>
      </c>
      <c r="E32">
        <v>989</v>
      </c>
    </row>
    <row r="33" spans="1:5">
      <c r="A33">
        <v>2015</v>
      </c>
      <c r="B33" t="s">
        <v>5365</v>
      </c>
      <c r="C33" t="s">
        <v>147</v>
      </c>
      <c r="D33">
        <v>0.99</v>
      </c>
      <c r="E33">
        <v>167</v>
      </c>
    </row>
    <row r="34" spans="1:5">
      <c r="A34">
        <v>2015</v>
      </c>
      <c r="B34" t="s">
        <v>5365</v>
      </c>
      <c r="C34" t="s">
        <v>149</v>
      </c>
      <c r="D34">
        <v>1</v>
      </c>
      <c r="E34">
        <v>743</v>
      </c>
    </row>
    <row r="35" spans="1:5">
      <c r="A35">
        <v>2015</v>
      </c>
      <c r="B35" t="s">
        <v>5365</v>
      </c>
      <c r="C35" t="s">
        <v>151</v>
      </c>
      <c r="D35">
        <v>1.25</v>
      </c>
      <c r="E35">
        <v>2215</v>
      </c>
    </row>
    <row r="36" spans="1:5">
      <c r="A36">
        <v>2015</v>
      </c>
      <c r="B36" t="s">
        <v>5365</v>
      </c>
      <c r="C36" t="s">
        <v>153</v>
      </c>
      <c r="D36">
        <v>10.8</v>
      </c>
      <c r="E36">
        <v>2557.02</v>
      </c>
    </row>
    <row r="37" spans="1:5">
      <c r="A37">
        <v>2015</v>
      </c>
      <c r="B37" t="s">
        <v>5365</v>
      </c>
      <c r="C37" t="s">
        <v>5377</v>
      </c>
      <c r="D37">
        <v>78.900000000000006</v>
      </c>
      <c r="E37">
        <v>84709</v>
      </c>
    </row>
    <row r="38" spans="1:5">
      <c r="A38">
        <v>2015</v>
      </c>
      <c r="B38" t="s">
        <v>5365</v>
      </c>
      <c r="C38" t="s">
        <v>5377</v>
      </c>
      <c r="D38">
        <v>78.900000000000006</v>
      </c>
      <c r="E38">
        <v>17272</v>
      </c>
    </row>
    <row r="39" spans="1:5">
      <c r="A39">
        <v>2015</v>
      </c>
      <c r="B39" t="s">
        <v>5365</v>
      </c>
      <c r="C39" t="s">
        <v>155</v>
      </c>
      <c r="D39">
        <v>7.18</v>
      </c>
      <c r="E39">
        <v>5251</v>
      </c>
    </row>
    <row r="40" spans="1:5">
      <c r="A40">
        <v>2015</v>
      </c>
      <c r="B40" t="s">
        <v>5365</v>
      </c>
      <c r="C40" t="s">
        <v>5378</v>
      </c>
      <c r="D40">
        <v>23.8</v>
      </c>
      <c r="E40">
        <v>17027</v>
      </c>
    </row>
    <row r="41" spans="1:5">
      <c r="A41">
        <v>2015</v>
      </c>
      <c r="B41" t="s">
        <v>5365</v>
      </c>
      <c r="C41" t="s">
        <v>5378</v>
      </c>
      <c r="D41">
        <v>25</v>
      </c>
      <c r="E41">
        <v>33461.040000000001</v>
      </c>
    </row>
    <row r="42" spans="1:5">
      <c r="A42">
        <v>2015</v>
      </c>
      <c r="B42" t="s">
        <v>5365</v>
      </c>
      <c r="C42" t="s">
        <v>5378</v>
      </c>
      <c r="D42">
        <v>25</v>
      </c>
      <c r="E42">
        <v>31697.040000000001</v>
      </c>
    </row>
    <row r="43" spans="1:5">
      <c r="A43">
        <v>2015</v>
      </c>
      <c r="B43" t="s">
        <v>5365</v>
      </c>
      <c r="C43" t="s">
        <v>5379</v>
      </c>
      <c r="D43">
        <v>60</v>
      </c>
      <c r="E43">
        <v>110647</v>
      </c>
    </row>
    <row r="44" spans="1:5">
      <c r="A44">
        <v>2015</v>
      </c>
      <c r="B44" t="s">
        <v>5365</v>
      </c>
      <c r="C44" t="s">
        <v>5379</v>
      </c>
      <c r="D44">
        <v>60</v>
      </c>
      <c r="E44">
        <v>110148</v>
      </c>
    </row>
    <row r="45" spans="1:5">
      <c r="A45">
        <v>2015</v>
      </c>
      <c r="B45" t="s">
        <v>5365</v>
      </c>
      <c r="C45" t="s">
        <v>5380</v>
      </c>
      <c r="D45">
        <v>271</v>
      </c>
      <c r="E45">
        <v>54083</v>
      </c>
    </row>
    <row r="46" spans="1:5">
      <c r="A46">
        <v>2015</v>
      </c>
      <c r="B46" t="s">
        <v>5365</v>
      </c>
      <c r="C46" t="s">
        <v>5380</v>
      </c>
      <c r="D46">
        <v>271</v>
      </c>
      <c r="E46">
        <v>46842.080000000002</v>
      </c>
    </row>
    <row r="47" spans="1:5">
      <c r="A47">
        <v>2015</v>
      </c>
      <c r="B47" t="s">
        <v>5365</v>
      </c>
      <c r="C47" t="s">
        <v>5380</v>
      </c>
      <c r="D47">
        <v>271</v>
      </c>
      <c r="E47">
        <v>34580.01</v>
      </c>
    </row>
    <row r="48" spans="1:5">
      <c r="A48">
        <v>2015</v>
      </c>
      <c r="B48" t="s">
        <v>5365</v>
      </c>
      <c r="C48" t="s">
        <v>5380</v>
      </c>
      <c r="D48">
        <v>271</v>
      </c>
      <c r="E48">
        <v>8927</v>
      </c>
    </row>
    <row r="49" spans="1:5">
      <c r="A49">
        <v>2015</v>
      </c>
      <c r="B49" t="s">
        <v>5365</v>
      </c>
      <c r="C49" t="s">
        <v>5380</v>
      </c>
      <c r="D49">
        <v>271</v>
      </c>
      <c r="E49">
        <v>36781</v>
      </c>
    </row>
    <row r="50" spans="1:5">
      <c r="A50">
        <v>2015</v>
      </c>
      <c r="B50" t="s">
        <v>5365</v>
      </c>
      <c r="C50" t="s">
        <v>5380</v>
      </c>
      <c r="D50">
        <v>271</v>
      </c>
      <c r="E50">
        <v>144753</v>
      </c>
    </row>
    <row r="51" spans="1:5">
      <c r="A51">
        <v>2015</v>
      </c>
      <c r="B51" t="s">
        <v>5365</v>
      </c>
      <c r="C51" t="s">
        <v>5380</v>
      </c>
      <c r="D51">
        <v>56</v>
      </c>
      <c r="E51">
        <v>3242.11</v>
      </c>
    </row>
    <row r="52" spans="1:5">
      <c r="A52">
        <v>2015</v>
      </c>
      <c r="B52" t="s">
        <v>5365</v>
      </c>
      <c r="C52" t="s">
        <v>157</v>
      </c>
      <c r="D52">
        <v>5.5</v>
      </c>
      <c r="E52">
        <v>0.01</v>
      </c>
    </row>
    <row r="53" spans="1:5">
      <c r="A53">
        <v>2015</v>
      </c>
      <c r="B53" t="s">
        <v>5365</v>
      </c>
      <c r="C53" t="s">
        <v>157</v>
      </c>
      <c r="D53">
        <v>0.9</v>
      </c>
      <c r="E53">
        <v>0.01</v>
      </c>
    </row>
    <row r="54" spans="1:5">
      <c r="A54">
        <v>2015</v>
      </c>
      <c r="B54" t="s">
        <v>5365</v>
      </c>
      <c r="C54" t="s">
        <v>159</v>
      </c>
      <c r="D54">
        <v>6.95</v>
      </c>
      <c r="E54">
        <v>0.12</v>
      </c>
    </row>
    <row r="55" spans="1:5">
      <c r="A55">
        <v>2015</v>
      </c>
      <c r="B55" t="s">
        <v>5365</v>
      </c>
      <c r="C55" t="s">
        <v>159</v>
      </c>
      <c r="D55">
        <v>6.95</v>
      </c>
      <c r="E55">
        <v>0.12</v>
      </c>
    </row>
    <row r="56" spans="1:5">
      <c r="A56">
        <v>2015</v>
      </c>
      <c r="B56" t="s">
        <v>5365</v>
      </c>
      <c r="C56" t="s">
        <v>5381</v>
      </c>
      <c r="D56">
        <v>44</v>
      </c>
      <c r="E56">
        <v>69133</v>
      </c>
    </row>
    <row r="57" spans="1:5">
      <c r="A57">
        <v>2015</v>
      </c>
      <c r="B57" t="s">
        <v>5365</v>
      </c>
      <c r="C57" t="s">
        <v>161</v>
      </c>
      <c r="D57">
        <v>8.1</v>
      </c>
      <c r="E57">
        <v>866</v>
      </c>
    </row>
    <row r="58" spans="1:5">
      <c r="A58">
        <v>2015</v>
      </c>
      <c r="B58" t="s">
        <v>5365</v>
      </c>
      <c r="C58" t="s">
        <v>163</v>
      </c>
      <c r="D58">
        <v>13</v>
      </c>
      <c r="E58">
        <v>26894.03</v>
      </c>
    </row>
    <row r="59" spans="1:5">
      <c r="A59">
        <v>2015</v>
      </c>
      <c r="B59" t="s">
        <v>5365</v>
      </c>
      <c r="C59" t="s">
        <v>5382</v>
      </c>
      <c r="D59">
        <v>131.5</v>
      </c>
      <c r="E59">
        <v>91455</v>
      </c>
    </row>
    <row r="60" spans="1:5">
      <c r="A60">
        <v>2015</v>
      </c>
      <c r="B60" t="s">
        <v>5365</v>
      </c>
      <c r="C60" t="s">
        <v>5382</v>
      </c>
      <c r="D60">
        <v>131.5</v>
      </c>
      <c r="E60">
        <v>51951</v>
      </c>
    </row>
    <row r="61" spans="1:5">
      <c r="A61">
        <v>2015</v>
      </c>
      <c r="B61" t="s">
        <v>5365</v>
      </c>
      <c r="C61" t="s">
        <v>553</v>
      </c>
      <c r="D61">
        <v>37.5</v>
      </c>
      <c r="E61">
        <v>9180</v>
      </c>
    </row>
    <row r="62" spans="1:5">
      <c r="A62">
        <v>2015</v>
      </c>
      <c r="B62" t="s">
        <v>5365</v>
      </c>
      <c r="C62" t="s">
        <v>165</v>
      </c>
      <c r="D62">
        <v>10</v>
      </c>
      <c r="E62">
        <v>39081</v>
      </c>
    </row>
    <row r="63" spans="1:5">
      <c r="A63">
        <v>2015</v>
      </c>
      <c r="B63" t="s">
        <v>5365</v>
      </c>
      <c r="C63" t="s">
        <v>165</v>
      </c>
      <c r="D63">
        <v>10</v>
      </c>
      <c r="E63">
        <v>21458.01</v>
      </c>
    </row>
    <row r="64" spans="1:5">
      <c r="A64">
        <v>2015</v>
      </c>
      <c r="B64" t="s">
        <v>5365</v>
      </c>
      <c r="C64" t="s">
        <v>167</v>
      </c>
      <c r="D64">
        <v>13.5</v>
      </c>
      <c r="E64">
        <v>46142</v>
      </c>
    </row>
    <row r="65" spans="1:5">
      <c r="A65">
        <v>2015</v>
      </c>
      <c r="B65" t="s">
        <v>5365</v>
      </c>
      <c r="C65" t="s">
        <v>167</v>
      </c>
      <c r="D65">
        <v>13.5</v>
      </c>
      <c r="E65">
        <v>30956.01</v>
      </c>
    </row>
    <row r="66" spans="1:5">
      <c r="A66">
        <v>2015</v>
      </c>
      <c r="B66" t="s">
        <v>5365</v>
      </c>
      <c r="C66" t="s">
        <v>169</v>
      </c>
      <c r="D66">
        <v>2.85</v>
      </c>
      <c r="E66">
        <v>17139</v>
      </c>
    </row>
    <row r="67" spans="1:5">
      <c r="A67">
        <v>2015</v>
      </c>
      <c r="B67" t="s">
        <v>5365</v>
      </c>
      <c r="C67" t="s">
        <v>171</v>
      </c>
      <c r="D67">
        <v>1.5</v>
      </c>
      <c r="E67">
        <v>1097</v>
      </c>
    </row>
    <row r="68" spans="1:5">
      <c r="A68">
        <v>2015</v>
      </c>
      <c r="B68" t="s">
        <v>5365</v>
      </c>
      <c r="C68" t="s">
        <v>171</v>
      </c>
      <c r="D68">
        <v>0</v>
      </c>
      <c r="E68">
        <v>0.01</v>
      </c>
    </row>
    <row r="69" spans="1:5">
      <c r="A69">
        <v>2015</v>
      </c>
      <c r="B69" t="s">
        <v>5365</v>
      </c>
      <c r="C69" t="s">
        <v>173</v>
      </c>
      <c r="D69">
        <v>1</v>
      </c>
      <c r="E69">
        <v>1563</v>
      </c>
    </row>
    <row r="70" spans="1:5">
      <c r="A70">
        <v>2015</v>
      </c>
      <c r="B70" t="s">
        <v>5365</v>
      </c>
      <c r="C70" t="s">
        <v>173</v>
      </c>
      <c r="D70">
        <v>1</v>
      </c>
      <c r="E70">
        <v>2480</v>
      </c>
    </row>
    <row r="71" spans="1:5">
      <c r="A71">
        <v>2015</v>
      </c>
      <c r="B71" t="s">
        <v>5365</v>
      </c>
      <c r="C71" t="s">
        <v>175</v>
      </c>
      <c r="D71">
        <v>3.13</v>
      </c>
      <c r="E71">
        <v>7034</v>
      </c>
    </row>
    <row r="72" spans="1:5">
      <c r="A72">
        <v>2015</v>
      </c>
      <c r="B72" t="s">
        <v>5365</v>
      </c>
      <c r="C72" t="s">
        <v>177</v>
      </c>
      <c r="D72">
        <v>0.9</v>
      </c>
      <c r="E72">
        <v>-38</v>
      </c>
    </row>
    <row r="73" spans="1:5">
      <c r="A73">
        <v>2015</v>
      </c>
      <c r="B73" t="s">
        <v>5365</v>
      </c>
      <c r="C73" t="s">
        <v>5383</v>
      </c>
      <c r="D73">
        <v>35</v>
      </c>
      <c r="E73">
        <v>55176</v>
      </c>
    </row>
    <row r="74" spans="1:5">
      <c r="A74">
        <v>2015</v>
      </c>
      <c r="B74" t="s">
        <v>5365</v>
      </c>
      <c r="C74" t="s">
        <v>5383</v>
      </c>
      <c r="D74">
        <v>35</v>
      </c>
      <c r="E74">
        <v>68966</v>
      </c>
    </row>
    <row r="75" spans="1:5">
      <c r="A75">
        <v>2015</v>
      </c>
      <c r="B75" t="s">
        <v>5365</v>
      </c>
      <c r="C75" t="s">
        <v>179</v>
      </c>
      <c r="D75">
        <v>18.5</v>
      </c>
      <c r="E75">
        <v>42822.02</v>
      </c>
    </row>
    <row r="76" spans="1:5">
      <c r="A76">
        <v>2015</v>
      </c>
      <c r="B76" t="s">
        <v>5365</v>
      </c>
      <c r="C76" t="s">
        <v>181</v>
      </c>
      <c r="D76">
        <v>5.7</v>
      </c>
      <c r="E76">
        <v>18342</v>
      </c>
    </row>
    <row r="77" spans="1:5">
      <c r="A77">
        <v>2015</v>
      </c>
      <c r="B77" t="s">
        <v>5365</v>
      </c>
      <c r="C77" t="s">
        <v>183</v>
      </c>
      <c r="D77">
        <v>1.38</v>
      </c>
      <c r="E77">
        <v>0.01</v>
      </c>
    </row>
    <row r="78" spans="1:5">
      <c r="A78">
        <v>2015</v>
      </c>
      <c r="B78" t="s">
        <v>5365</v>
      </c>
      <c r="C78" t="s">
        <v>5384</v>
      </c>
      <c r="D78">
        <v>59.85</v>
      </c>
      <c r="E78">
        <v>36829</v>
      </c>
    </row>
    <row r="79" spans="1:5">
      <c r="A79">
        <v>2015</v>
      </c>
      <c r="B79" t="s">
        <v>5365</v>
      </c>
      <c r="C79" t="s">
        <v>5384</v>
      </c>
      <c r="D79">
        <v>59.85</v>
      </c>
      <c r="E79">
        <v>59459.03</v>
      </c>
    </row>
    <row r="80" spans="1:5">
      <c r="A80">
        <v>2015</v>
      </c>
      <c r="B80" t="s">
        <v>5365</v>
      </c>
      <c r="C80" t="s">
        <v>5384</v>
      </c>
      <c r="D80">
        <v>78.37</v>
      </c>
      <c r="E80">
        <v>159963</v>
      </c>
    </row>
    <row r="81" spans="1:5">
      <c r="A81">
        <v>2015</v>
      </c>
      <c r="B81" t="s">
        <v>5365</v>
      </c>
      <c r="C81" t="s">
        <v>5384</v>
      </c>
      <c r="D81">
        <v>78.37</v>
      </c>
      <c r="E81">
        <v>10845.03</v>
      </c>
    </row>
    <row r="82" spans="1:5">
      <c r="A82">
        <v>2015</v>
      </c>
      <c r="B82" t="s">
        <v>5365</v>
      </c>
      <c r="C82" t="s">
        <v>5385</v>
      </c>
      <c r="D82">
        <v>82.5</v>
      </c>
      <c r="E82">
        <v>293073</v>
      </c>
    </row>
    <row r="83" spans="1:5">
      <c r="A83">
        <v>2015</v>
      </c>
      <c r="B83" t="s">
        <v>5365</v>
      </c>
      <c r="C83" t="s">
        <v>5385</v>
      </c>
      <c r="D83">
        <v>82.5</v>
      </c>
      <c r="E83">
        <v>301934</v>
      </c>
    </row>
    <row r="84" spans="1:5">
      <c r="A84">
        <v>2015</v>
      </c>
      <c r="B84" t="s">
        <v>5365</v>
      </c>
      <c r="C84" t="s">
        <v>185</v>
      </c>
      <c r="D84">
        <v>0.6</v>
      </c>
      <c r="E84">
        <v>0.01</v>
      </c>
    </row>
    <row r="85" spans="1:5">
      <c r="A85">
        <v>2015</v>
      </c>
      <c r="B85" t="s">
        <v>5365</v>
      </c>
      <c r="C85" t="s">
        <v>5386</v>
      </c>
      <c r="D85">
        <v>55</v>
      </c>
      <c r="E85">
        <v>96357</v>
      </c>
    </row>
    <row r="86" spans="1:5">
      <c r="A86">
        <v>2015</v>
      </c>
      <c r="B86" t="s">
        <v>5365</v>
      </c>
      <c r="C86" t="s">
        <v>5386</v>
      </c>
      <c r="D86">
        <v>55</v>
      </c>
      <c r="E86">
        <v>22072</v>
      </c>
    </row>
    <row r="87" spans="1:5">
      <c r="A87">
        <v>2015</v>
      </c>
      <c r="B87" t="s">
        <v>5365</v>
      </c>
      <c r="C87" t="s">
        <v>5386</v>
      </c>
      <c r="D87">
        <v>55</v>
      </c>
      <c r="E87">
        <v>36611</v>
      </c>
    </row>
    <row r="88" spans="1:5">
      <c r="A88">
        <v>2015</v>
      </c>
      <c r="B88" t="s">
        <v>5365</v>
      </c>
      <c r="C88" t="s">
        <v>5386</v>
      </c>
      <c r="D88">
        <v>38</v>
      </c>
      <c r="E88">
        <v>27360.02</v>
      </c>
    </row>
    <row r="89" spans="1:5">
      <c r="A89">
        <v>2015</v>
      </c>
      <c r="B89" t="s">
        <v>5365</v>
      </c>
      <c r="C89" t="s">
        <v>5387</v>
      </c>
      <c r="D89">
        <v>72</v>
      </c>
      <c r="E89">
        <v>143129</v>
      </c>
    </row>
    <row r="90" spans="1:5">
      <c r="A90">
        <v>2015</v>
      </c>
      <c r="B90" t="s">
        <v>5365</v>
      </c>
      <c r="C90" t="s">
        <v>187</v>
      </c>
      <c r="D90">
        <v>1.95</v>
      </c>
      <c r="E90">
        <v>3887</v>
      </c>
    </row>
    <row r="91" spans="1:5">
      <c r="A91">
        <v>2015</v>
      </c>
      <c r="B91" t="s">
        <v>5365</v>
      </c>
      <c r="C91" t="s">
        <v>187</v>
      </c>
      <c r="D91">
        <v>1.95</v>
      </c>
      <c r="E91">
        <v>5090</v>
      </c>
    </row>
    <row r="92" spans="1:5">
      <c r="A92">
        <v>2015</v>
      </c>
      <c r="B92" t="s">
        <v>5365</v>
      </c>
      <c r="C92" t="s">
        <v>187</v>
      </c>
      <c r="D92">
        <v>1.95</v>
      </c>
      <c r="E92">
        <v>7978</v>
      </c>
    </row>
    <row r="93" spans="1:5">
      <c r="A93">
        <v>2015</v>
      </c>
      <c r="B93" t="s">
        <v>5365</v>
      </c>
      <c r="C93" t="s">
        <v>189</v>
      </c>
      <c r="D93">
        <v>5</v>
      </c>
      <c r="E93">
        <v>26524</v>
      </c>
    </row>
    <row r="94" spans="1:5">
      <c r="A94">
        <v>2015</v>
      </c>
      <c r="B94" t="s">
        <v>5365</v>
      </c>
      <c r="C94" t="s">
        <v>189</v>
      </c>
      <c r="D94">
        <v>5</v>
      </c>
      <c r="E94">
        <v>21220</v>
      </c>
    </row>
    <row r="95" spans="1:5">
      <c r="A95">
        <v>2015</v>
      </c>
      <c r="B95" t="s">
        <v>5365</v>
      </c>
      <c r="C95" t="s">
        <v>191</v>
      </c>
      <c r="D95">
        <v>4.8</v>
      </c>
      <c r="E95">
        <v>16240</v>
      </c>
    </row>
    <row r="96" spans="1:5">
      <c r="A96">
        <v>2015</v>
      </c>
      <c r="B96" t="s">
        <v>5365</v>
      </c>
      <c r="C96" t="s">
        <v>191</v>
      </c>
      <c r="D96">
        <v>5</v>
      </c>
      <c r="E96">
        <v>24298</v>
      </c>
    </row>
    <row r="97" spans="1:5">
      <c r="A97">
        <v>2015</v>
      </c>
      <c r="B97" t="s">
        <v>5365</v>
      </c>
      <c r="C97" t="s">
        <v>193</v>
      </c>
      <c r="D97">
        <v>10</v>
      </c>
      <c r="E97">
        <v>30273.02</v>
      </c>
    </row>
    <row r="98" spans="1:5">
      <c r="A98">
        <v>2015</v>
      </c>
      <c r="B98" t="s">
        <v>5365</v>
      </c>
      <c r="C98" t="s">
        <v>193</v>
      </c>
      <c r="D98">
        <v>9.6</v>
      </c>
      <c r="E98">
        <v>58341.01</v>
      </c>
    </row>
    <row r="99" spans="1:5">
      <c r="A99">
        <v>2015</v>
      </c>
      <c r="B99" t="s">
        <v>5365</v>
      </c>
      <c r="C99" t="s">
        <v>195</v>
      </c>
      <c r="D99">
        <v>2</v>
      </c>
      <c r="E99">
        <v>6048</v>
      </c>
    </row>
    <row r="100" spans="1:5">
      <c r="A100">
        <v>2015</v>
      </c>
      <c r="B100" t="s">
        <v>5365</v>
      </c>
      <c r="C100" t="s">
        <v>195</v>
      </c>
      <c r="D100">
        <v>2</v>
      </c>
      <c r="E100">
        <v>6939</v>
      </c>
    </row>
    <row r="101" spans="1:5">
      <c r="A101">
        <v>2015</v>
      </c>
      <c r="B101" t="s">
        <v>5365</v>
      </c>
      <c r="C101" t="s">
        <v>5388</v>
      </c>
      <c r="D101">
        <v>13</v>
      </c>
      <c r="E101">
        <v>4736.0200000000004</v>
      </c>
    </row>
    <row r="102" spans="1:5">
      <c r="A102">
        <v>2015</v>
      </c>
      <c r="B102" t="s">
        <v>5365</v>
      </c>
      <c r="C102" t="s">
        <v>5388</v>
      </c>
      <c r="D102">
        <v>12</v>
      </c>
      <c r="E102">
        <v>1625.06</v>
      </c>
    </row>
    <row r="103" spans="1:5">
      <c r="A103">
        <v>2015</v>
      </c>
      <c r="B103" t="s">
        <v>5365</v>
      </c>
      <c r="C103" t="s">
        <v>5388</v>
      </c>
      <c r="D103">
        <v>14</v>
      </c>
      <c r="E103">
        <v>1114.04</v>
      </c>
    </row>
    <row r="104" spans="1:5">
      <c r="A104">
        <v>2015</v>
      </c>
      <c r="B104" t="s">
        <v>5365</v>
      </c>
      <c r="C104" t="s">
        <v>5388</v>
      </c>
      <c r="D104">
        <v>16.5</v>
      </c>
      <c r="E104">
        <v>13201.01</v>
      </c>
    </row>
    <row r="105" spans="1:5">
      <c r="A105">
        <v>2015</v>
      </c>
      <c r="B105" t="s">
        <v>5365</v>
      </c>
      <c r="C105" t="s">
        <v>5389</v>
      </c>
      <c r="D105">
        <v>49.5</v>
      </c>
      <c r="E105">
        <v>175386</v>
      </c>
    </row>
    <row r="106" spans="1:5">
      <c r="A106">
        <v>2015</v>
      </c>
      <c r="B106" t="s">
        <v>5365</v>
      </c>
      <c r="C106" t="s">
        <v>197</v>
      </c>
      <c r="D106">
        <v>22</v>
      </c>
      <c r="E106">
        <v>62568</v>
      </c>
    </row>
    <row r="107" spans="1:5">
      <c r="A107">
        <v>2015</v>
      </c>
      <c r="B107" t="s">
        <v>5365</v>
      </c>
      <c r="C107" t="s">
        <v>199</v>
      </c>
      <c r="D107">
        <v>27.3</v>
      </c>
      <c r="E107">
        <v>21793.03</v>
      </c>
    </row>
    <row r="108" spans="1:5">
      <c r="A108">
        <v>2015</v>
      </c>
      <c r="B108" t="s">
        <v>5365</v>
      </c>
      <c r="C108" t="s">
        <v>201</v>
      </c>
      <c r="D108">
        <v>2.42</v>
      </c>
      <c r="E108">
        <v>4675</v>
      </c>
    </row>
    <row r="109" spans="1:5">
      <c r="A109">
        <v>2015</v>
      </c>
      <c r="B109" t="s">
        <v>5365</v>
      </c>
      <c r="C109" t="s">
        <v>5390</v>
      </c>
      <c r="D109">
        <v>199</v>
      </c>
      <c r="E109">
        <v>80398</v>
      </c>
    </row>
    <row r="110" spans="1:5">
      <c r="A110">
        <v>2015</v>
      </c>
      <c r="B110" t="s">
        <v>5365</v>
      </c>
      <c r="C110" t="s">
        <v>5391</v>
      </c>
      <c r="D110">
        <v>117</v>
      </c>
      <c r="E110">
        <v>103.09</v>
      </c>
    </row>
    <row r="111" spans="1:5">
      <c r="A111">
        <v>2015</v>
      </c>
      <c r="B111" t="s">
        <v>5365</v>
      </c>
      <c r="C111" t="s">
        <v>5391</v>
      </c>
      <c r="D111">
        <v>97.75</v>
      </c>
      <c r="E111">
        <v>56101.07</v>
      </c>
    </row>
    <row r="112" spans="1:5">
      <c r="A112">
        <v>2015</v>
      </c>
      <c r="B112" t="s">
        <v>5365</v>
      </c>
      <c r="C112" t="s">
        <v>5391</v>
      </c>
      <c r="D112">
        <v>117</v>
      </c>
      <c r="E112">
        <v>183112</v>
      </c>
    </row>
    <row r="113" spans="1:5">
      <c r="A113">
        <v>2015</v>
      </c>
      <c r="B113" t="s">
        <v>5365</v>
      </c>
      <c r="C113" t="s">
        <v>5391</v>
      </c>
      <c r="D113">
        <v>97.75</v>
      </c>
      <c r="E113">
        <v>99244.05</v>
      </c>
    </row>
    <row r="114" spans="1:5">
      <c r="A114">
        <v>2015</v>
      </c>
      <c r="B114" t="s">
        <v>5365</v>
      </c>
      <c r="C114" t="s">
        <v>5391</v>
      </c>
      <c r="D114">
        <v>117</v>
      </c>
      <c r="E114">
        <v>189384</v>
      </c>
    </row>
    <row r="115" spans="1:5">
      <c r="A115">
        <v>2015</v>
      </c>
      <c r="B115" t="s">
        <v>5365</v>
      </c>
      <c r="C115" t="s">
        <v>5391</v>
      </c>
      <c r="D115">
        <v>97.75</v>
      </c>
      <c r="E115">
        <v>44343.03</v>
      </c>
    </row>
    <row r="116" spans="1:5">
      <c r="A116">
        <v>2015</v>
      </c>
      <c r="B116" t="s">
        <v>5365</v>
      </c>
      <c r="C116" t="s">
        <v>203</v>
      </c>
      <c r="D116">
        <v>10</v>
      </c>
      <c r="E116">
        <v>13749</v>
      </c>
    </row>
    <row r="117" spans="1:5">
      <c r="A117">
        <v>2015</v>
      </c>
      <c r="B117" t="s">
        <v>5365</v>
      </c>
      <c r="C117" t="s">
        <v>203</v>
      </c>
      <c r="D117">
        <v>10</v>
      </c>
      <c r="E117">
        <v>18546.02</v>
      </c>
    </row>
    <row r="118" spans="1:5">
      <c r="A118">
        <v>2015</v>
      </c>
      <c r="B118" t="s">
        <v>5365</v>
      </c>
      <c r="C118" t="s">
        <v>205</v>
      </c>
      <c r="D118">
        <v>2.6</v>
      </c>
      <c r="E118">
        <v>1879</v>
      </c>
    </row>
    <row r="119" spans="1:5">
      <c r="A119">
        <v>2015</v>
      </c>
      <c r="B119" t="s">
        <v>5365</v>
      </c>
      <c r="C119" t="s">
        <v>5392</v>
      </c>
      <c r="D119">
        <v>31</v>
      </c>
      <c r="E119">
        <v>65156</v>
      </c>
    </row>
    <row r="120" spans="1:5">
      <c r="A120">
        <v>2015</v>
      </c>
      <c r="B120" t="s">
        <v>5365</v>
      </c>
      <c r="C120" t="s">
        <v>5392</v>
      </c>
      <c r="D120">
        <v>31</v>
      </c>
      <c r="E120">
        <v>67700</v>
      </c>
    </row>
    <row r="121" spans="1:5">
      <c r="A121">
        <v>2015</v>
      </c>
      <c r="B121" t="s">
        <v>5365</v>
      </c>
      <c r="C121" t="s">
        <v>5392</v>
      </c>
      <c r="D121">
        <v>37</v>
      </c>
      <c r="E121">
        <v>31330.03</v>
      </c>
    </row>
    <row r="122" spans="1:5">
      <c r="A122">
        <v>2015</v>
      </c>
      <c r="B122" t="s">
        <v>5365</v>
      </c>
      <c r="C122" t="s">
        <v>207</v>
      </c>
      <c r="D122">
        <v>23.9</v>
      </c>
      <c r="E122">
        <v>28.11</v>
      </c>
    </row>
    <row r="123" spans="1:5">
      <c r="A123">
        <v>2015</v>
      </c>
      <c r="B123" t="s">
        <v>5365</v>
      </c>
      <c r="C123" t="s">
        <v>5393</v>
      </c>
      <c r="D123">
        <v>94.5</v>
      </c>
      <c r="E123">
        <v>10773</v>
      </c>
    </row>
    <row r="124" spans="1:5">
      <c r="A124">
        <v>2015</v>
      </c>
      <c r="B124" t="s">
        <v>5365</v>
      </c>
      <c r="C124" t="s">
        <v>209</v>
      </c>
      <c r="D124">
        <v>0.5</v>
      </c>
      <c r="E124">
        <v>2204</v>
      </c>
    </row>
    <row r="125" spans="1:5">
      <c r="A125">
        <v>2015</v>
      </c>
      <c r="B125" t="s">
        <v>5365</v>
      </c>
      <c r="C125" t="s">
        <v>209</v>
      </c>
      <c r="D125">
        <v>0.45</v>
      </c>
      <c r="E125">
        <v>1984</v>
      </c>
    </row>
    <row r="126" spans="1:5">
      <c r="A126">
        <v>2015</v>
      </c>
      <c r="B126" t="s">
        <v>5365</v>
      </c>
      <c r="C126" t="s">
        <v>209</v>
      </c>
      <c r="D126">
        <v>1.25</v>
      </c>
      <c r="E126">
        <v>5511</v>
      </c>
    </row>
    <row r="127" spans="1:5">
      <c r="A127">
        <v>2015</v>
      </c>
      <c r="B127" t="s">
        <v>5365</v>
      </c>
      <c r="C127" t="s">
        <v>5394</v>
      </c>
      <c r="D127">
        <v>69</v>
      </c>
      <c r="E127">
        <v>68290</v>
      </c>
    </row>
    <row r="128" spans="1:5">
      <c r="A128">
        <v>2015</v>
      </c>
      <c r="B128" t="s">
        <v>5365</v>
      </c>
      <c r="C128" t="s">
        <v>5394</v>
      </c>
      <c r="D128">
        <v>69</v>
      </c>
      <c r="E128">
        <v>68489</v>
      </c>
    </row>
    <row r="129" spans="1:5">
      <c r="A129">
        <v>2015</v>
      </c>
      <c r="B129" t="s">
        <v>5365</v>
      </c>
      <c r="C129" t="s">
        <v>5394</v>
      </c>
      <c r="D129">
        <v>69</v>
      </c>
      <c r="E129">
        <v>68489</v>
      </c>
    </row>
    <row r="130" spans="1:5">
      <c r="A130">
        <v>2015</v>
      </c>
      <c r="B130" t="s">
        <v>5365</v>
      </c>
      <c r="C130" t="s">
        <v>211</v>
      </c>
      <c r="D130">
        <v>1.9</v>
      </c>
      <c r="E130">
        <v>1627</v>
      </c>
    </row>
    <row r="131" spans="1:5">
      <c r="A131">
        <v>2015</v>
      </c>
      <c r="B131" t="s">
        <v>5365</v>
      </c>
      <c r="C131" t="s">
        <v>213</v>
      </c>
      <c r="D131">
        <v>9</v>
      </c>
      <c r="E131">
        <v>0.01</v>
      </c>
    </row>
    <row r="132" spans="1:5">
      <c r="A132">
        <v>2015</v>
      </c>
      <c r="B132" t="s">
        <v>5365</v>
      </c>
      <c r="C132" t="s">
        <v>215</v>
      </c>
      <c r="D132">
        <v>11</v>
      </c>
      <c r="E132">
        <v>3186</v>
      </c>
    </row>
    <row r="133" spans="1:5">
      <c r="A133">
        <v>2015</v>
      </c>
      <c r="B133" t="s">
        <v>5365</v>
      </c>
      <c r="C133" t="s">
        <v>5395</v>
      </c>
      <c r="D133">
        <v>29</v>
      </c>
      <c r="E133">
        <v>70152</v>
      </c>
    </row>
    <row r="134" spans="1:5">
      <c r="A134">
        <v>2015</v>
      </c>
      <c r="B134" t="s">
        <v>5365</v>
      </c>
      <c r="C134" t="s">
        <v>217</v>
      </c>
      <c r="D134">
        <v>14.5</v>
      </c>
      <c r="E134">
        <v>8809.0499999999993</v>
      </c>
    </row>
    <row r="135" spans="1:5">
      <c r="A135">
        <v>2015</v>
      </c>
      <c r="B135" t="s">
        <v>5365</v>
      </c>
      <c r="C135" t="s">
        <v>219</v>
      </c>
      <c r="D135">
        <v>2</v>
      </c>
      <c r="E135">
        <v>1</v>
      </c>
    </row>
    <row r="136" spans="1:5">
      <c r="A136">
        <v>2015</v>
      </c>
      <c r="B136" t="s">
        <v>5365</v>
      </c>
      <c r="C136" t="s">
        <v>221</v>
      </c>
      <c r="D136">
        <v>15</v>
      </c>
      <c r="E136">
        <v>9199</v>
      </c>
    </row>
    <row r="137" spans="1:5">
      <c r="A137">
        <v>2015</v>
      </c>
      <c r="B137" t="s">
        <v>5365</v>
      </c>
      <c r="C137" t="s">
        <v>223</v>
      </c>
      <c r="D137">
        <v>18.399999999999999</v>
      </c>
      <c r="E137">
        <v>0.12</v>
      </c>
    </row>
    <row r="138" spans="1:5">
      <c r="A138">
        <v>2015</v>
      </c>
      <c r="B138" t="s">
        <v>5365</v>
      </c>
      <c r="C138" t="s">
        <v>223</v>
      </c>
      <c r="D138">
        <v>9.7799999999999994</v>
      </c>
      <c r="E138">
        <v>0.12</v>
      </c>
    </row>
    <row r="139" spans="1:5">
      <c r="A139">
        <v>2015</v>
      </c>
      <c r="B139" t="s">
        <v>5365</v>
      </c>
      <c r="C139" t="s">
        <v>223</v>
      </c>
      <c r="D139">
        <v>2.39</v>
      </c>
      <c r="E139">
        <v>6441.06</v>
      </c>
    </row>
    <row r="140" spans="1:5">
      <c r="A140">
        <v>2015</v>
      </c>
      <c r="B140" t="s">
        <v>5365</v>
      </c>
      <c r="C140" t="s">
        <v>224</v>
      </c>
      <c r="D140">
        <v>0.44</v>
      </c>
      <c r="E140">
        <v>1446</v>
      </c>
    </row>
    <row r="141" spans="1:5">
      <c r="A141">
        <v>2015</v>
      </c>
      <c r="B141" t="s">
        <v>5365</v>
      </c>
      <c r="C141" t="s">
        <v>226</v>
      </c>
      <c r="D141">
        <v>1</v>
      </c>
      <c r="E141">
        <v>0.01</v>
      </c>
    </row>
    <row r="142" spans="1:5">
      <c r="A142">
        <v>2015</v>
      </c>
      <c r="B142" t="s">
        <v>5365</v>
      </c>
      <c r="C142" t="s">
        <v>228</v>
      </c>
      <c r="D142">
        <v>21</v>
      </c>
      <c r="E142">
        <v>61676.03</v>
      </c>
    </row>
    <row r="143" spans="1:5">
      <c r="A143">
        <v>2015</v>
      </c>
      <c r="B143" t="s">
        <v>5365</v>
      </c>
      <c r="C143" t="s">
        <v>5396</v>
      </c>
      <c r="D143">
        <v>72</v>
      </c>
      <c r="E143">
        <v>18025.03</v>
      </c>
    </row>
    <row r="144" spans="1:5">
      <c r="A144">
        <v>2015</v>
      </c>
      <c r="B144" t="s">
        <v>5365</v>
      </c>
      <c r="C144" t="s">
        <v>5396</v>
      </c>
      <c r="D144">
        <v>72</v>
      </c>
      <c r="E144">
        <v>17445.03</v>
      </c>
    </row>
    <row r="145" spans="1:5">
      <c r="A145">
        <v>2015</v>
      </c>
      <c r="B145" t="s">
        <v>5365</v>
      </c>
      <c r="C145" t="s">
        <v>230</v>
      </c>
      <c r="D145">
        <v>3.7</v>
      </c>
      <c r="E145">
        <v>1</v>
      </c>
    </row>
    <row r="146" spans="1:5">
      <c r="A146">
        <v>2015</v>
      </c>
      <c r="B146" t="s">
        <v>5365</v>
      </c>
      <c r="C146" t="s">
        <v>230</v>
      </c>
      <c r="D146">
        <v>2.7</v>
      </c>
      <c r="E146">
        <v>1</v>
      </c>
    </row>
    <row r="147" spans="1:5">
      <c r="A147">
        <v>2015</v>
      </c>
      <c r="B147" t="s">
        <v>5365</v>
      </c>
      <c r="C147" t="s">
        <v>232</v>
      </c>
      <c r="D147">
        <v>11</v>
      </c>
      <c r="E147">
        <v>14610.03</v>
      </c>
    </row>
    <row r="148" spans="1:5">
      <c r="A148">
        <v>2015</v>
      </c>
      <c r="B148" t="s">
        <v>5365</v>
      </c>
      <c r="C148" t="s">
        <v>234</v>
      </c>
      <c r="D148">
        <v>2.2999999999999998</v>
      </c>
      <c r="E148">
        <v>2629</v>
      </c>
    </row>
    <row r="149" spans="1:5">
      <c r="A149">
        <v>2015</v>
      </c>
      <c r="B149" t="s">
        <v>5365</v>
      </c>
      <c r="C149" t="s">
        <v>234</v>
      </c>
      <c r="D149">
        <v>2.6</v>
      </c>
      <c r="E149">
        <v>1413</v>
      </c>
    </row>
    <row r="150" spans="1:5">
      <c r="A150">
        <v>2015</v>
      </c>
      <c r="B150" t="s">
        <v>5365</v>
      </c>
      <c r="C150" t="s">
        <v>236</v>
      </c>
      <c r="D150">
        <v>8.5</v>
      </c>
      <c r="E150">
        <v>22156</v>
      </c>
    </row>
    <row r="151" spans="1:5">
      <c r="A151">
        <v>2015</v>
      </c>
      <c r="B151" t="s">
        <v>5365</v>
      </c>
      <c r="C151" t="s">
        <v>238</v>
      </c>
      <c r="D151">
        <v>8.5</v>
      </c>
      <c r="E151">
        <v>30287</v>
      </c>
    </row>
    <row r="152" spans="1:5">
      <c r="A152">
        <v>2015</v>
      </c>
      <c r="B152" t="s">
        <v>5365</v>
      </c>
      <c r="C152" t="s">
        <v>242</v>
      </c>
      <c r="D152">
        <v>0.73</v>
      </c>
      <c r="E152">
        <v>1353</v>
      </c>
    </row>
    <row r="153" spans="1:5">
      <c r="A153">
        <v>2015</v>
      </c>
      <c r="B153" t="s">
        <v>5365</v>
      </c>
      <c r="C153" t="s">
        <v>5397</v>
      </c>
      <c r="D153">
        <v>404</v>
      </c>
      <c r="E153">
        <v>-20257</v>
      </c>
    </row>
    <row r="154" spans="1:5">
      <c r="A154">
        <v>2015</v>
      </c>
      <c r="B154" t="s">
        <v>5365</v>
      </c>
      <c r="C154" t="s">
        <v>5397</v>
      </c>
      <c r="D154">
        <v>404</v>
      </c>
      <c r="E154">
        <v>-251215</v>
      </c>
    </row>
    <row r="155" spans="1:5">
      <c r="A155">
        <v>2015</v>
      </c>
      <c r="B155" t="s">
        <v>5365</v>
      </c>
      <c r="C155" t="s">
        <v>5397</v>
      </c>
      <c r="D155">
        <v>404</v>
      </c>
      <c r="E155">
        <v>5361.02</v>
      </c>
    </row>
    <row r="156" spans="1:5">
      <c r="A156">
        <v>2015</v>
      </c>
      <c r="B156" t="s">
        <v>5365</v>
      </c>
      <c r="C156" t="s">
        <v>244</v>
      </c>
      <c r="D156">
        <v>0.54</v>
      </c>
      <c r="E156">
        <v>1248</v>
      </c>
    </row>
    <row r="157" spans="1:5">
      <c r="A157">
        <v>2015</v>
      </c>
      <c r="B157" t="s">
        <v>5365</v>
      </c>
      <c r="C157" t="s">
        <v>244</v>
      </c>
      <c r="D157">
        <v>0.54</v>
      </c>
      <c r="E157">
        <v>1248</v>
      </c>
    </row>
    <row r="158" spans="1:5">
      <c r="A158">
        <v>2015</v>
      </c>
      <c r="B158" t="s">
        <v>5365</v>
      </c>
      <c r="C158" t="s">
        <v>246</v>
      </c>
      <c r="D158">
        <v>5</v>
      </c>
      <c r="E158">
        <v>3117</v>
      </c>
    </row>
    <row r="159" spans="1:5">
      <c r="A159">
        <v>2015</v>
      </c>
      <c r="B159" t="s">
        <v>5365</v>
      </c>
      <c r="C159" t="s">
        <v>248</v>
      </c>
      <c r="D159">
        <v>1.1000000000000001</v>
      </c>
      <c r="E159">
        <v>318</v>
      </c>
    </row>
    <row r="160" spans="1:5">
      <c r="A160">
        <v>2015</v>
      </c>
      <c r="B160" t="s">
        <v>5365</v>
      </c>
      <c r="C160" t="s">
        <v>249</v>
      </c>
      <c r="D160">
        <v>1.1000000000000001</v>
      </c>
      <c r="E160">
        <v>4285</v>
      </c>
    </row>
    <row r="161" spans="1:5">
      <c r="A161">
        <v>2015</v>
      </c>
      <c r="B161" t="s">
        <v>5365</v>
      </c>
      <c r="C161" t="s">
        <v>250</v>
      </c>
      <c r="D161">
        <v>3</v>
      </c>
      <c r="E161">
        <v>394</v>
      </c>
    </row>
    <row r="162" spans="1:5">
      <c r="A162">
        <v>2015</v>
      </c>
      <c r="B162" t="s">
        <v>5365</v>
      </c>
      <c r="C162" t="s">
        <v>252</v>
      </c>
      <c r="D162">
        <v>1</v>
      </c>
      <c r="E162">
        <v>1876</v>
      </c>
    </row>
    <row r="163" spans="1:5">
      <c r="A163">
        <v>2015</v>
      </c>
      <c r="B163" t="s">
        <v>5365</v>
      </c>
      <c r="C163" t="s">
        <v>252</v>
      </c>
      <c r="D163">
        <v>1</v>
      </c>
      <c r="E163">
        <v>1876</v>
      </c>
    </row>
    <row r="164" spans="1:5">
      <c r="A164">
        <v>2015</v>
      </c>
      <c r="B164" t="s">
        <v>5365</v>
      </c>
      <c r="C164" t="s">
        <v>254</v>
      </c>
      <c r="D164">
        <v>1.46</v>
      </c>
      <c r="E164">
        <v>805</v>
      </c>
    </row>
    <row r="165" spans="1:5">
      <c r="A165">
        <v>2015</v>
      </c>
      <c r="B165" t="s">
        <v>5365</v>
      </c>
      <c r="C165" t="s">
        <v>254</v>
      </c>
      <c r="D165">
        <v>1.46</v>
      </c>
      <c r="E165">
        <v>750</v>
      </c>
    </row>
    <row r="166" spans="1:5">
      <c r="A166">
        <v>2015</v>
      </c>
      <c r="B166" t="s">
        <v>5365</v>
      </c>
      <c r="C166" t="s">
        <v>254</v>
      </c>
      <c r="D166">
        <v>0.09</v>
      </c>
      <c r="E166">
        <v>0.01</v>
      </c>
    </row>
    <row r="167" spans="1:5">
      <c r="A167">
        <v>2015</v>
      </c>
      <c r="B167" t="s">
        <v>5365</v>
      </c>
      <c r="C167" t="s">
        <v>256</v>
      </c>
      <c r="D167">
        <v>8</v>
      </c>
      <c r="E167">
        <v>15099</v>
      </c>
    </row>
    <row r="168" spans="1:5">
      <c r="A168">
        <v>2015</v>
      </c>
      <c r="B168" t="s">
        <v>5365</v>
      </c>
      <c r="C168" t="s">
        <v>258</v>
      </c>
      <c r="D168">
        <v>18</v>
      </c>
      <c r="E168">
        <v>82043</v>
      </c>
    </row>
    <row r="169" spans="1:5">
      <c r="A169">
        <v>2015</v>
      </c>
      <c r="B169" t="s">
        <v>5365</v>
      </c>
      <c r="C169" t="s">
        <v>5398</v>
      </c>
      <c r="D169">
        <v>86</v>
      </c>
      <c r="E169">
        <v>200742</v>
      </c>
    </row>
    <row r="170" spans="1:5">
      <c r="A170">
        <v>2015</v>
      </c>
      <c r="B170" t="s">
        <v>5365</v>
      </c>
      <c r="C170" t="s">
        <v>5398</v>
      </c>
      <c r="D170">
        <v>86</v>
      </c>
      <c r="E170">
        <v>197361</v>
      </c>
    </row>
    <row r="171" spans="1:5">
      <c r="A171">
        <v>2015</v>
      </c>
      <c r="B171" t="s">
        <v>5365</v>
      </c>
      <c r="C171" t="s">
        <v>5399</v>
      </c>
      <c r="D171">
        <v>80.8</v>
      </c>
      <c r="E171">
        <v>88493</v>
      </c>
    </row>
    <row r="172" spans="1:5">
      <c r="A172">
        <v>2015</v>
      </c>
      <c r="B172" t="s">
        <v>5365</v>
      </c>
      <c r="C172" t="s">
        <v>5399</v>
      </c>
      <c r="D172">
        <v>80.8</v>
      </c>
      <c r="E172">
        <v>76668</v>
      </c>
    </row>
    <row r="173" spans="1:5">
      <c r="A173">
        <v>2015</v>
      </c>
      <c r="B173" t="s">
        <v>5365</v>
      </c>
      <c r="C173" t="s">
        <v>260</v>
      </c>
      <c r="D173">
        <v>10</v>
      </c>
      <c r="E173">
        <v>3200.02</v>
      </c>
    </row>
    <row r="174" spans="1:5">
      <c r="A174">
        <v>2015</v>
      </c>
      <c r="B174" t="s">
        <v>5365</v>
      </c>
      <c r="C174" t="s">
        <v>5400</v>
      </c>
      <c r="D174">
        <v>77.2</v>
      </c>
      <c r="E174">
        <v>124333</v>
      </c>
    </row>
    <row r="175" spans="1:5">
      <c r="A175">
        <v>2015</v>
      </c>
      <c r="B175" t="s">
        <v>5365</v>
      </c>
      <c r="C175" t="s">
        <v>5400</v>
      </c>
      <c r="D175">
        <v>77.2</v>
      </c>
      <c r="E175">
        <v>124333</v>
      </c>
    </row>
    <row r="176" spans="1:5">
      <c r="A176">
        <v>2015</v>
      </c>
      <c r="B176" t="s">
        <v>5365</v>
      </c>
      <c r="C176" t="s">
        <v>262</v>
      </c>
      <c r="D176">
        <v>1</v>
      </c>
      <c r="E176">
        <v>6520</v>
      </c>
    </row>
    <row r="177" spans="1:5">
      <c r="A177">
        <v>2015</v>
      </c>
      <c r="B177" t="s">
        <v>5365</v>
      </c>
      <c r="C177" t="s">
        <v>264</v>
      </c>
      <c r="D177">
        <v>1.8</v>
      </c>
      <c r="E177">
        <v>6423</v>
      </c>
    </row>
    <row r="178" spans="1:5">
      <c r="A178">
        <v>2015</v>
      </c>
      <c r="B178" t="s">
        <v>5365</v>
      </c>
      <c r="C178" t="s">
        <v>266</v>
      </c>
      <c r="D178">
        <v>4.8</v>
      </c>
      <c r="E178">
        <v>12262</v>
      </c>
    </row>
    <row r="179" spans="1:5">
      <c r="A179">
        <v>2015</v>
      </c>
      <c r="B179" t="s">
        <v>5365</v>
      </c>
      <c r="C179" t="s">
        <v>268</v>
      </c>
      <c r="D179">
        <v>20</v>
      </c>
      <c r="E179">
        <v>9620.09</v>
      </c>
    </row>
    <row r="180" spans="1:5">
      <c r="A180">
        <v>2015</v>
      </c>
      <c r="B180" t="s">
        <v>5365</v>
      </c>
      <c r="C180" t="s">
        <v>270</v>
      </c>
      <c r="D180">
        <v>10</v>
      </c>
      <c r="E180">
        <v>39000</v>
      </c>
    </row>
    <row r="181" spans="1:5">
      <c r="A181">
        <v>2015</v>
      </c>
      <c r="B181" t="s">
        <v>5365</v>
      </c>
      <c r="C181" t="s">
        <v>783</v>
      </c>
      <c r="D181">
        <v>12.6</v>
      </c>
      <c r="E181">
        <v>3490.11</v>
      </c>
    </row>
    <row r="182" spans="1:5">
      <c r="A182">
        <v>2015</v>
      </c>
      <c r="B182" t="s">
        <v>5365</v>
      </c>
      <c r="C182" t="s">
        <v>783</v>
      </c>
      <c r="D182">
        <v>8.5</v>
      </c>
      <c r="E182">
        <v>0.09</v>
      </c>
    </row>
    <row r="183" spans="1:5">
      <c r="A183">
        <v>2015</v>
      </c>
      <c r="B183" t="s">
        <v>5365</v>
      </c>
      <c r="C183" t="s">
        <v>783</v>
      </c>
      <c r="D183">
        <v>12.6</v>
      </c>
      <c r="E183">
        <v>2005.11</v>
      </c>
    </row>
    <row r="184" spans="1:5">
      <c r="A184">
        <v>2015</v>
      </c>
      <c r="B184" t="s">
        <v>5365</v>
      </c>
      <c r="C184" t="s">
        <v>5401</v>
      </c>
      <c r="D184">
        <v>155</v>
      </c>
      <c r="E184">
        <v>78031.009999999995</v>
      </c>
    </row>
    <row r="185" spans="1:5">
      <c r="A185">
        <v>2015</v>
      </c>
      <c r="B185" t="s">
        <v>5365</v>
      </c>
      <c r="C185" t="s">
        <v>272</v>
      </c>
      <c r="D185">
        <v>11.5</v>
      </c>
      <c r="E185">
        <v>6540.07</v>
      </c>
    </row>
    <row r="186" spans="1:5">
      <c r="A186">
        <v>2015</v>
      </c>
      <c r="B186" t="s">
        <v>5365</v>
      </c>
      <c r="C186" t="s">
        <v>274</v>
      </c>
      <c r="D186">
        <v>24.8</v>
      </c>
      <c r="E186">
        <v>79277</v>
      </c>
    </row>
    <row r="187" spans="1:5">
      <c r="A187">
        <v>2015</v>
      </c>
      <c r="B187" t="s">
        <v>5365</v>
      </c>
      <c r="C187" t="s">
        <v>5402</v>
      </c>
      <c r="D187">
        <v>36.799999999999997</v>
      </c>
      <c r="E187">
        <v>35152</v>
      </c>
    </row>
    <row r="188" spans="1:5">
      <c r="A188">
        <v>2015</v>
      </c>
      <c r="B188" t="s">
        <v>5365</v>
      </c>
      <c r="C188" t="s">
        <v>5403</v>
      </c>
      <c r="D188">
        <v>39</v>
      </c>
      <c r="E188">
        <v>92593</v>
      </c>
    </row>
    <row r="189" spans="1:5">
      <c r="A189">
        <v>2015</v>
      </c>
      <c r="B189" t="s">
        <v>5365</v>
      </c>
      <c r="C189" t="s">
        <v>5403</v>
      </c>
      <c r="D189">
        <v>39</v>
      </c>
      <c r="E189">
        <v>92593</v>
      </c>
    </row>
    <row r="190" spans="1:5">
      <c r="A190">
        <v>2015</v>
      </c>
      <c r="B190" t="s">
        <v>5365</v>
      </c>
      <c r="C190" t="s">
        <v>5403</v>
      </c>
      <c r="D190">
        <v>39</v>
      </c>
      <c r="E190">
        <v>92593</v>
      </c>
    </row>
    <row r="191" spans="1:5">
      <c r="A191">
        <v>2015</v>
      </c>
      <c r="B191" t="s">
        <v>5365</v>
      </c>
      <c r="C191" t="s">
        <v>276</v>
      </c>
      <c r="D191">
        <v>1.5</v>
      </c>
      <c r="E191">
        <v>6200</v>
      </c>
    </row>
    <row r="192" spans="1:5">
      <c r="A192">
        <v>2015</v>
      </c>
      <c r="B192" t="s">
        <v>5365</v>
      </c>
      <c r="C192" t="s">
        <v>276</v>
      </c>
      <c r="D192">
        <v>1.5</v>
      </c>
      <c r="E192">
        <v>2950</v>
      </c>
    </row>
    <row r="193" spans="1:5">
      <c r="A193">
        <v>2015</v>
      </c>
      <c r="B193" t="s">
        <v>5365</v>
      </c>
      <c r="C193" t="s">
        <v>5404</v>
      </c>
      <c r="D193">
        <v>52</v>
      </c>
      <c r="E193">
        <v>15301</v>
      </c>
    </row>
    <row r="194" spans="1:5">
      <c r="A194">
        <v>2015</v>
      </c>
      <c r="B194" t="s">
        <v>5365</v>
      </c>
      <c r="C194" t="s">
        <v>1184</v>
      </c>
      <c r="D194">
        <v>38.81</v>
      </c>
      <c r="E194">
        <v>85802</v>
      </c>
    </row>
    <row r="195" spans="1:5">
      <c r="A195">
        <v>2015</v>
      </c>
      <c r="B195" t="s">
        <v>5365</v>
      </c>
      <c r="C195" t="s">
        <v>1184</v>
      </c>
      <c r="D195">
        <v>38.81</v>
      </c>
      <c r="E195">
        <v>80793</v>
      </c>
    </row>
    <row r="196" spans="1:5">
      <c r="A196">
        <v>2015</v>
      </c>
      <c r="B196" t="s">
        <v>5365</v>
      </c>
      <c r="C196" t="s">
        <v>1184</v>
      </c>
      <c r="D196">
        <v>40.6</v>
      </c>
      <c r="E196">
        <v>100896</v>
      </c>
    </row>
    <row r="197" spans="1:5">
      <c r="A197">
        <v>2015</v>
      </c>
      <c r="B197" t="s">
        <v>5365</v>
      </c>
      <c r="C197" t="s">
        <v>5405</v>
      </c>
      <c r="D197">
        <v>61</v>
      </c>
      <c r="E197">
        <v>81790.009999999995</v>
      </c>
    </row>
    <row r="198" spans="1:5">
      <c r="A198">
        <v>2015</v>
      </c>
      <c r="B198" t="s">
        <v>5365</v>
      </c>
      <c r="C198" t="s">
        <v>5405</v>
      </c>
      <c r="D198">
        <v>55</v>
      </c>
      <c r="E198">
        <v>77861.02</v>
      </c>
    </row>
    <row r="199" spans="1:5">
      <c r="A199">
        <v>2015</v>
      </c>
      <c r="B199" t="s">
        <v>5365</v>
      </c>
      <c r="C199" t="s">
        <v>278</v>
      </c>
      <c r="D199">
        <v>4.2</v>
      </c>
      <c r="E199">
        <v>7560</v>
      </c>
    </row>
    <row r="200" spans="1:5">
      <c r="A200">
        <v>2015</v>
      </c>
      <c r="B200" t="s">
        <v>5365</v>
      </c>
      <c r="C200" t="s">
        <v>278</v>
      </c>
      <c r="D200">
        <v>0</v>
      </c>
      <c r="E200">
        <v>359</v>
      </c>
    </row>
    <row r="201" spans="1:5">
      <c r="A201">
        <v>2015</v>
      </c>
      <c r="B201" t="s">
        <v>5365</v>
      </c>
      <c r="C201" t="s">
        <v>280</v>
      </c>
      <c r="D201">
        <v>4.9000000000000004</v>
      </c>
      <c r="E201">
        <v>30002</v>
      </c>
    </row>
    <row r="202" spans="1:5">
      <c r="A202">
        <v>2015</v>
      </c>
      <c r="B202" t="s">
        <v>5365</v>
      </c>
      <c r="C202" t="s">
        <v>282</v>
      </c>
      <c r="D202">
        <v>1</v>
      </c>
      <c r="E202">
        <v>0.01</v>
      </c>
    </row>
    <row r="203" spans="1:5">
      <c r="A203">
        <v>2015</v>
      </c>
      <c r="B203" t="s">
        <v>5365</v>
      </c>
      <c r="C203" t="s">
        <v>282</v>
      </c>
      <c r="D203">
        <v>2.5</v>
      </c>
      <c r="E203">
        <v>3550</v>
      </c>
    </row>
    <row r="204" spans="1:5">
      <c r="A204">
        <v>2015</v>
      </c>
      <c r="B204" t="s">
        <v>5365</v>
      </c>
      <c r="C204" t="s">
        <v>284</v>
      </c>
      <c r="D204">
        <v>5</v>
      </c>
      <c r="E204">
        <v>9815</v>
      </c>
    </row>
    <row r="205" spans="1:5">
      <c r="A205">
        <v>2015</v>
      </c>
      <c r="B205" t="s">
        <v>5365</v>
      </c>
      <c r="C205" t="s">
        <v>286</v>
      </c>
      <c r="D205">
        <v>0.35</v>
      </c>
      <c r="E205">
        <v>0.01</v>
      </c>
    </row>
    <row r="206" spans="1:5">
      <c r="A206">
        <v>2015</v>
      </c>
      <c r="B206" t="s">
        <v>5365</v>
      </c>
      <c r="C206" t="s">
        <v>288</v>
      </c>
      <c r="D206">
        <v>1</v>
      </c>
      <c r="E206">
        <v>1745</v>
      </c>
    </row>
    <row r="207" spans="1:5">
      <c r="A207">
        <v>2015</v>
      </c>
      <c r="B207" t="s">
        <v>5365</v>
      </c>
      <c r="C207" t="s">
        <v>288</v>
      </c>
      <c r="D207">
        <v>1</v>
      </c>
      <c r="E207">
        <v>2556</v>
      </c>
    </row>
    <row r="208" spans="1:5">
      <c r="A208">
        <v>2015</v>
      </c>
      <c r="B208" t="s">
        <v>5365</v>
      </c>
      <c r="C208" t="s">
        <v>5406</v>
      </c>
      <c r="D208">
        <v>74.099999999999994</v>
      </c>
      <c r="E208">
        <v>31161</v>
      </c>
    </row>
    <row r="209" spans="1:5">
      <c r="A209">
        <v>2015</v>
      </c>
      <c r="B209" t="s">
        <v>5365</v>
      </c>
      <c r="C209" t="s">
        <v>290</v>
      </c>
      <c r="D209">
        <v>3</v>
      </c>
      <c r="E209">
        <v>4285</v>
      </c>
    </row>
    <row r="210" spans="1:5">
      <c r="A210">
        <v>2015</v>
      </c>
      <c r="B210" t="s">
        <v>5365</v>
      </c>
      <c r="C210" t="s">
        <v>292</v>
      </c>
      <c r="D210">
        <v>0.5</v>
      </c>
      <c r="E210">
        <v>619</v>
      </c>
    </row>
    <row r="211" spans="1:5">
      <c r="A211">
        <v>2015</v>
      </c>
      <c r="B211" t="s">
        <v>5365</v>
      </c>
      <c r="C211" t="s">
        <v>294</v>
      </c>
      <c r="D211">
        <v>3.71</v>
      </c>
      <c r="E211">
        <v>0.01</v>
      </c>
    </row>
    <row r="212" spans="1:5">
      <c r="A212">
        <v>2015</v>
      </c>
      <c r="B212" t="s">
        <v>5365</v>
      </c>
      <c r="C212" t="s">
        <v>296</v>
      </c>
      <c r="D212">
        <v>29.9</v>
      </c>
      <c r="E212">
        <v>17189.41</v>
      </c>
    </row>
    <row r="213" spans="1:5">
      <c r="A213">
        <v>2015</v>
      </c>
      <c r="B213" t="s">
        <v>5365</v>
      </c>
      <c r="C213" t="s">
        <v>5407</v>
      </c>
      <c r="D213">
        <v>187</v>
      </c>
      <c r="E213">
        <v>137647</v>
      </c>
    </row>
    <row r="214" spans="1:5">
      <c r="A214">
        <v>2015</v>
      </c>
      <c r="B214" t="s">
        <v>5365</v>
      </c>
      <c r="C214" t="s">
        <v>298</v>
      </c>
      <c r="D214">
        <v>9</v>
      </c>
      <c r="E214">
        <v>905</v>
      </c>
    </row>
    <row r="215" spans="1:5">
      <c r="A215">
        <v>2015</v>
      </c>
      <c r="B215" t="s">
        <v>5365</v>
      </c>
      <c r="C215" t="s">
        <v>300</v>
      </c>
      <c r="D215">
        <v>7</v>
      </c>
      <c r="E215">
        <v>4115</v>
      </c>
    </row>
    <row r="216" spans="1:5">
      <c r="A216">
        <v>2015</v>
      </c>
      <c r="B216" t="s">
        <v>5365</v>
      </c>
      <c r="C216" t="s">
        <v>302</v>
      </c>
      <c r="D216">
        <v>2</v>
      </c>
      <c r="E216">
        <v>2001</v>
      </c>
    </row>
    <row r="217" spans="1:5">
      <c r="A217">
        <v>2015</v>
      </c>
      <c r="B217" t="s">
        <v>5365</v>
      </c>
      <c r="C217" t="s">
        <v>304</v>
      </c>
      <c r="D217">
        <v>2</v>
      </c>
      <c r="E217">
        <v>10109</v>
      </c>
    </row>
    <row r="218" spans="1:5">
      <c r="A218">
        <v>2015</v>
      </c>
      <c r="B218" t="s">
        <v>5365</v>
      </c>
      <c r="C218" t="s">
        <v>306</v>
      </c>
      <c r="D218">
        <v>3.5</v>
      </c>
      <c r="E218">
        <v>-78</v>
      </c>
    </row>
    <row r="219" spans="1:5">
      <c r="A219">
        <v>2015</v>
      </c>
      <c r="B219" t="s">
        <v>5365</v>
      </c>
      <c r="C219" t="s">
        <v>308</v>
      </c>
      <c r="D219">
        <v>2.7</v>
      </c>
      <c r="E219">
        <v>-19</v>
      </c>
    </row>
    <row r="220" spans="1:5">
      <c r="A220">
        <v>2015</v>
      </c>
      <c r="B220" t="s">
        <v>5365</v>
      </c>
      <c r="C220" t="s">
        <v>558</v>
      </c>
      <c r="D220">
        <v>37.5</v>
      </c>
      <c r="E220">
        <v>278</v>
      </c>
    </row>
    <row r="221" spans="1:5">
      <c r="A221">
        <v>2015</v>
      </c>
      <c r="B221" t="s">
        <v>5365</v>
      </c>
      <c r="C221" t="s">
        <v>310</v>
      </c>
      <c r="D221">
        <v>0.8</v>
      </c>
      <c r="E221">
        <v>1585</v>
      </c>
    </row>
    <row r="222" spans="1:5">
      <c r="A222">
        <v>2015</v>
      </c>
      <c r="B222" t="s">
        <v>5365</v>
      </c>
      <c r="C222" t="s">
        <v>312</v>
      </c>
      <c r="D222">
        <v>0.25</v>
      </c>
      <c r="E222">
        <v>382</v>
      </c>
    </row>
    <row r="223" spans="1:5">
      <c r="A223">
        <v>2015</v>
      </c>
      <c r="B223" t="s">
        <v>5365</v>
      </c>
      <c r="C223" t="s">
        <v>673</v>
      </c>
      <c r="D223">
        <v>1</v>
      </c>
      <c r="E223">
        <v>1528</v>
      </c>
    </row>
    <row r="224" spans="1:5">
      <c r="A224">
        <v>2015</v>
      </c>
      <c r="B224" t="s">
        <v>5365</v>
      </c>
      <c r="C224" t="s">
        <v>673</v>
      </c>
      <c r="D224">
        <v>1</v>
      </c>
      <c r="E224">
        <v>1528</v>
      </c>
    </row>
    <row r="225" spans="1:5">
      <c r="A225">
        <v>2015</v>
      </c>
      <c r="B225" t="s">
        <v>5365</v>
      </c>
      <c r="C225" t="s">
        <v>673</v>
      </c>
      <c r="D225">
        <v>1</v>
      </c>
      <c r="E225">
        <v>1528</v>
      </c>
    </row>
    <row r="226" spans="1:5">
      <c r="A226">
        <v>2015</v>
      </c>
      <c r="B226" t="s">
        <v>5365</v>
      </c>
      <c r="C226" t="s">
        <v>314</v>
      </c>
      <c r="D226">
        <v>2.9</v>
      </c>
      <c r="E226">
        <v>0.01</v>
      </c>
    </row>
    <row r="227" spans="1:5">
      <c r="A227">
        <v>2015</v>
      </c>
      <c r="B227" t="s">
        <v>5365</v>
      </c>
      <c r="C227" t="s">
        <v>5408</v>
      </c>
      <c r="D227">
        <v>10.92</v>
      </c>
      <c r="E227">
        <v>6239</v>
      </c>
    </row>
    <row r="228" spans="1:5">
      <c r="A228">
        <v>2015</v>
      </c>
      <c r="B228" t="s">
        <v>5365</v>
      </c>
      <c r="C228" t="s">
        <v>5408</v>
      </c>
      <c r="D228">
        <v>10.92</v>
      </c>
      <c r="E228">
        <v>7281</v>
      </c>
    </row>
    <row r="229" spans="1:5">
      <c r="A229">
        <v>2015</v>
      </c>
      <c r="B229" t="s">
        <v>5365</v>
      </c>
      <c r="C229" t="s">
        <v>5408</v>
      </c>
      <c r="D229">
        <v>10.92</v>
      </c>
      <c r="E229">
        <v>2481.0300000000002</v>
      </c>
    </row>
    <row r="230" spans="1:5">
      <c r="A230">
        <v>2015</v>
      </c>
      <c r="B230" t="s">
        <v>5365</v>
      </c>
      <c r="C230" t="s">
        <v>316</v>
      </c>
      <c r="D230">
        <v>3.98</v>
      </c>
      <c r="E230">
        <v>677</v>
      </c>
    </row>
    <row r="231" spans="1:5">
      <c r="A231">
        <v>2015</v>
      </c>
      <c r="B231" t="s">
        <v>5365</v>
      </c>
      <c r="C231" t="s">
        <v>316</v>
      </c>
      <c r="D231">
        <v>0.38</v>
      </c>
      <c r="E231">
        <v>0.01</v>
      </c>
    </row>
    <row r="232" spans="1:5">
      <c r="A232">
        <v>2015</v>
      </c>
      <c r="B232" t="s">
        <v>5365</v>
      </c>
      <c r="C232" t="s">
        <v>318</v>
      </c>
      <c r="D232">
        <v>5</v>
      </c>
      <c r="E232">
        <v>16303.03</v>
      </c>
    </row>
    <row r="233" spans="1:5">
      <c r="A233">
        <v>2015</v>
      </c>
      <c r="B233" t="s">
        <v>5365</v>
      </c>
      <c r="C233" t="s">
        <v>318</v>
      </c>
      <c r="D233">
        <v>5</v>
      </c>
      <c r="E233">
        <v>14063.03</v>
      </c>
    </row>
    <row r="234" spans="1:5">
      <c r="A234">
        <v>2015</v>
      </c>
      <c r="B234" t="s">
        <v>5365</v>
      </c>
      <c r="C234" t="s">
        <v>318</v>
      </c>
      <c r="D234">
        <v>1.5</v>
      </c>
      <c r="E234">
        <v>5542.03</v>
      </c>
    </row>
    <row r="235" spans="1:5">
      <c r="A235">
        <v>2015</v>
      </c>
      <c r="B235" t="s">
        <v>5365</v>
      </c>
      <c r="C235" t="s">
        <v>320</v>
      </c>
      <c r="D235">
        <v>3.6</v>
      </c>
      <c r="E235">
        <v>6187</v>
      </c>
    </row>
    <row r="236" spans="1:5">
      <c r="A236">
        <v>2015</v>
      </c>
      <c r="B236" t="s">
        <v>5365</v>
      </c>
      <c r="C236" t="s">
        <v>322</v>
      </c>
      <c r="D236">
        <v>1</v>
      </c>
      <c r="E236">
        <v>3463</v>
      </c>
    </row>
    <row r="237" spans="1:5">
      <c r="A237">
        <v>2015</v>
      </c>
      <c r="B237" t="s">
        <v>5365</v>
      </c>
      <c r="C237" t="s">
        <v>323</v>
      </c>
      <c r="D237">
        <v>12</v>
      </c>
      <c r="E237">
        <v>36315</v>
      </c>
    </row>
    <row r="238" spans="1:5">
      <c r="A238">
        <v>2015</v>
      </c>
      <c r="B238" t="s">
        <v>5365</v>
      </c>
      <c r="C238" t="s">
        <v>325</v>
      </c>
      <c r="D238">
        <v>1.2</v>
      </c>
      <c r="E238">
        <v>407</v>
      </c>
    </row>
    <row r="239" spans="1:5">
      <c r="A239">
        <v>2015</v>
      </c>
      <c r="B239" t="s">
        <v>5365</v>
      </c>
      <c r="C239" t="s">
        <v>327</v>
      </c>
      <c r="D239">
        <v>3.6</v>
      </c>
      <c r="E239">
        <v>3952</v>
      </c>
    </row>
    <row r="240" spans="1:5">
      <c r="A240">
        <v>2015</v>
      </c>
      <c r="B240" t="s">
        <v>5365</v>
      </c>
      <c r="C240" t="s">
        <v>5409</v>
      </c>
      <c r="D240">
        <v>157.5</v>
      </c>
      <c r="E240">
        <v>216231</v>
      </c>
    </row>
    <row r="241" spans="1:5">
      <c r="A241">
        <v>2015</v>
      </c>
      <c r="B241" t="s">
        <v>5365</v>
      </c>
      <c r="C241" t="s">
        <v>5409</v>
      </c>
      <c r="D241">
        <v>157.5</v>
      </c>
      <c r="E241">
        <v>246196</v>
      </c>
    </row>
    <row r="242" spans="1:5">
      <c r="A242">
        <v>2015</v>
      </c>
      <c r="B242" t="s">
        <v>5365</v>
      </c>
      <c r="C242" t="s">
        <v>5410</v>
      </c>
      <c r="D242">
        <v>150</v>
      </c>
      <c r="E242">
        <v>65111</v>
      </c>
    </row>
    <row r="243" spans="1:5">
      <c r="A243">
        <v>2015</v>
      </c>
      <c r="B243" t="s">
        <v>5365</v>
      </c>
      <c r="C243" t="s">
        <v>5410</v>
      </c>
      <c r="D243">
        <v>150</v>
      </c>
      <c r="E243">
        <v>65111</v>
      </c>
    </row>
    <row r="244" spans="1:5">
      <c r="A244">
        <v>2015</v>
      </c>
      <c r="B244" t="s">
        <v>5365</v>
      </c>
      <c r="C244" t="s">
        <v>5411</v>
      </c>
      <c r="D244">
        <v>46.8</v>
      </c>
      <c r="E244">
        <v>47290.05</v>
      </c>
    </row>
    <row r="245" spans="1:5">
      <c r="A245">
        <v>2015</v>
      </c>
      <c r="B245" t="s">
        <v>5365</v>
      </c>
      <c r="C245" t="s">
        <v>329</v>
      </c>
      <c r="D245">
        <v>2.75</v>
      </c>
      <c r="E245">
        <v>2150</v>
      </c>
    </row>
    <row r="246" spans="1:5">
      <c r="A246">
        <v>2015</v>
      </c>
      <c r="B246" t="s">
        <v>5365</v>
      </c>
      <c r="C246" t="s">
        <v>329</v>
      </c>
      <c r="D246">
        <v>2.75</v>
      </c>
      <c r="E246">
        <v>2247</v>
      </c>
    </row>
    <row r="247" spans="1:5">
      <c r="A247">
        <v>2015</v>
      </c>
      <c r="B247" t="s">
        <v>5365</v>
      </c>
      <c r="C247" t="s">
        <v>329</v>
      </c>
      <c r="D247">
        <v>0.5</v>
      </c>
      <c r="E247">
        <v>1806</v>
      </c>
    </row>
    <row r="248" spans="1:5">
      <c r="A248">
        <v>2015</v>
      </c>
      <c r="B248" t="s">
        <v>5365</v>
      </c>
      <c r="C248" t="s">
        <v>331</v>
      </c>
      <c r="D248">
        <v>11.5</v>
      </c>
      <c r="E248">
        <v>10111</v>
      </c>
    </row>
    <row r="249" spans="1:5">
      <c r="A249">
        <v>2015</v>
      </c>
      <c r="B249" t="s">
        <v>5365</v>
      </c>
      <c r="C249" t="s">
        <v>333</v>
      </c>
      <c r="D249">
        <v>6.75</v>
      </c>
      <c r="E249">
        <v>13829</v>
      </c>
    </row>
    <row r="250" spans="1:5">
      <c r="A250">
        <v>2015</v>
      </c>
      <c r="B250" t="s">
        <v>5365</v>
      </c>
      <c r="C250" t="s">
        <v>333</v>
      </c>
      <c r="D250">
        <v>6.75</v>
      </c>
      <c r="E250">
        <v>13829</v>
      </c>
    </row>
    <row r="251" spans="1:5">
      <c r="A251">
        <v>2015</v>
      </c>
      <c r="B251" t="s">
        <v>5365</v>
      </c>
      <c r="C251" t="s">
        <v>2925</v>
      </c>
      <c r="D251">
        <v>2</v>
      </c>
      <c r="E251">
        <v>394</v>
      </c>
    </row>
    <row r="252" spans="1:5">
      <c r="A252">
        <v>2015</v>
      </c>
      <c r="B252" t="s">
        <v>5365</v>
      </c>
      <c r="C252" t="s">
        <v>335</v>
      </c>
      <c r="D252">
        <v>4.2</v>
      </c>
      <c r="E252">
        <v>1455.02</v>
      </c>
    </row>
    <row r="253" spans="1:5">
      <c r="A253">
        <v>2015</v>
      </c>
      <c r="B253" t="s">
        <v>5365</v>
      </c>
      <c r="C253" t="s">
        <v>335</v>
      </c>
      <c r="D253">
        <v>4.2</v>
      </c>
      <c r="E253">
        <v>1455.02</v>
      </c>
    </row>
    <row r="254" spans="1:5">
      <c r="A254">
        <v>2015</v>
      </c>
      <c r="B254" t="s">
        <v>5365</v>
      </c>
      <c r="C254" t="s">
        <v>335</v>
      </c>
      <c r="D254">
        <v>4.2</v>
      </c>
      <c r="E254">
        <v>1455.02</v>
      </c>
    </row>
    <row r="255" spans="1:5">
      <c r="A255">
        <v>2015</v>
      </c>
      <c r="B255" t="s">
        <v>5365</v>
      </c>
      <c r="C255" t="s">
        <v>335</v>
      </c>
      <c r="D255">
        <v>4.2</v>
      </c>
      <c r="E255">
        <v>1455.02</v>
      </c>
    </row>
    <row r="256" spans="1:5">
      <c r="A256">
        <v>2015</v>
      </c>
      <c r="B256" t="s">
        <v>5365</v>
      </c>
      <c r="C256" t="s">
        <v>335</v>
      </c>
      <c r="D256">
        <v>4.2</v>
      </c>
      <c r="E256">
        <v>1455.02</v>
      </c>
    </row>
    <row r="257" spans="1:5">
      <c r="A257">
        <v>2015</v>
      </c>
      <c r="B257" t="s">
        <v>5365</v>
      </c>
      <c r="C257" t="s">
        <v>335</v>
      </c>
      <c r="D257">
        <v>4.2</v>
      </c>
      <c r="E257">
        <v>1455.02</v>
      </c>
    </row>
    <row r="258" spans="1:5">
      <c r="A258">
        <v>2015</v>
      </c>
      <c r="B258" t="s">
        <v>5365</v>
      </c>
      <c r="C258" t="s">
        <v>336</v>
      </c>
      <c r="D258">
        <v>1.3</v>
      </c>
      <c r="E258">
        <v>5489</v>
      </c>
    </row>
    <row r="259" spans="1:5">
      <c r="A259">
        <v>2015</v>
      </c>
      <c r="B259" t="s">
        <v>5365</v>
      </c>
      <c r="C259" t="s">
        <v>338</v>
      </c>
      <c r="D259">
        <v>14</v>
      </c>
      <c r="E259">
        <v>1800.08</v>
      </c>
    </row>
    <row r="260" spans="1:5">
      <c r="A260">
        <v>2015</v>
      </c>
      <c r="B260" t="s">
        <v>5365</v>
      </c>
      <c r="C260" t="s">
        <v>339</v>
      </c>
      <c r="D260">
        <v>5</v>
      </c>
      <c r="E260">
        <v>1314</v>
      </c>
    </row>
    <row r="261" spans="1:5">
      <c r="A261">
        <v>2015</v>
      </c>
      <c r="B261" t="s">
        <v>5365</v>
      </c>
      <c r="C261" t="s">
        <v>341</v>
      </c>
      <c r="D261">
        <v>0.6</v>
      </c>
      <c r="E261">
        <v>1224</v>
      </c>
    </row>
    <row r="262" spans="1:5">
      <c r="A262">
        <v>2015</v>
      </c>
      <c r="B262" t="s">
        <v>5365</v>
      </c>
      <c r="C262" t="s">
        <v>343</v>
      </c>
      <c r="D262">
        <v>0.32</v>
      </c>
      <c r="E262">
        <v>308</v>
      </c>
    </row>
    <row r="263" spans="1:5">
      <c r="A263">
        <v>2015</v>
      </c>
      <c r="B263" t="s">
        <v>5365</v>
      </c>
      <c r="C263" t="s">
        <v>345</v>
      </c>
      <c r="D263">
        <v>6</v>
      </c>
      <c r="E263">
        <v>8859</v>
      </c>
    </row>
    <row r="264" spans="1:5">
      <c r="A264">
        <v>2015</v>
      </c>
      <c r="B264" t="s">
        <v>5365</v>
      </c>
      <c r="C264" t="s">
        <v>786</v>
      </c>
      <c r="D264">
        <v>23.6</v>
      </c>
      <c r="E264">
        <v>37400.03</v>
      </c>
    </row>
    <row r="265" spans="1:5">
      <c r="A265">
        <v>2015</v>
      </c>
      <c r="B265" t="s">
        <v>5365</v>
      </c>
      <c r="C265" t="s">
        <v>5412</v>
      </c>
      <c r="D265">
        <v>30</v>
      </c>
      <c r="E265">
        <v>109975</v>
      </c>
    </row>
    <row r="266" spans="1:5">
      <c r="A266">
        <v>2015</v>
      </c>
      <c r="B266" t="s">
        <v>5365</v>
      </c>
      <c r="C266" t="s">
        <v>5412</v>
      </c>
      <c r="D266">
        <v>30</v>
      </c>
      <c r="E266">
        <v>109975</v>
      </c>
    </row>
    <row r="267" spans="1:5">
      <c r="A267">
        <v>2015</v>
      </c>
      <c r="B267" t="s">
        <v>5365</v>
      </c>
      <c r="C267" t="s">
        <v>5412</v>
      </c>
      <c r="D267">
        <v>30</v>
      </c>
      <c r="E267">
        <v>109975</v>
      </c>
    </row>
    <row r="268" spans="1:5">
      <c r="A268">
        <v>2015</v>
      </c>
      <c r="B268" t="s">
        <v>5365</v>
      </c>
      <c r="C268" t="s">
        <v>5412</v>
      </c>
      <c r="D268">
        <v>30</v>
      </c>
      <c r="E268">
        <v>109975</v>
      </c>
    </row>
    <row r="269" spans="1:5">
      <c r="A269">
        <v>2015</v>
      </c>
      <c r="B269" t="s">
        <v>5365</v>
      </c>
      <c r="C269" t="s">
        <v>347</v>
      </c>
      <c r="D269">
        <v>7.94</v>
      </c>
      <c r="E269">
        <v>32</v>
      </c>
    </row>
    <row r="270" spans="1:5">
      <c r="A270">
        <v>2015</v>
      </c>
      <c r="B270" t="s">
        <v>5365</v>
      </c>
      <c r="C270" t="s">
        <v>349</v>
      </c>
      <c r="D270">
        <v>2</v>
      </c>
      <c r="E270">
        <v>4842</v>
      </c>
    </row>
    <row r="271" spans="1:5">
      <c r="A271">
        <v>2015</v>
      </c>
      <c r="B271" t="s">
        <v>5365</v>
      </c>
      <c r="C271" t="s">
        <v>562</v>
      </c>
      <c r="D271">
        <v>16.5</v>
      </c>
      <c r="E271">
        <v>15863</v>
      </c>
    </row>
    <row r="272" spans="1:5">
      <c r="A272">
        <v>2015</v>
      </c>
      <c r="B272" t="s">
        <v>5365</v>
      </c>
      <c r="C272" t="s">
        <v>562</v>
      </c>
      <c r="D272">
        <v>16.5</v>
      </c>
      <c r="E272">
        <v>6795.03</v>
      </c>
    </row>
    <row r="273" spans="1:5">
      <c r="A273">
        <v>2015</v>
      </c>
      <c r="B273" t="s">
        <v>5365</v>
      </c>
      <c r="C273" t="s">
        <v>5413</v>
      </c>
      <c r="D273">
        <v>55</v>
      </c>
      <c r="E273">
        <v>0.12</v>
      </c>
    </row>
    <row r="274" spans="1:5">
      <c r="A274">
        <v>2015</v>
      </c>
      <c r="B274" t="s">
        <v>5365</v>
      </c>
      <c r="C274" t="s">
        <v>5413</v>
      </c>
      <c r="D274">
        <v>55</v>
      </c>
      <c r="E274">
        <v>4256.1099999999997</v>
      </c>
    </row>
    <row r="275" spans="1:5">
      <c r="A275">
        <v>2015</v>
      </c>
      <c r="B275" t="s">
        <v>5365</v>
      </c>
      <c r="C275" t="s">
        <v>5413</v>
      </c>
      <c r="D275">
        <v>55</v>
      </c>
      <c r="E275">
        <v>16695.09</v>
      </c>
    </row>
    <row r="276" spans="1:5">
      <c r="A276">
        <v>2015</v>
      </c>
      <c r="B276" t="s">
        <v>5365</v>
      </c>
      <c r="C276" t="s">
        <v>5414</v>
      </c>
      <c r="D276">
        <v>31.5</v>
      </c>
      <c r="E276">
        <v>76052</v>
      </c>
    </row>
    <row r="277" spans="1:5">
      <c r="A277">
        <v>2015</v>
      </c>
      <c r="B277" t="s">
        <v>5365</v>
      </c>
      <c r="C277" t="s">
        <v>5414</v>
      </c>
      <c r="D277">
        <v>31.5</v>
      </c>
      <c r="E277">
        <v>71033</v>
      </c>
    </row>
    <row r="278" spans="1:5">
      <c r="A278">
        <v>2015</v>
      </c>
      <c r="B278" t="s">
        <v>5365</v>
      </c>
      <c r="C278" t="s">
        <v>5415</v>
      </c>
      <c r="D278">
        <v>23</v>
      </c>
      <c r="E278">
        <v>83296</v>
      </c>
    </row>
    <row r="279" spans="1:5">
      <c r="A279">
        <v>2015</v>
      </c>
      <c r="B279" t="s">
        <v>5365</v>
      </c>
      <c r="C279" t="s">
        <v>5415</v>
      </c>
      <c r="D279">
        <v>23</v>
      </c>
      <c r="E279">
        <v>89901</v>
      </c>
    </row>
    <row r="280" spans="1:5">
      <c r="A280">
        <v>2015</v>
      </c>
      <c r="B280" t="s">
        <v>5365</v>
      </c>
      <c r="C280" t="s">
        <v>5415</v>
      </c>
      <c r="D280">
        <v>23</v>
      </c>
      <c r="E280">
        <v>64506</v>
      </c>
    </row>
    <row r="281" spans="1:5">
      <c r="A281">
        <v>2015</v>
      </c>
      <c r="B281" t="s">
        <v>5365</v>
      </c>
      <c r="C281" t="s">
        <v>5416</v>
      </c>
      <c r="D281">
        <v>47.5</v>
      </c>
      <c r="E281">
        <v>105346</v>
      </c>
    </row>
    <row r="282" spans="1:5">
      <c r="A282">
        <v>2015</v>
      </c>
      <c r="B282" t="s">
        <v>5365</v>
      </c>
      <c r="C282" t="s">
        <v>5416</v>
      </c>
      <c r="D282">
        <v>47.5</v>
      </c>
      <c r="E282">
        <v>124631</v>
      </c>
    </row>
    <row r="283" spans="1:5">
      <c r="A283">
        <v>2015</v>
      </c>
      <c r="B283" t="s">
        <v>5365</v>
      </c>
      <c r="C283" t="s">
        <v>5417</v>
      </c>
      <c r="D283">
        <v>40</v>
      </c>
      <c r="E283">
        <v>109646</v>
      </c>
    </row>
    <row r="284" spans="1:5">
      <c r="A284">
        <v>2015</v>
      </c>
      <c r="B284" t="s">
        <v>5365</v>
      </c>
      <c r="C284" t="s">
        <v>5417</v>
      </c>
      <c r="D284">
        <v>40</v>
      </c>
      <c r="E284">
        <v>149991</v>
      </c>
    </row>
    <row r="285" spans="1:5">
      <c r="A285">
        <v>2015</v>
      </c>
      <c r="B285" t="s">
        <v>5365</v>
      </c>
      <c r="C285" t="s">
        <v>5417</v>
      </c>
      <c r="D285">
        <v>40</v>
      </c>
      <c r="E285">
        <v>89887.02</v>
      </c>
    </row>
    <row r="286" spans="1:5">
      <c r="A286">
        <v>2015</v>
      </c>
      <c r="B286" t="s">
        <v>5365</v>
      </c>
      <c r="C286" t="s">
        <v>5417</v>
      </c>
      <c r="D286">
        <v>40</v>
      </c>
      <c r="E286">
        <v>92698.02</v>
      </c>
    </row>
    <row r="287" spans="1:5">
      <c r="A287">
        <v>2015</v>
      </c>
      <c r="B287" t="s">
        <v>5365</v>
      </c>
      <c r="C287" t="s">
        <v>5418</v>
      </c>
      <c r="D287">
        <v>40</v>
      </c>
      <c r="E287">
        <v>101852</v>
      </c>
    </row>
    <row r="288" spans="1:5">
      <c r="A288">
        <v>2015</v>
      </c>
      <c r="B288" t="s">
        <v>5365</v>
      </c>
      <c r="C288" t="s">
        <v>5418</v>
      </c>
      <c r="D288">
        <v>40</v>
      </c>
      <c r="E288">
        <v>97998</v>
      </c>
    </row>
    <row r="289" spans="1:5">
      <c r="A289">
        <v>2015</v>
      </c>
      <c r="B289" t="s">
        <v>5365</v>
      </c>
      <c r="C289" t="s">
        <v>5419</v>
      </c>
      <c r="D289">
        <v>56</v>
      </c>
      <c r="E289">
        <v>141719</v>
      </c>
    </row>
    <row r="290" spans="1:5">
      <c r="A290">
        <v>2015</v>
      </c>
      <c r="B290" t="s">
        <v>5365</v>
      </c>
      <c r="C290" t="s">
        <v>5419</v>
      </c>
      <c r="D290">
        <v>56</v>
      </c>
      <c r="E290">
        <v>130771</v>
      </c>
    </row>
    <row r="291" spans="1:5">
      <c r="A291">
        <v>2015</v>
      </c>
      <c r="B291" t="s">
        <v>5365</v>
      </c>
      <c r="C291" t="s">
        <v>351</v>
      </c>
      <c r="D291">
        <v>3.2</v>
      </c>
      <c r="E291">
        <v>475</v>
      </c>
    </row>
    <row r="292" spans="1:5">
      <c r="A292">
        <v>2015</v>
      </c>
      <c r="B292" t="s">
        <v>5365</v>
      </c>
      <c r="C292" t="s">
        <v>5420</v>
      </c>
      <c r="D292">
        <v>60</v>
      </c>
      <c r="E292">
        <v>146655</v>
      </c>
    </row>
    <row r="293" spans="1:5">
      <c r="A293">
        <v>2015</v>
      </c>
      <c r="B293" t="s">
        <v>5365</v>
      </c>
      <c r="C293" t="s">
        <v>5420</v>
      </c>
      <c r="D293">
        <v>60</v>
      </c>
      <c r="E293">
        <v>79096</v>
      </c>
    </row>
    <row r="294" spans="1:5">
      <c r="A294">
        <v>2015</v>
      </c>
      <c r="B294" t="s">
        <v>5365</v>
      </c>
      <c r="C294" t="s">
        <v>352</v>
      </c>
      <c r="D294">
        <v>10</v>
      </c>
      <c r="E294">
        <v>17637</v>
      </c>
    </row>
    <row r="295" spans="1:5">
      <c r="A295">
        <v>2015</v>
      </c>
      <c r="B295" t="s">
        <v>5365</v>
      </c>
      <c r="C295" t="s">
        <v>354</v>
      </c>
      <c r="D295">
        <v>4.5</v>
      </c>
      <c r="E295">
        <v>3171</v>
      </c>
    </row>
    <row r="296" spans="1:5">
      <c r="A296">
        <v>2015</v>
      </c>
      <c r="B296" t="s">
        <v>5365</v>
      </c>
      <c r="C296" t="s">
        <v>354</v>
      </c>
      <c r="D296">
        <v>2.5</v>
      </c>
      <c r="E296">
        <v>1395</v>
      </c>
    </row>
    <row r="297" spans="1:5">
      <c r="A297">
        <v>2015</v>
      </c>
      <c r="B297" t="s">
        <v>5365</v>
      </c>
      <c r="C297" t="s">
        <v>354</v>
      </c>
      <c r="D297">
        <v>2.2999999999999998</v>
      </c>
      <c r="E297">
        <v>3756</v>
      </c>
    </row>
    <row r="298" spans="1:5">
      <c r="A298">
        <v>2015</v>
      </c>
      <c r="B298" t="s">
        <v>5365</v>
      </c>
      <c r="C298" t="s">
        <v>5421</v>
      </c>
      <c r="D298">
        <v>79</v>
      </c>
      <c r="E298">
        <v>123109</v>
      </c>
    </row>
    <row r="299" spans="1:5">
      <c r="A299">
        <v>2015</v>
      </c>
      <c r="B299" t="s">
        <v>5365</v>
      </c>
      <c r="C299" t="s">
        <v>356</v>
      </c>
      <c r="D299">
        <v>5.9</v>
      </c>
      <c r="E299">
        <v>16747</v>
      </c>
    </row>
    <row r="300" spans="1:5">
      <c r="A300">
        <v>2015</v>
      </c>
      <c r="B300" t="s">
        <v>5365</v>
      </c>
      <c r="C300" t="s">
        <v>674</v>
      </c>
      <c r="D300">
        <v>1.91</v>
      </c>
      <c r="E300">
        <v>169</v>
      </c>
    </row>
    <row r="301" spans="1:5">
      <c r="A301">
        <v>2015</v>
      </c>
      <c r="B301" t="s">
        <v>5365</v>
      </c>
      <c r="C301" t="s">
        <v>358</v>
      </c>
      <c r="D301">
        <v>25.5</v>
      </c>
      <c r="E301">
        <v>13754.02</v>
      </c>
    </row>
    <row r="302" spans="1:5">
      <c r="A302">
        <v>2015</v>
      </c>
      <c r="B302" t="s">
        <v>5365</v>
      </c>
      <c r="C302" t="s">
        <v>2943</v>
      </c>
      <c r="D302">
        <v>56</v>
      </c>
      <c r="E302">
        <v>60693.06</v>
      </c>
    </row>
    <row r="303" spans="1:5">
      <c r="A303">
        <v>2015</v>
      </c>
      <c r="B303" t="s">
        <v>5365</v>
      </c>
      <c r="C303" t="s">
        <v>2943</v>
      </c>
      <c r="D303">
        <v>56</v>
      </c>
      <c r="E303">
        <v>132290</v>
      </c>
    </row>
    <row r="304" spans="1:5">
      <c r="A304">
        <v>2015</v>
      </c>
      <c r="B304" t="s">
        <v>5365</v>
      </c>
      <c r="C304" t="s">
        <v>360</v>
      </c>
      <c r="D304">
        <v>1.8</v>
      </c>
      <c r="E304">
        <v>55</v>
      </c>
    </row>
    <row r="305" spans="1:5">
      <c r="A305">
        <v>2015</v>
      </c>
      <c r="B305" t="s">
        <v>5365</v>
      </c>
      <c r="C305" t="s">
        <v>360</v>
      </c>
      <c r="D305">
        <v>1.8</v>
      </c>
      <c r="E305">
        <v>55</v>
      </c>
    </row>
    <row r="306" spans="1:5">
      <c r="A306">
        <v>2015</v>
      </c>
      <c r="B306" t="s">
        <v>5365</v>
      </c>
      <c r="C306" t="s">
        <v>362</v>
      </c>
      <c r="D306">
        <v>13.5</v>
      </c>
      <c r="E306">
        <v>28588</v>
      </c>
    </row>
    <row r="307" spans="1:5">
      <c r="A307">
        <v>2015</v>
      </c>
      <c r="B307" t="s">
        <v>5365</v>
      </c>
      <c r="C307" t="s">
        <v>364</v>
      </c>
      <c r="D307">
        <v>4.4000000000000004</v>
      </c>
      <c r="E307">
        <v>9024</v>
      </c>
    </row>
    <row r="308" spans="1:5">
      <c r="A308">
        <v>2015</v>
      </c>
      <c r="B308" t="s">
        <v>5365</v>
      </c>
      <c r="C308" t="s">
        <v>364</v>
      </c>
      <c r="D308">
        <v>4</v>
      </c>
      <c r="E308">
        <v>9024</v>
      </c>
    </row>
    <row r="309" spans="1:5">
      <c r="A309">
        <v>2015</v>
      </c>
      <c r="B309" t="s">
        <v>5365</v>
      </c>
      <c r="C309" t="s">
        <v>366</v>
      </c>
      <c r="D309">
        <v>1.1000000000000001</v>
      </c>
      <c r="E309">
        <v>138</v>
      </c>
    </row>
    <row r="310" spans="1:5">
      <c r="A310">
        <v>2015</v>
      </c>
      <c r="B310" t="s">
        <v>5365</v>
      </c>
      <c r="C310" t="s">
        <v>368</v>
      </c>
      <c r="D310">
        <v>4.95</v>
      </c>
      <c r="E310">
        <v>3055</v>
      </c>
    </row>
    <row r="311" spans="1:5">
      <c r="A311">
        <v>2015</v>
      </c>
      <c r="B311" t="s">
        <v>5365</v>
      </c>
      <c r="C311" t="s">
        <v>5422</v>
      </c>
      <c r="D311">
        <v>12</v>
      </c>
      <c r="E311">
        <v>4950.07</v>
      </c>
    </row>
    <row r="312" spans="1:5">
      <c r="A312">
        <v>2015</v>
      </c>
      <c r="B312" t="s">
        <v>5365</v>
      </c>
      <c r="C312" t="s">
        <v>5422</v>
      </c>
      <c r="D312">
        <v>34</v>
      </c>
      <c r="E312">
        <v>62119.03</v>
      </c>
    </row>
    <row r="313" spans="1:5">
      <c r="A313">
        <v>2015</v>
      </c>
      <c r="B313" t="s">
        <v>5365</v>
      </c>
      <c r="C313" t="s">
        <v>370</v>
      </c>
      <c r="D313">
        <v>9.92</v>
      </c>
      <c r="E313">
        <v>24159</v>
      </c>
    </row>
    <row r="314" spans="1:5">
      <c r="A314">
        <v>2015</v>
      </c>
      <c r="B314" t="s">
        <v>5365</v>
      </c>
      <c r="C314" t="s">
        <v>372</v>
      </c>
      <c r="D314">
        <v>3.2</v>
      </c>
      <c r="E314">
        <v>0.01</v>
      </c>
    </row>
    <row r="315" spans="1:5">
      <c r="A315">
        <v>2015</v>
      </c>
      <c r="B315" t="s">
        <v>5365</v>
      </c>
      <c r="C315" t="s">
        <v>372</v>
      </c>
      <c r="D315">
        <v>3.2</v>
      </c>
      <c r="E315">
        <v>1281</v>
      </c>
    </row>
    <row r="316" spans="1:5">
      <c r="A316">
        <v>2015</v>
      </c>
      <c r="B316" t="s">
        <v>5365</v>
      </c>
      <c r="C316" t="s">
        <v>564</v>
      </c>
      <c r="D316">
        <v>14</v>
      </c>
      <c r="E316">
        <v>0.12</v>
      </c>
    </row>
    <row r="317" spans="1:5">
      <c r="A317">
        <v>2015</v>
      </c>
      <c r="B317" t="s">
        <v>5365</v>
      </c>
      <c r="C317" t="s">
        <v>564</v>
      </c>
      <c r="D317">
        <v>14</v>
      </c>
      <c r="E317">
        <v>386.03</v>
      </c>
    </row>
    <row r="318" spans="1:5">
      <c r="A318">
        <v>2015</v>
      </c>
      <c r="B318" t="s">
        <v>5365</v>
      </c>
      <c r="C318" t="s">
        <v>564</v>
      </c>
      <c r="D318">
        <v>18</v>
      </c>
      <c r="E318">
        <v>2224</v>
      </c>
    </row>
    <row r="319" spans="1:5">
      <c r="A319">
        <v>2015</v>
      </c>
      <c r="B319" t="s">
        <v>5365</v>
      </c>
      <c r="C319" t="s">
        <v>566</v>
      </c>
      <c r="D319">
        <v>25</v>
      </c>
      <c r="E319">
        <v>-111</v>
      </c>
    </row>
    <row r="320" spans="1:5">
      <c r="A320">
        <v>2015</v>
      </c>
      <c r="B320" t="s">
        <v>5365</v>
      </c>
      <c r="C320" t="s">
        <v>566</v>
      </c>
      <c r="D320">
        <v>9.3800000000000008</v>
      </c>
      <c r="E320">
        <v>36.04</v>
      </c>
    </row>
    <row r="321" spans="1:5">
      <c r="A321">
        <v>2015</v>
      </c>
      <c r="B321" t="s">
        <v>5365</v>
      </c>
      <c r="C321" t="s">
        <v>566</v>
      </c>
      <c r="D321">
        <v>10</v>
      </c>
      <c r="E321">
        <v>1111.03</v>
      </c>
    </row>
    <row r="322" spans="1:5">
      <c r="A322">
        <v>2015</v>
      </c>
      <c r="B322" t="s">
        <v>5365</v>
      </c>
      <c r="C322" t="s">
        <v>566</v>
      </c>
      <c r="D322">
        <v>25</v>
      </c>
      <c r="E322">
        <v>14962</v>
      </c>
    </row>
    <row r="323" spans="1:5">
      <c r="A323">
        <v>2015</v>
      </c>
      <c r="B323" t="s">
        <v>5365</v>
      </c>
      <c r="C323" t="s">
        <v>374</v>
      </c>
      <c r="D323">
        <v>3.9</v>
      </c>
      <c r="E323">
        <v>185</v>
      </c>
    </row>
    <row r="324" spans="1:5">
      <c r="A324">
        <v>2015</v>
      </c>
      <c r="B324" t="s">
        <v>5365</v>
      </c>
      <c r="C324" t="s">
        <v>374</v>
      </c>
      <c r="D324">
        <v>1.08</v>
      </c>
      <c r="E324">
        <v>51</v>
      </c>
    </row>
    <row r="325" spans="1:5">
      <c r="A325">
        <v>2015</v>
      </c>
      <c r="B325" t="s">
        <v>5365</v>
      </c>
      <c r="C325" t="s">
        <v>376</v>
      </c>
      <c r="D325">
        <v>1.05</v>
      </c>
      <c r="E325">
        <v>0.01</v>
      </c>
    </row>
    <row r="326" spans="1:5">
      <c r="A326">
        <v>2015</v>
      </c>
      <c r="B326" t="s">
        <v>5365</v>
      </c>
      <c r="C326" t="s">
        <v>378</v>
      </c>
      <c r="D326">
        <v>0.43</v>
      </c>
      <c r="E326">
        <v>0.01</v>
      </c>
    </row>
    <row r="327" spans="1:5">
      <c r="A327">
        <v>2015</v>
      </c>
      <c r="B327" t="s">
        <v>5365</v>
      </c>
      <c r="C327" t="s">
        <v>380</v>
      </c>
      <c r="D327">
        <v>3.2</v>
      </c>
      <c r="E327">
        <v>0.01</v>
      </c>
    </row>
    <row r="328" spans="1:5">
      <c r="A328">
        <v>2015</v>
      </c>
      <c r="B328" t="s">
        <v>5365</v>
      </c>
      <c r="C328" t="s">
        <v>382</v>
      </c>
      <c r="D328">
        <v>4</v>
      </c>
      <c r="E328">
        <v>0.01</v>
      </c>
    </row>
    <row r="329" spans="1:5">
      <c r="A329">
        <v>2015</v>
      </c>
      <c r="B329" t="s">
        <v>5365</v>
      </c>
      <c r="C329" t="s">
        <v>5423</v>
      </c>
      <c r="D329">
        <v>53</v>
      </c>
      <c r="E329">
        <v>14404.05</v>
      </c>
    </row>
    <row r="330" spans="1:5">
      <c r="A330">
        <v>2015</v>
      </c>
      <c r="B330" t="s">
        <v>5365</v>
      </c>
      <c r="C330" t="s">
        <v>5423</v>
      </c>
      <c r="D330">
        <v>53</v>
      </c>
      <c r="E330">
        <v>9630.0499999999993</v>
      </c>
    </row>
    <row r="331" spans="1:5">
      <c r="A331">
        <v>2015</v>
      </c>
      <c r="B331" t="s">
        <v>5365</v>
      </c>
      <c r="C331" t="s">
        <v>5423</v>
      </c>
      <c r="D331">
        <v>53</v>
      </c>
      <c r="E331">
        <v>-37914.9</v>
      </c>
    </row>
    <row r="332" spans="1:5">
      <c r="A332">
        <v>2015</v>
      </c>
      <c r="B332" t="s">
        <v>5365</v>
      </c>
      <c r="C332" t="s">
        <v>5423</v>
      </c>
      <c r="D332">
        <v>53</v>
      </c>
      <c r="E332">
        <v>-18303</v>
      </c>
    </row>
    <row r="333" spans="1:5">
      <c r="A333">
        <v>2015</v>
      </c>
      <c r="B333" t="s">
        <v>5365</v>
      </c>
      <c r="C333" t="s">
        <v>5423</v>
      </c>
      <c r="D333">
        <v>53</v>
      </c>
      <c r="E333">
        <v>-22621</v>
      </c>
    </row>
    <row r="334" spans="1:5">
      <c r="A334">
        <v>2015</v>
      </c>
      <c r="B334" t="s">
        <v>5365</v>
      </c>
      <c r="C334" t="s">
        <v>5423</v>
      </c>
      <c r="D334">
        <v>53</v>
      </c>
      <c r="E334">
        <v>-2210</v>
      </c>
    </row>
    <row r="335" spans="1:5">
      <c r="A335">
        <v>2015</v>
      </c>
      <c r="B335" t="s">
        <v>5365</v>
      </c>
      <c r="C335" t="s">
        <v>5423</v>
      </c>
      <c r="D335">
        <v>53</v>
      </c>
      <c r="E335">
        <v>16809.009999999998</v>
      </c>
    </row>
    <row r="336" spans="1:5">
      <c r="A336">
        <v>2015</v>
      </c>
      <c r="B336" t="s">
        <v>5365</v>
      </c>
      <c r="C336" t="s">
        <v>5423</v>
      </c>
      <c r="D336">
        <v>53</v>
      </c>
      <c r="E336">
        <v>13521</v>
      </c>
    </row>
    <row r="337" spans="1:5">
      <c r="A337">
        <v>2015</v>
      </c>
      <c r="B337" t="s">
        <v>5365</v>
      </c>
      <c r="C337" t="s">
        <v>384</v>
      </c>
      <c r="D337">
        <v>0.8</v>
      </c>
      <c r="E337">
        <v>283</v>
      </c>
    </row>
    <row r="338" spans="1:5">
      <c r="A338">
        <v>2015</v>
      </c>
      <c r="B338" t="s">
        <v>5365</v>
      </c>
      <c r="C338" t="s">
        <v>384</v>
      </c>
      <c r="D338">
        <v>0.8</v>
      </c>
      <c r="E338">
        <v>283</v>
      </c>
    </row>
    <row r="339" spans="1:5">
      <c r="A339">
        <v>2015</v>
      </c>
      <c r="B339" t="s">
        <v>5365</v>
      </c>
      <c r="C339" t="s">
        <v>384</v>
      </c>
      <c r="D339">
        <v>0.8</v>
      </c>
      <c r="E339">
        <v>283</v>
      </c>
    </row>
    <row r="340" spans="1:5">
      <c r="A340">
        <v>2015</v>
      </c>
      <c r="B340" t="s">
        <v>5365</v>
      </c>
      <c r="C340" t="s">
        <v>384</v>
      </c>
      <c r="D340">
        <v>0.8</v>
      </c>
      <c r="E340">
        <v>283</v>
      </c>
    </row>
    <row r="341" spans="1:5">
      <c r="A341">
        <v>2015</v>
      </c>
      <c r="B341" t="s">
        <v>5365</v>
      </c>
      <c r="C341" t="s">
        <v>386</v>
      </c>
      <c r="D341">
        <v>3.1</v>
      </c>
      <c r="E341">
        <v>2975</v>
      </c>
    </row>
    <row r="342" spans="1:5">
      <c r="A342">
        <v>2015</v>
      </c>
      <c r="B342" t="s">
        <v>5365</v>
      </c>
      <c r="C342" t="s">
        <v>388</v>
      </c>
      <c r="D342">
        <v>0.64</v>
      </c>
      <c r="E342">
        <v>0.01</v>
      </c>
    </row>
    <row r="343" spans="1:5">
      <c r="A343">
        <v>2015</v>
      </c>
      <c r="B343" t="s">
        <v>5365</v>
      </c>
      <c r="C343" t="s">
        <v>5424</v>
      </c>
      <c r="D343">
        <v>7.83</v>
      </c>
      <c r="E343">
        <v>7178</v>
      </c>
    </row>
    <row r="344" spans="1:5">
      <c r="A344">
        <v>2015</v>
      </c>
      <c r="B344" t="s">
        <v>5365</v>
      </c>
      <c r="C344" t="s">
        <v>390</v>
      </c>
      <c r="D344">
        <v>8.5399999999999991</v>
      </c>
      <c r="E344">
        <v>0.01</v>
      </c>
    </row>
    <row r="345" spans="1:5">
      <c r="A345">
        <v>2015</v>
      </c>
      <c r="B345" t="s">
        <v>5365</v>
      </c>
      <c r="C345" t="s">
        <v>5425</v>
      </c>
      <c r="D345">
        <v>142</v>
      </c>
      <c r="E345">
        <v>218148</v>
      </c>
    </row>
    <row r="346" spans="1:5">
      <c r="A346">
        <v>2015</v>
      </c>
      <c r="B346" t="s">
        <v>5365</v>
      </c>
      <c r="C346" t="s">
        <v>5425</v>
      </c>
      <c r="D346">
        <v>142</v>
      </c>
      <c r="E346">
        <v>218148</v>
      </c>
    </row>
    <row r="347" spans="1:5">
      <c r="A347">
        <v>2015</v>
      </c>
      <c r="B347" t="s">
        <v>5365</v>
      </c>
      <c r="C347" t="s">
        <v>5425</v>
      </c>
      <c r="D347">
        <v>142</v>
      </c>
      <c r="E347">
        <v>218148</v>
      </c>
    </row>
    <row r="348" spans="1:5">
      <c r="A348">
        <v>2015</v>
      </c>
      <c r="B348" t="s">
        <v>5365</v>
      </c>
      <c r="C348" t="s">
        <v>5425</v>
      </c>
      <c r="D348">
        <v>142</v>
      </c>
      <c r="E348">
        <v>218148</v>
      </c>
    </row>
    <row r="349" spans="1:5">
      <c r="A349">
        <v>2015</v>
      </c>
      <c r="B349" t="s">
        <v>5365</v>
      </c>
      <c r="C349" t="s">
        <v>5425</v>
      </c>
      <c r="D349">
        <v>142</v>
      </c>
      <c r="E349">
        <v>218148</v>
      </c>
    </row>
    <row r="350" spans="1:5">
      <c r="A350">
        <v>2015</v>
      </c>
      <c r="B350" t="s">
        <v>5365</v>
      </c>
      <c r="C350" t="s">
        <v>5425</v>
      </c>
      <c r="D350">
        <v>2</v>
      </c>
      <c r="E350">
        <v>3074</v>
      </c>
    </row>
    <row r="351" spans="1:5">
      <c r="A351">
        <v>2015</v>
      </c>
      <c r="B351" t="s">
        <v>5365</v>
      </c>
      <c r="C351" t="s">
        <v>5425</v>
      </c>
      <c r="D351">
        <v>2</v>
      </c>
      <c r="E351">
        <v>3074</v>
      </c>
    </row>
    <row r="352" spans="1:5">
      <c r="A352">
        <v>2015</v>
      </c>
      <c r="B352" t="s">
        <v>5365</v>
      </c>
      <c r="C352" t="s">
        <v>392</v>
      </c>
      <c r="D352">
        <v>0.24</v>
      </c>
      <c r="E352">
        <v>297</v>
      </c>
    </row>
    <row r="353" spans="1:5">
      <c r="A353">
        <v>2015</v>
      </c>
      <c r="B353" t="s">
        <v>5365</v>
      </c>
      <c r="C353" t="s">
        <v>392</v>
      </c>
      <c r="D353">
        <v>0.24</v>
      </c>
      <c r="E353">
        <v>296</v>
      </c>
    </row>
    <row r="354" spans="1:5">
      <c r="A354">
        <v>2015</v>
      </c>
      <c r="B354" t="s">
        <v>5365</v>
      </c>
      <c r="C354" t="s">
        <v>394</v>
      </c>
      <c r="D354">
        <v>0.48</v>
      </c>
      <c r="E354">
        <v>2418</v>
      </c>
    </row>
    <row r="355" spans="1:5">
      <c r="A355">
        <v>2015</v>
      </c>
      <c r="B355" t="s">
        <v>5365</v>
      </c>
      <c r="C355" t="s">
        <v>396</v>
      </c>
      <c r="D355">
        <v>4.2</v>
      </c>
      <c r="E355">
        <v>3285</v>
      </c>
    </row>
    <row r="356" spans="1:5">
      <c r="A356">
        <v>2015</v>
      </c>
      <c r="B356" t="s">
        <v>5365</v>
      </c>
      <c r="C356" t="s">
        <v>398</v>
      </c>
      <c r="D356">
        <v>12</v>
      </c>
      <c r="E356">
        <v>15091.01</v>
      </c>
    </row>
    <row r="357" spans="1:5">
      <c r="A357">
        <v>2015</v>
      </c>
      <c r="B357" t="s">
        <v>5365</v>
      </c>
      <c r="C357" t="s">
        <v>400</v>
      </c>
      <c r="D357">
        <v>2.79</v>
      </c>
      <c r="E357">
        <v>10267</v>
      </c>
    </row>
    <row r="358" spans="1:5">
      <c r="A358">
        <v>2015</v>
      </c>
      <c r="B358" t="s">
        <v>5365</v>
      </c>
      <c r="C358" t="s">
        <v>402</v>
      </c>
      <c r="D358">
        <v>7</v>
      </c>
      <c r="E358">
        <v>19895</v>
      </c>
    </row>
    <row r="359" spans="1:5">
      <c r="A359">
        <v>2015</v>
      </c>
      <c r="B359" t="s">
        <v>5365</v>
      </c>
      <c r="C359" t="s">
        <v>404</v>
      </c>
      <c r="D359">
        <v>5.04</v>
      </c>
      <c r="E359">
        <v>11528</v>
      </c>
    </row>
    <row r="360" spans="1:5">
      <c r="A360">
        <v>2015</v>
      </c>
      <c r="B360" t="s">
        <v>5365</v>
      </c>
      <c r="C360" t="s">
        <v>406</v>
      </c>
      <c r="D360">
        <v>2.85</v>
      </c>
      <c r="E360">
        <v>1454</v>
      </c>
    </row>
    <row r="361" spans="1:5">
      <c r="A361">
        <v>2015</v>
      </c>
      <c r="B361" t="s">
        <v>5365</v>
      </c>
      <c r="C361" t="s">
        <v>408</v>
      </c>
      <c r="D361">
        <v>7</v>
      </c>
      <c r="E361">
        <v>18660</v>
      </c>
    </row>
    <row r="362" spans="1:5">
      <c r="A362">
        <v>2015</v>
      </c>
      <c r="B362" t="s">
        <v>5365</v>
      </c>
      <c r="C362" t="s">
        <v>410</v>
      </c>
      <c r="D362">
        <v>4.4000000000000004</v>
      </c>
      <c r="E362">
        <v>8978</v>
      </c>
    </row>
    <row r="363" spans="1:5">
      <c r="A363">
        <v>2015</v>
      </c>
      <c r="B363" t="s">
        <v>5365</v>
      </c>
      <c r="C363" t="s">
        <v>412</v>
      </c>
      <c r="D363">
        <v>5.8</v>
      </c>
      <c r="E363">
        <v>16871</v>
      </c>
    </row>
    <row r="364" spans="1:5">
      <c r="A364">
        <v>2015</v>
      </c>
      <c r="B364" t="s">
        <v>5365</v>
      </c>
      <c r="C364" t="s">
        <v>5426</v>
      </c>
      <c r="D364">
        <v>90</v>
      </c>
      <c r="E364">
        <v>100232</v>
      </c>
    </row>
    <row r="365" spans="1:5">
      <c r="A365">
        <v>2015</v>
      </c>
      <c r="B365" t="s">
        <v>5365</v>
      </c>
      <c r="C365" t="s">
        <v>5426</v>
      </c>
      <c r="D365">
        <v>90</v>
      </c>
      <c r="E365">
        <v>100232</v>
      </c>
    </row>
    <row r="366" spans="1:5">
      <c r="A366">
        <v>2015</v>
      </c>
      <c r="B366" t="s">
        <v>5365</v>
      </c>
      <c r="C366" t="s">
        <v>414</v>
      </c>
      <c r="D366">
        <v>7</v>
      </c>
      <c r="E366">
        <v>25131</v>
      </c>
    </row>
    <row r="367" spans="1:5">
      <c r="A367">
        <v>2015</v>
      </c>
      <c r="B367" t="s">
        <v>5365</v>
      </c>
      <c r="C367" t="s">
        <v>416</v>
      </c>
      <c r="D367">
        <v>3</v>
      </c>
      <c r="E367">
        <v>1478</v>
      </c>
    </row>
    <row r="368" spans="1:5">
      <c r="A368">
        <v>2015</v>
      </c>
      <c r="B368" t="s">
        <v>5365</v>
      </c>
      <c r="C368" t="s">
        <v>416</v>
      </c>
      <c r="D368">
        <v>0.65</v>
      </c>
      <c r="E368">
        <v>320</v>
      </c>
    </row>
    <row r="369" spans="1:5">
      <c r="A369">
        <v>2015</v>
      </c>
      <c r="B369" t="s">
        <v>5365</v>
      </c>
      <c r="C369" t="s">
        <v>5427</v>
      </c>
      <c r="D369">
        <v>91</v>
      </c>
      <c r="E369">
        <v>155694</v>
      </c>
    </row>
    <row r="370" spans="1:5">
      <c r="A370">
        <v>2015</v>
      </c>
      <c r="B370" t="s">
        <v>5365</v>
      </c>
      <c r="C370" t="s">
        <v>418</v>
      </c>
      <c r="D370">
        <v>10</v>
      </c>
      <c r="E370">
        <v>9696</v>
      </c>
    </row>
    <row r="371" spans="1:5">
      <c r="A371">
        <v>2015</v>
      </c>
      <c r="B371" t="s">
        <v>5365</v>
      </c>
      <c r="C371" t="s">
        <v>420</v>
      </c>
      <c r="D371">
        <v>2.5</v>
      </c>
      <c r="E371">
        <v>5841</v>
      </c>
    </row>
    <row r="372" spans="1:5">
      <c r="A372">
        <v>2015</v>
      </c>
      <c r="B372" t="s">
        <v>5365</v>
      </c>
      <c r="C372" t="s">
        <v>420</v>
      </c>
      <c r="D372">
        <v>2.5</v>
      </c>
      <c r="E372">
        <v>0.01</v>
      </c>
    </row>
    <row r="373" spans="1:5">
      <c r="A373">
        <v>2015</v>
      </c>
      <c r="B373" t="s">
        <v>5365</v>
      </c>
      <c r="C373" t="s">
        <v>422</v>
      </c>
      <c r="D373">
        <v>1.4</v>
      </c>
      <c r="E373">
        <v>0.01</v>
      </c>
    </row>
    <row r="374" spans="1:5">
      <c r="A374">
        <v>2015</v>
      </c>
      <c r="B374" t="s">
        <v>5365</v>
      </c>
      <c r="C374" t="s">
        <v>424</v>
      </c>
      <c r="D374">
        <v>3.2</v>
      </c>
      <c r="E374">
        <v>735</v>
      </c>
    </row>
    <row r="375" spans="1:5">
      <c r="A375">
        <v>2015</v>
      </c>
      <c r="B375" t="s">
        <v>5365</v>
      </c>
      <c r="C375" t="s">
        <v>426</v>
      </c>
      <c r="D375">
        <v>2.85</v>
      </c>
      <c r="E375">
        <v>20973</v>
      </c>
    </row>
    <row r="376" spans="1:5">
      <c r="A376">
        <v>2015</v>
      </c>
      <c r="B376" t="s">
        <v>5365</v>
      </c>
      <c r="C376" t="s">
        <v>5428</v>
      </c>
      <c r="D376">
        <v>32.6</v>
      </c>
      <c r="E376">
        <v>0.12</v>
      </c>
    </row>
    <row r="377" spans="1:5">
      <c r="A377">
        <v>2015</v>
      </c>
      <c r="B377" t="s">
        <v>5365</v>
      </c>
      <c r="C377" t="s">
        <v>5428</v>
      </c>
      <c r="D377">
        <v>27.5</v>
      </c>
      <c r="E377">
        <v>0.12</v>
      </c>
    </row>
    <row r="378" spans="1:5">
      <c r="A378">
        <v>2015</v>
      </c>
      <c r="B378" t="s">
        <v>5365</v>
      </c>
      <c r="C378" t="s">
        <v>5428</v>
      </c>
      <c r="D378">
        <v>27.5</v>
      </c>
      <c r="E378">
        <v>0.12</v>
      </c>
    </row>
    <row r="379" spans="1:5">
      <c r="A379">
        <v>2015</v>
      </c>
      <c r="B379" t="s">
        <v>5365</v>
      </c>
      <c r="C379" t="s">
        <v>5428</v>
      </c>
      <c r="D379">
        <v>27.5</v>
      </c>
      <c r="E379">
        <v>0.12</v>
      </c>
    </row>
    <row r="380" spans="1:5">
      <c r="A380">
        <v>2015</v>
      </c>
      <c r="B380" t="s">
        <v>5365</v>
      </c>
      <c r="C380" t="s">
        <v>428</v>
      </c>
      <c r="D380">
        <v>2.97</v>
      </c>
      <c r="E380">
        <v>19947</v>
      </c>
    </row>
    <row r="381" spans="1:5">
      <c r="A381">
        <v>2015</v>
      </c>
      <c r="B381" t="s">
        <v>5365</v>
      </c>
      <c r="C381" t="s">
        <v>430</v>
      </c>
      <c r="D381">
        <v>1.3</v>
      </c>
      <c r="E381">
        <v>4223</v>
      </c>
    </row>
    <row r="382" spans="1:5">
      <c r="A382">
        <v>2015</v>
      </c>
      <c r="B382" t="s">
        <v>5365</v>
      </c>
      <c r="C382" t="s">
        <v>5429</v>
      </c>
      <c r="D382">
        <v>30</v>
      </c>
      <c r="E382">
        <v>69442</v>
      </c>
    </row>
    <row r="383" spans="1:5">
      <c r="A383">
        <v>2015</v>
      </c>
      <c r="B383" t="s">
        <v>5365</v>
      </c>
      <c r="C383" t="s">
        <v>5429</v>
      </c>
      <c r="D383">
        <v>30</v>
      </c>
      <c r="E383">
        <v>68185</v>
      </c>
    </row>
    <row r="384" spans="1:5">
      <c r="A384">
        <v>2015</v>
      </c>
      <c r="B384" t="s">
        <v>5365</v>
      </c>
      <c r="C384" t="s">
        <v>432</v>
      </c>
      <c r="D384">
        <v>1.3</v>
      </c>
      <c r="E384">
        <v>1875</v>
      </c>
    </row>
    <row r="385" spans="1:5">
      <c r="A385">
        <v>2015</v>
      </c>
      <c r="B385" t="s">
        <v>5365</v>
      </c>
      <c r="C385" t="s">
        <v>434</v>
      </c>
      <c r="D385">
        <v>16.2</v>
      </c>
      <c r="E385">
        <v>28329.05</v>
      </c>
    </row>
    <row r="386" spans="1:5">
      <c r="A386">
        <v>2015</v>
      </c>
      <c r="B386" t="s">
        <v>5365</v>
      </c>
      <c r="C386" t="s">
        <v>5430</v>
      </c>
      <c r="D386">
        <v>70</v>
      </c>
      <c r="E386">
        <v>97580</v>
      </c>
    </row>
    <row r="387" spans="1:5">
      <c r="A387">
        <v>2015</v>
      </c>
      <c r="B387" t="s">
        <v>5365</v>
      </c>
      <c r="C387" t="s">
        <v>5430</v>
      </c>
      <c r="D387">
        <v>70</v>
      </c>
      <c r="E387">
        <v>97580</v>
      </c>
    </row>
    <row r="388" spans="1:5">
      <c r="A388">
        <v>2015</v>
      </c>
      <c r="B388" t="s">
        <v>5365</v>
      </c>
      <c r="C388" t="s">
        <v>436</v>
      </c>
      <c r="D388">
        <v>3.2</v>
      </c>
      <c r="E388">
        <v>-185</v>
      </c>
    </row>
    <row r="389" spans="1:5">
      <c r="A389">
        <v>2015</v>
      </c>
      <c r="B389" t="s">
        <v>5365</v>
      </c>
      <c r="C389" t="s">
        <v>436</v>
      </c>
      <c r="D389">
        <v>3.2</v>
      </c>
      <c r="E389">
        <v>-11</v>
      </c>
    </row>
    <row r="390" spans="1:5">
      <c r="A390">
        <v>2015</v>
      </c>
      <c r="B390" t="s">
        <v>5365</v>
      </c>
      <c r="C390" t="s">
        <v>438</v>
      </c>
      <c r="D390">
        <v>1.26</v>
      </c>
      <c r="E390">
        <v>2959.5</v>
      </c>
    </row>
    <row r="391" spans="1:5">
      <c r="A391">
        <v>2015</v>
      </c>
      <c r="B391" t="s">
        <v>5365</v>
      </c>
      <c r="C391" t="s">
        <v>438</v>
      </c>
      <c r="D391">
        <v>1.26</v>
      </c>
      <c r="E391">
        <v>2959.5</v>
      </c>
    </row>
    <row r="392" spans="1:5">
      <c r="A392">
        <v>2015</v>
      </c>
      <c r="B392" t="s">
        <v>5365</v>
      </c>
      <c r="C392" t="s">
        <v>440</v>
      </c>
      <c r="D392">
        <v>11.7</v>
      </c>
      <c r="E392">
        <v>23098</v>
      </c>
    </row>
    <row r="393" spans="1:5">
      <c r="A393">
        <v>2015</v>
      </c>
      <c r="B393" t="s">
        <v>5365</v>
      </c>
      <c r="C393" t="s">
        <v>440</v>
      </c>
      <c r="D393">
        <v>11.7</v>
      </c>
      <c r="E393">
        <v>23097</v>
      </c>
    </row>
    <row r="394" spans="1:5">
      <c r="A394">
        <v>2015</v>
      </c>
      <c r="B394" t="s">
        <v>5365</v>
      </c>
      <c r="C394" t="s">
        <v>440</v>
      </c>
      <c r="D394">
        <v>7.2</v>
      </c>
      <c r="E394">
        <v>23098</v>
      </c>
    </row>
    <row r="395" spans="1:5">
      <c r="A395">
        <v>2015</v>
      </c>
      <c r="B395" t="s">
        <v>5365</v>
      </c>
      <c r="C395" t="s">
        <v>442</v>
      </c>
      <c r="D395">
        <v>1.1000000000000001</v>
      </c>
      <c r="E395">
        <v>0.01</v>
      </c>
    </row>
    <row r="396" spans="1:5">
      <c r="A396">
        <v>2015</v>
      </c>
      <c r="B396" t="s">
        <v>5365</v>
      </c>
      <c r="C396" t="s">
        <v>442</v>
      </c>
      <c r="D396">
        <v>1.1000000000000001</v>
      </c>
      <c r="E396">
        <v>0.01</v>
      </c>
    </row>
    <row r="397" spans="1:5">
      <c r="A397">
        <v>2015</v>
      </c>
      <c r="B397" t="s">
        <v>5365</v>
      </c>
      <c r="C397" t="s">
        <v>442</v>
      </c>
      <c r="D397">
        <v>1.1000000000000001</v>
      </c>
      <c r="E397">
        <v>0.01</v>
      </c>
    </row>
    <row r="398" spans="1:5">
      <c r="A398">
        <v>2015</v>
      </c>
      <c r="B398" t="s">
        <v>5365</v>
      </c>
      <c r="C398" t="s">
        <v>5431</v>
      </c>
      <c r="D398">
        <v>38.6</v>
      </c>
      <c r="E398">
        <v>38925</v>
      </c>
    </row>
    <row r="399" spans="1:5">
      <c r="A399">
        <v>2015</v>
      </c>
      <c r="B399" t="s">
        <v>5365</v>
      </c>
      <c r="C399" t="s">
        <v>5432</v>
      </c>
      <c r="D399">
        <v>0.24</v>
      </c>
      <c r="E399">
        <v>0.01</v>
      </c>
    </row>
    <row r="400" spans="1:5">
      <c r="A400">
        <v>2015</v>
      </c>
      <c r="B400" t="s">
        <v>5365</v>
      </c>
      <c r="C400" t="s">
        <v>5432</v>
      </c>
      <c r="D400">
        <v>1.18</v>
      </c>
      <c r="E400">
        <v>0.01</v>
      </c>
    </row>
    <row r="401" spans="1:5">
      <c r="A401">
        <v>2015</v>
      </c>
      <c r="B401" t="s">
        <v>5365</v>
      </c>
      <c r="C401" t="s">
        <v>444</v>
      </c>
      <c r="D401">
        <v>4.4000000000000004</v>
      </c>
      <c r="E401">
        <v>6093</v>
      </c>
    </row>
    <row r="402" spans="1:5">
      <c r="A402">
        <v>2015</v>
      </c>
      <c r="B402" t="s">
        <v>5365</v>
      </c>
      <c r="C402" t="s">
        <v>568</v>
      </c>
      <c r="D402">
        <v>37.5</v>
      </c>
      <c r="E402">
        <v>238</v>
      </c>
    </row>
    <row r="403" spans="1:5">
      <c r="A403">
        <v>2015</v>
      </c>
      <c r="B403" t="s">
        <v>5365</v>
      </c>
      <c r="C403" t="s">
        <v>446</v>
      </c>
      <c r="D403">
        <v>4.0999999999999996</v>
      </c>
      <c r="E403">
        <v>11729</v>
      </c>
    </row>
    <row r="404" spans="1:5">
      <c r="A404">
        <v>2015</v>
      </c>
      <c r="B404" t="s">
        <v>5365</v>
      </c>
      <c r="C404" t="s">
        <v>448</v>
      </c>
      <c r="D404">
        <v>10.119999999999999</v>
      </c>
      <c r="E404">
        <v>0.12</v>
      </c>
    </row>
    <row r="405" spans="1:5">
      <c r="A405">
        <v>2015</v>
      </c>
      <c r="B405" t="s">
        <v>5365</v>
      </c>
      <c r="C405" t="s">
        <v>450</v>
      </c>
      <c r="D405">
        <v>9</v>
      </c>
      <c r="E405">
        <v>23485</v>
      </c>
    </row>
    <row r="406" spans="1:5">
      <c r="A406">
        <v>2015</v>
      </c>
      <c r="B406" t="s">
        <v>5365</v>
      </c>
      <c r="C406" t="s">
        <v>452</v>
      </c>
      <c r="D406">
        <v>1</v>
      </c>
      <c r="E406">
        <v>2759</v>
      </c>
    </row>
    <row r="407" spans="1:5">
      <c r="A407">
        <v>2015</v>
      </c>
      <c r="B407" t="s">
        <v>5365</v>
      </c>
      <c r="C407" t="s">
        <v>454</v>
      </c>
      <c r="D407">
        <v>14</v>
      </c>
      <c r="E407">
        <v>37964</v>
      </c>
    </row>
    <row r="408" spans="1:5">
      <c r="A408">
        <v>2015</v>
      </c>
      <c r="B408" t="s">
        <v>5365</v>
      </c>
      <c r="C408" t="s">
        <v>456</v>
      </c>
      <c r="D408">
        <v>3.5</v>
      </c>
      <c r="E408">
        <v>27406</v>
      </c>
    </row>
    <row r="409" spans="1:5">
      <c r="A409">
        <v>2015</v>
      </c>
      <c r="B409" t="s">
        <v>5365</v>
      </c>
      <c r="C409" t="s">
        <v>5433</v>
      </c>
      <c r="D409">
        <v>133</v>
      </c>
      <c r="E409">
        <v>34105</v>
      </c>
    </row>
    <row r="410" spans="1:5">
      <c r="A410">
        <v>2015</v>
      </c>
      <c r="B410" t="s">
        <v>5365</v>
      </c>
      <c r="C410" t="s">
        <v>5433</v>
      </c>
      <c r="D410">
        <v>133</v>
      </c>
      <c r="E410">
        <v>107074</v>
      </c>
    </row>
    <row r="411" spans="1:5">
      <c r="A411">
        <v>2015</v>
      </c>
      <c r="B411" t="s">
        <v>5365</v>
      </c>
      <c r="C411" t="s">
        <v>5434</v>
      </c>
      <c r="D411">
        <v>37.14</v>
      </c>
      <c r="E411">
        <v>132634</v>
      </c>
    </row>
    <row r="412" spans="1:5">
      <c r="A412">
        <v>2015</v>
      </c>
      <c r="B412" t="s">
        <v>5365</v>
      </c>
      <c r="C412" t="s">
        <v>5434</v>
      </c>
      <c r="D412">
        <v>37.14</v>
      </c>
      <c r="E412">
        <v>138046</v>
      </c>
    </row>
    <row r="413" spans="1:5">
      <c r="A413">
        <v>2015</v>
      </c>
      <c r="B413" t="s">
        <v>5365</v>
      </c>
      <c r="C413" t="s">
        <v>458</v>
      </c>
      <c r="D413">
        <v>14</v>
      </c>
      <c r="E413">
        <v>36245</v>
      </c>
    </row>
    <row r="414" spans="1:5">
      <c r="A414">
        <v>2015</v>
      </c>
      <c r="B414" t="s">
        <v>5365</v>
      </c>
      <c r="C414" t="s">
        <v>458</v>
      </c>
      <c r="D414">
        <v>3.1</v>
      </c>
      <c r="E414">
        <v>-32</v>
      </c>
    </row>
    <row r="415" spans="1:5">
      <c r="A415">
        <v>2015</v>
      </c>
      <c r="B415" t="s">
        <v>5365</v>
      </c>
      <c r="C415" t="s">
        <v>460</v>
      </c>
      <c r="D415">
        <v>4.5</v>
      </c>
      <c r="E415">
        <v>103.09</v>
      </c>
    </row>
    <row r="416" spans="1:5">
      <c r="A416">
        <v>2015</v>
      </c>
      <c r="B416" t="s">
        <v>5365</v>
      </c>
      <c r="C416" t="s">
        <v>460</v>
      </c>
      <c r="D416">
        <v>4.5</v>
      </c>
      <c r="E416">
        <v>2091.0500000000002</v>
      </c>
    </row>
    <row r="417" spans="1:5">
      <c r="A417">
        <v>2015</v>
      </c>
      <c r="B417" t="s">
        <v>5365</v>
      </c>
      <c r="C417" t="s">
        <v>460</v>
      </c>
      <c r="D417">
        <v>4.5</v>
      </c>
      <c r="E417">
        <v>247.07</v>
      </c>
    </row>
    <row r="418" spans="1:5">
      <c r="A418">
        <v>2015</v>
      </c>
      <c r="B418" t="s">
        <v>5365</v>
      </c>
      <c r="C418" t="s">
        <v>460</v>
      </c>
      <c r="D418">
        <v>4.5</v>
      </c>
      <c r="E418">
        <v>13.1</v>
      </c>
    </row>
    <row r="419" spans="1:5">
      <c r="A419">
        <v>2015</v>
      </c>
      <c r="B419" t="s">
        <v>5365</v>
      </c>
      <c r="C419" t="s">
        <v>5435</v>
      </c>
      <c r="D419">
        <v>59</v>
      </c>
      <c r="E419">
        <v>119743</v>
      </c>
    </row>
    <row r="420" spans="1:5">
      <c r="A420">
        <v>2015</v>
      </c>
      <c r="B420" t="s">
        <v>5365</v>
      </c>
      <c r="C420" t="s">
        <v>5436</v>
      </c>
      <c r="D420">
        <v>2.5</v>
      </c>
      <c r="E420">
        <v>0.01</v>
      </c>
    </row>
    <row r="421" spans="1:5">
      <c r="A421">
        <v>2015</v>
      </c>
      <c r="B421" t="s">
        <v>5365</v>
      </c>
      <c r="C421" t="s">
        <v>462</v>
      </c>
      <c r="D421">
        <v>5.09</v>
      </c>
      <c r="E421">
        <v>2291</v>
      </c>
    </row>
    <row r="422" spans="1:5">
      <c r="A422">
        <v>2015</v>
      </c>
      <c r="B422" t="s">
        <v>5365</v>
      </c>
      <c r="C422" t="s">
        <v>5437</v>
      </c>
      <c r="D422">
        <v>50</v>
      </c>
      <c r="E422">
        <v>93032</v>
      </c>
    </row>
    <row r="423" spans="1:5">
      <c r="A423">
        <v>2015</v>
      </c>
      <c r="B423" t="s">
        <v>5365</v>
      </c>
      <c r="C423" t="s">
        <v>5437</v>
      </c>
      <c r="D423">
        <v>50</v>
      </c>
      <c r="E423">
        <v>159066</v>
      </c>
    </row>
    <row r="424" spans="1:5">
      <c r="A424">
        <v>2015</v>
      </c>
      <c r="B424" t="s">
        <v>5365</v>
      </c>
      <c r="C424" t="s">
        <v>570</v>
      </c>
      <c r="D424">
        <v>29.7</v>
      </c>
      <c r="E424">
        <v>7299.07</v>
      </c>
    </row>
    <row r="425" spans="1:5">
      <c r="A425">
        <v>2015</v>
      </c>
      <c r="B425" t="s">
        <v>5365</v>
      </c>
      <c r="C425" t="s">
        <v>572</v>
      </c>
      <c r="D425">
        <v>4.6500000000000004</v>
      </c>
      <c r="E425">
        <v>2294</v>
      </c>
    </row>
    <row r="426" spans="1:5">
      <c r="A426">
        <v>2015</v>
      </c>
      <c r="B426" t="s">
        <v>5365</v>
      </c>
      <c r="C426" t="s">
        <v>5438</v>
      </c>
      <c r="D426">
        <v>20</v>
      </c>
      <c r="E426">
        <v>-8386</v>
      </c>
    </row>
    <row r="427" spans="1:5">
      <c r="A427">
        <v>2015</v>
      </c>
      <c r="B427" t="s">
        <v>5365</v>
      </c>
      <c r="C427" t="s">
        <v>5438</v>
      </c>
      <c r="D427">
        <v>20</v>
      </c>
      <c r="E427">
        <v>-9789</v>
      </c>
    </row>
    <row r="428" spans="1:5">
      <c r="A428">
        <v>2015</v>
      </c>
      <c r="B428" t="s">
        <v>5365</v>
      </c>
      <c r="C428" t="s">
        <v>675</v>
      </c>
      <c r="D428">
        <v>1</v>
      </c>
      <c r="E428">
        <v>0.01</v>
      </c>
    </row>
    <row r="429" spans="1:5">
      <c r="A429">
        <v>2015</v>
      </c>
      <c r="B429" t="s">
        <v>5365</v>
      </c>
      <c r="C429" t="s">
        <v>5439</v>
      </c>
      <c r="D429">
        <v>5</v>
      </c>
      <c r="E429">
        <v>1069</v>
      </c>
    </row>
    <row r="430" spans="1:5">
      <c r="A430">
        <v>2015</v>
      </c>
      <c r="B430" t="s">
        <v>540</v>
      </c>
      <c r="C430" t="s">
        <v>5440</v>
      </c>
      <c r="D430">
        <v>1040</v>
      </c>
      <c r="E430">
        <v>1824913</v>
      </c>
    </row>
    <row r="431" spans="1:5">
      <c r="A431">
        <v>2015</v>
      </c>
      <c r="B431" t="s">
        <v>540</v>
      </c>
      <c r="C431" t="s">
        <v>5440</v>
      </c>
      <c r="D431">
        <v>1040</v>
      </c>
      <c r="E431">
        <v>1824913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Q295"/>
  <sheetViews>
    <sheetView topLeftCell="A20" zoomScale="85" zoomScaleNormal="85" workbookViewId="0">
      <selection activeCell="F26" sqref="F26"/>
    </sheetView>
  </sheetViews>
  <sheetFormatPr defaultColWidth="12.5703125" defaultRowHeight="12.75"/>
  <cols>
    <col min="1" max="1" width="27.7109375" style="17" customWidth="1"/>
    <col min="2" max="2" width="21.28515625" style="17" customWidth="1"/>
    <col min="3" max="3" width="14.42578125" style="17" customWidth="1"/>
    <col min="4" max="4" width="10.85546875" style="17" customWidth="1"/>
    <col min="5" max="5" width="8.85546875" style="17" customWidth="1"/>
    <col min="6" max="7" width="10.140625" style="17" customWidth="1"/>
    <col min="8" max="8" width="10.7109375" style="67" customWidth="1"/>
    <col min="9" max="10" width="11.85546875" style="67" customWidth="1"/>
    <col min="11" max="11" width="10.7109375" style="210" customWidth="1"/>
    <col min="12" max="12" width="13.5703125" style="68" customWidth="1"/>
    <col min="13" max="13" width="13.5703125" style="17" customWidth="1"/>
    <col min="14" max="14" width="10.28515625" style="17" customWidth="1"/>
    <col min="15" max="15" width="10.140625" style="17" customWidth="1"/>
    <col min="16" max="16" width="10.42578125" style="17" customWidth="1"/>
    <col min="17" max="17" width="10.28515625" style="17" customWidth="1"/>
    <col min="18" max="18" width="10" style="17" customWidth="1"/>
    <col min="19" max="20" width="10.28515625" style="17" customWidth="1"/>
    <col min="21" max="22" width="10.7109375" style="17" customWidth="1"/>
    <col min="23" max="23" width="10" style="17" customWidth="1"/>
    <col min="24" max="24" width="21" style="66" customWidth="1"/>
    <col min="25" max="16384" width="12.5703125" style="17"/>
  </cols>
  <sheetData>
    <row r="1" spans="1:23" ht="29.25" customHeight="1">
      <c r="A1" s="608" t="s">
        <v>939</v>
      </c>
      <c r="B1" s="609"/>
      <c r="C1" s="609"/>
      <c r="D1" s="609"/>
      <c r="E1" s="609"/>
      <c r="F1" s="609"/>
      <c r="G1" s="609"/>
      <c r="H1" s="609"/>
      <c r="I1" s="609"/>
      <c r="J1" s="609"/>
      <c r="K1" s="609"/>
      <c r="L1" s="609"/>
      <c r="M1" s="609"/>
      <c r="N1" s="609"/>
      <c r="O1" s="609"/>
      <c r="P1" s="609"/>
      <c r="Q1" s="609"/>
      <c r="R1" s="609"/>
      <c r="S1" s="609"/>
      <c r="T1" s="609"/>
      <c r="U1" s="609"/>
      <c r="V1" s="609"/>
      <c r="W1" s="610"/>
    </row>
    <row r="2" spans="1:23" ht="41.25" customHeight="1">
      <c r="A2" s="62" t="s">
        <v>16</v>
      </c>
      <c r="B2" s="62" t="s">
        <v>1</v>
      </c>
      <c r="C2" s="26" t="s">
        <v>1636</v>
      </c>
      <c r="D2" s="61" t="s">
        <v>1096</v>
      </c>
      <c r="E2" s="61" t="s">
        <v>3754</v>
      </c>
      <c r="F2" s="62" t="s">
        <v>2111</v>
      </c>
      <c r="G2" s="62" t="s">
        <v>3538</v>
      </c>
      <c r="H2" s="63" t="s">
        <v>1179</v>
      </c>
      <c r="I2" s="63" t="s">
        <v>2687</v>
      </c>
      <c r="J2" s="214">
        <v>2015</v>
      </c>
      <c r="K2" s="214">
        <v>2014</v>
      </c>
      <c r="L2" s="64">
        <v>2013</v>
      </c>
      <c r="M2" s="62">
        <v>2012</v>
      </c>
      <c r="N2" s="62">
        <v>2011</v>
      </c>
      <c r="O2" s="62">
        <v>2010</v>
      </c>
      <c r="P2" s="62">
        <v>2009</v>
      </c>
      <c r="Q2" s="62">
        <v>2008</v>
      </c>
      <c r="R2" s="62">
        <v>2007</v>
      </c>
      <c r="S2" s="62">
        <v>2006</v>
      </c>
      <c r="T2" s="62">
        <v>2005</v>
      </c>
      <c r="U2" s="62">
        <v>2004</v>
      </c>
      <c r="V2" s="62" t="s">
        <v>614</v>
      </c>
      <c r="W2" s="62" t="str">
        <f>COUNT(J2:U2) &amp; "-Year Average"</f>
        <v>12-Year Average</v>
      </c>
    </row>
    <row r="3" spans="1:23" ht="27" customHeight="1">
      <c r="A3" s="10" t="s">
        <v>474</v>
      </c>
      <c r="B3" s="10" t="s">
        <v>114</v>
      </c>
      <c r="C3" s="10"/>
      <c r="D3" s="10" t="s">
        <v>113</v>
      </c>
      <c r="E3" s="10" t="s">
        <v>3025</v>
      </c>
      <c r="F3" s="10" t="s">
        <v>2678</v>
      </c>
      <c r="G3" s="10"/>
      <c r="H3" s="70">
        <v>2</v>
      </c>
      <c r="I3" s="70"/>
      <c r="J3" s="70">
        <v>2928</v>
      </c>
      <c r="K3" s="65">
        <v>3546</v>
      </c>
      <c r="L3" s="71">
        <v>2456</v>
      </c>
      <c r="M3" s="65">
        <v>3791</v>
      </c>
      <c r="N3" s="65">
        <v>3546</v>
      </c>
      <c r="O3" s="65">
        <v>3605</v>
      </c>
      <c r="P3" s="65">
        <v>4129</v>
      </c>
      <c r="Q3" s="65">
        <v>3563</v>
      </c>
      <c r="R3" s="65">
        <v>2708</v>
      </c>
      <c r="S3" s="65">
        <v>4582</v>
      </c>
      <c r="T3" s="65">
        <v>3920</v>
      </c>
      <c r="U3" s="65">
        <v>4387</v>
      </c>
      <c r="V3" s="65">
        <f>AVERAGE(J3:Q3)</f>
        <v>3445.5</v>
      </c>
      <c r="W3" s="72">
        <f>AVERAGE(J3:U3)</f>
        <v>3596.75</v>
      </c>
    </row>
    <row r="4" spans="1:23" ht="27" customHeight="1">
      <c r="A4" s="10" t="s">
        <v>577</v>
      </c>
      <c r="B4" s="10" t="s">
        <v>117</v>
      </c>
      <c r="C4" s="10"/>
      <c r="D4" s="10" t="s">
        <v>116</v>
      </c>
      <c r="E4" s="10" t="s">
        <v>3026</v>
      </c>
      <c r="F4" s="10" t="s">
        <v>4818</v>
      </c>
      <c r="G4" s="10"/>
      <c r="H4" s="70">
        <v>1.4</v>
      </c>
      <c r="I4" s="70"/>
      <c r="J4" s="70">
        <v>1590</v>
      </c>
      <c r="K4" s="65">
        <v>4285</v>
      </c>
      <c r="L4" s="71">
        <v>4643</v>
      </c>
      <c r="M4" s="65">
        <v>5772</v>
      </c>
      <c r="N4" s="65">
        <v>6915</v>
      </c>
      <c r="O4" s="65">
        <v>6658</v>
      </c>
      <c r="P4" s="65">
        <v>6195</v>
      </c>
      <c r="Q4" s="65">
        <v>4957</v>
      </c>
      <c r="R4" s="65">
        <v>3280</v>
      </c>
      <c r="S4" s="65">
        <v>6898</v>
      </c>
      <c r="T4" s="65">
        <v>6685</v>
      </c>
      <c r="U4" s="65">
        <v>5400</v>
      </c>
      <c r="V4" s="65">
        <f t="shared" ref="V4:V67" si="0">AVERAGE(J4:Q4)</f>
        <v>5126.875</v>
      </c>
      <c r="W4" s="72">
        <f>AVERAGE(J4:U4)</f>
        <v>5273.166666666667</v>
      </c>
    </row>
    <row r="5" spans="1:23" ht="27" customHeight="1">
      <c r="A5" s="10"/>
      <c r="B5" s="10" t="s">
        <v>4841</v>
      </c>
      <c r="C5" s="10"/>
      <c r="D5" s="10"/>
      <c r="E5" s="10" t="s">
        <v>4842</v>
      </c>
      <c r="F5" s="10" t="s">
        <v>2117</v>
      </c>
      <c r="G5" s="10"/>
      <c r="H5" s="70"/>
      <c r="I5" s="70"/>
      <c r="J5" s="70">
        <v>0</v>
      </c>
      <c r="K5" s="65"/>
      <c r="L5" s="71"/>
      <c r="M5" s="65"/>
      <c r="N5" s="65"/>
      <c r="O5" s="65"/>
      <c r="P5" s="65"/>
      <c r="Q5" s="65"/>
      <c r="R5" s="65"/>
      <c r="S5" s="65"/>
      <c r="T5" s="65"/>
      <c r="U5" s="65"/>
      <c r="V5" s="65">
        <f t="shared" si="0"/>
        <v>0</v>
      </c>
      <c r="W5" s="72">
        <f>AVERAGE(J5:U5)</f>
        <v>0</v>
      </c>
    </row>
    <row r="6" spans="1:23" ht="27" customHeight="1">
      <c r="A6" s="10" t="s">
        <v>578</v>
      </c>
      <c r="B6" s="10" t="s">
        <v>119</v>
      </c>
      <c r="C6" s="10"/>
      <c r="D6" s="10" t="s">
        <v>118</v>
      </c>
      <c r="E6" s="10" t="s">
        <v>3027</v>
      </c>
      <c r="F6" s="10"/>
      <c r="G6" s="10"/>
      <c r="H6" s="70">
        <v>3</v>
      </c>
      <c r="I6" s="70"/>
      <c r="J6" s="70">
        <v>117</v>
      </c>
      <c r="K6" s="213">
        <v>0.01</v>
      </c>
      <c r="L6" s="71">
        <v>0</v>
      </c>
      <c r="M6" s="65">
        <v>4488</v>
      </c>
      <c r="N6" s="65">
        <v>10370</v>
      </c>
      <c r="O6" s="65">
        <v>0.01</v>
      </c>
      <c r="P6" s="65">
        <v>5021</v>
      </c>
      <c r="Q6" s="65">
        <v>2053</v>
      </c>
      <c r="R6" s="65">
        <v>60</v>
      </c>
      <c r="S6" s="65">
        <v>2733</v>
      </c>
      <c r="T6" s="65">
        <v>2163</v>
      </c>
      <c r="U6" s="65"/>
      <c r="V6" s="65">
        <f t="shared" si="0"/>
        <v>2756.1275000000001</v>
      </c>
      <c r="W6" s="72">
        <f t="shared" ref="W6:W33" si="1">AVERAGE(J6:U6)</f>
        <v>2455.0018181818182</v>
      </c>
    </row>
    <row r="7" spans="1:23" ht="27" customHeight="1">
      <c r="A7" s="10"/>
      <c r="B7" s="10" t="s">
        <v>1740</v>
      </c>
      <c r="C7" s="10"/>
      <c r="D7" s="10" t="s">
        <v>1741</v>
      </c>
      <c r="E7" s="10" t="s">
        <v>2349</v>
      </c>
      <c r="F7" s="173" t="s">
        <v>2348</v>
      </c>
      <c r="G7" s="173"/>
      <c r="H7" s="10">
        <v>1.5</v>
      </c>
      <c r="I7" s="10" t="s">
        <v>2946</v>
      </c>
      <c r="J7" s="70">
        <v>193.56599999999997</v>
      </c>
      <c r="K7" s="211">
        <v>1151.98</v>
      </c>
      <c r="L7" s="10"/>
      <c r="M7" s="65"/>
      <c r="N7" s="65"/>
      <c r="O7" s="65"/>
      <c r="P7" s="65"/>
      <c r="Q7" s="65"/>
      <c r="R7" s="65"/>
      <c r="S7" s="65"/>
      <c r="T7" s="65"/>
      <c r="U7" s="65"/>
      <c r="V7" s="65">
        <f t="shared" si="0"/>
        <v>672.77300000000002</v>
      </c>
      <c r="W7" s="72">
        <f t="shared" si="1"/>
        <v>672.77300000000002</v>
      </c>
    </row>
    <row r="8" spans="1:23" ht="27" customHeight="1">
      <c r="A8" s="10"/>
      <c r="B8" s="10" t="s">
        <v>1930</v>
      </c>
      <c r="C8" s="10"/>
      <c r="D8" s="10" t="s">
        <v>3250</v>
      </c>
      <c r="E8" s="10" t="s">
        <v>2118</v>
      </c>
      <c r="F8" s="10" t="s">
        <v>2117</v>
      </c>
      <c r="G8" s="10"/>
      <c r="H8" s="10">
        <v>1</v>
      </c>
      <c r="I8" s="10" t="s">
        <v>2946</v>
      </c>
      <c r="J8" s="70">
        <v>1904.9077600000001</v>
      </c>
      <c r="K8" s="211">
        <v>1154</v>
      </c>
      <c r="L8" s="10"/>
      <c r="M8" s="65"/>
      <c r="N8" s="65"/>
      <c r="O8" s="65"/>
      <c r="P8" s="65"/>
      <c r="Q8" s="65"/>
      <c r="R8" s="65"/>
      <c r="S8" s="65"/>
      <c r="T8" s="65"/>
      <c r="U8" s="65"/>
      <c r="V8" s="65">
        <f t="shared" si="0"/>
        <v>1529.45388</v>
      </c>
      <c r="W8" s="72">
        <f t="shared" si="1"/>
        <v>1529.45388</v>
      </c>
    </row>
    <row r="9" spans="1:23" ht="27" customHeight="1">
      <c r="A9" s="10" t="s">
        <v>588</v>
      </c>
      <c r="B9" s="10" t="s">
        <v>425</v>
      </c>
      <c r="C9" s="10"/>
      <c r="D9" s="10" t="s">
        <v>424</v>
      </c>
      <c r="E9" s="10" t="s">
        <v>2304</v>
      </c>
      <c r="F9" s="173" t="s">
        <v>4897</v>
      </c>
      <c r="G9" s="173"/>
      <c r="H9" s="70">
        <v>3.2</v>
      </c>
      <c r="I9" s="70"/>
      <c r="J9" s="70">
        <v>735</v>
      </c>
      <c r="K9" s="65">
        <v>2781</v>
      </c>
      <c r="L9" s="71">
        <v>1716</v>
      </c>
      <c r="M9" s="65">
        <v>3320</v>
      </c>
      <c r="N9" s="65">
        <v>7455</v>
      </c>
      <c r="O9" s="65">
        <v>1814</v>
      </c>
      <c r="P9" s="65">
        <v>1852</v>
      </c>
      <c r="Q9" s="65">
        <v>2536</v>
      </c>
      <c r="R9" s="65">
        <v>2437</v>
      </c>
      <c r="S9" s="65">
        <v>9611</v>
      </c>
      <c r="T9" s="65">
        <v>4005</v>
      </c>
      <c r="U9" s="65">
        <v>4490</v>
      </c>
      <c r="V9" s="65">
        <f t="shared" si="0"/>
        <v>2776.125</v>
      </c>
      <c r="W9" s="72">
        <f t="shared" si="1"/>
        <v>3562.6666666666665</v>
      </c>
    </row>
    <row r="10" spans="1:23" ht="27" customHeight="1">
      <c r="A10" s="10" t="s">
        <v>579</v>
      </c>
      <c r="B10" s="10" t="s">
        <v>121</v>
      </c>
      <c r="C10" s="10"/>
      <c r="D10" s="10" t="s">
        <v>120</v>
      </c>
      <c r="E10" s="10" t="s">
        <v>3028</v>
      </c>
      <c r="F10" s="10" t="s">
        <v>2351</v>
      </c>
      <c r="G10" s="10"/>
      <c r="H10" s="70">
        <v>1.5</v>
      </c>
      <c r="I10" s="70"/>
      <c r="J10" s="70">
        <v>1099</v>
      </c>
      <c r="K10" s="65">
        <v>562</v>
      </c>
      <c r="L10" s="71">
        <v>81</v>
      </c>
      <c r="M10" s="65">
        <v>2649</v>
      </c>
      <c r="N10" s="65">
        <v>16</v>
      </c>
      <c r="O10" s="65">
        <v>450</v>
      </c>
      <c r="P10" s="65">
        <v>2241</v>
      </c>
      <c r="Q10" s="65">
        <v>5545</v>
      </c>
      <c r="R10" s="65">
        <v>968</v>
      </c>
      <c r="S10" s="65" t="s">
        <v>115</v>
      </c>
      <c r="T10" s="65" t="s">
        <v>115</v>
      </c>
      <c r="U10" s="65" t="s">
        <v>115</v>
      </c>
      <c r="V10" s="65">
        <f t="shared" si="0"/>
        <v>1580.375</v>
      </c>
      <c r="W10" s="72">
        <f t="shared" si="1"/>
        <v>1512.3333333333333</v>
      </c>
    </row>
    <row r="11" spans="1:23" ht="27" customHeight="1">
      <c r="A11" s="10" t="s">
        <v>580</v>
      </c>
      <c r="B11" s="10" t="s">
        <v>123</v>
      </c>
      <c r="C11" s="10"/>
      <c r="D11" s="10" t="s">
        <v>122</v>
      </c>
      <c r="E11" s="10" t="s">
        <v>3029</v>
      </c>
      <c r="F11" s="10"/>
      <c r="G11" s="10"/>
      <c r="H11" s="70">
        <v>9.99</v>
      </c>
      <c r="I11" s="70"/>
      <c r="J11" s="70">
        <v>18742</v>
      </c>
      <c r="K11" s="65">
        <v>15166</v>
      </c>
      <c r="L11" s="71">
        <v>34568</v>
      </c>
      <c r="M11" s="65">
        <v>33699</v>
      </c>
      <c r="N11" s="65">
        <v>77472</v>
      </c>
      <c r="O11" s="65">
        <v>54763</v>
      </c>
      <c r="P11" s="65">
        <v>59753</v>
      </c>
      <c r="Q11" s="65">
        <v>37196</v>
      </c>
      <c r="R11" s="65">
        <v>27550</v>
      </c>
      <c r="S11" s="65">
        <v>83118</v>
      </c>
      <c r="T11" s="65">
        <v>48673</v>
      </c>
      <c r="U11" s="65">
        <v>44166</v>
      </c>
      <c r="V11" s="65">
        <f t="shared" si="0"/>
        <v>41419.875</v>
      </c>
      <c r="W11" s="72">
        <f t="shared" si="1"/>
        <v>44572.166666666664</v>
      </c>
    </row>
    <row r="12" spans="1:23" ht="27" customHeight="1">
      <c r="A12" s="10" t="s">
        <v>5507</v>
      </c>
      <c r="B12" s="10" t="s">
        <v>305</v>
      </c>
      <c r="C12" s="10"/>
      <c r="D12" s="10" t="s">
        <v>304</v>
      </c>
      <c r="E12" s="10" t="s">
        <v>3030</v>
      </c>
      <c r="F12" s="10" t="s">
        <v>2122</v>
      </c>
      <c r="G12" s="10"/>
      <c r="H12" s="70">
        <v>2</v>
      </c>
      <c r="I12" s="70"/>
      <c r="J12" s="70">
        <v>10109</v>
      </c>
      <c r="K12" s="65">
        <v>10412</v>
      </c>
      <c r="L12" s="71">
        <v>10690</v>
      </c>
      <c r="M12" s="65">
        <v>9673</v>
      </c>
      <c r="N12" s="65">
        <v>9832</v>
      </c>
      <c r="O12" s="65">
        <v>10583</v>
      </c>
      <c r="P12" s="65">
        <v>11654.316000000001</v>
      </c>
      <c r="Q12" s="65">
        <v>12574</v>
      </c>
      <c r="R12" s="65">
        <v>12794</v>
      </c>
      <c r="S12" s="65">
        <v>12694</v>
      </c>
      <c r="T12" s="65">
        <v>11852</v>
      </c>
      <c r="U12" s="65">
        <v>12208</v>
      </c>
      <c r="V12" s="65">
        <f t="shared" si="0"/>
        <v>10690.914500000001</v>
      </c>
      <c r="W12" s="72">
        <f t="shared" si="1"/>
        <v>11256.276333333333</v>
      </c>
    </row>
    <row r="13" spans="1:23" ht="27" customHeight="1">
      <c r="A13" s="69" t="s">
        <v>781</v>
      </c>
      <c r="B13" s="69" t="s">
        <v>125</v>
      </c>
      <c r="C13" s="69"/>
      <c r="D13" s="10" t="s">
        <v>124</v>
      </c>
      <c r="E13" s="10" t="s">
        <v>3031</v>
      </c>
      <c r="F13" s="10" t="s">
        <v>2123</v>
      </c>
      <c r="G13" s="10"/>
      <c r="H13" s="380">
        <v>5</v>
      </c>
      <c r="I13" s="380" t="s">
        <v>2946</v>
      </c>
      <c r="J13" s="70">
        <v>2447.2950000000001</v>
      </c>
      <c r="K13" s="381">
        <v>4203</v>
      </c>
      <c r="L13" s="382">
        <v>0</v>
      </c>
      <c r="M13" s="65">
        <v>500</v>
      </c>
      <c r="N13" s="65">
        <v>1925</v>
      </c>
      <c r="O13" s="65">
        <v>1924</v>
      </c>
      <c r="P13" s="65"/>
      <c r="Q13" s="65"/>
      <c r="R13" s="65"/>
      <c r="S13" s="65">
        <v>3245</v>
      </c>
      <c r="T13" s="65"/>
      <c r="U13" s="65"/>
      <c r="V13" s="65">
        <f t="shared" si="0"/>
        <v>1833.2158333333334</v>
      </c>
      <c r="W13" s="72">
        <f t="shared" si="1"/>
        <v>2034.8992857142857</v>
      </c>
    </row>
    <row r="14" spans="1:23" ht="27" customHeight="1">
      <c r="A14" s="10" t="s">
        <v>480</v>
      </c>
      <c r="B14" s="10" t="s">
        <v>127</v>
      </c>
      <c r="C14" s="10"/>
      <c r="D14" s="10" t="s">
        <v>126</v>
      </c>
      <c r="E14" s="10" t="s">
        <v>3032</v>
      </c>
      <c r="F14" s="10"/>
      <c r="G14" s="10"/>
      <c r="H14" s="70">
        <v>3.2</v>
      </c>
      <c r="I14" s="70"/>
      <c r="J14" s="70">
        <v>9553</v>
      </c>
      <c r="K14" s="65">
        <v>9209</v>
      </c>
      <c r="L14" s="71">
        <v>3241</v>
      </c>
      <c r="M14" s="65">
        <v>5099</v>
      </c>
      <c r="N14" s="65">
        <v>8212</v>
      </c>
      <c r="O14" s="65">
        <v>8522</v>
      </c>
      <c r="P14" s="65">
        <v>14738</v>
      </c>
      <c r="Q14" s="65">
        <v>13728</v>
      </c>
      <c r="R14" s="65">
        <v>10820</v>
      </c>
      <c r="S14" s="65">
        <v>14864</v>
      </c>
      <c r="T14" s="65">
        <v>11946</v>
      </c>
      <c r="U14" s="65">
        <v>11914</v>
      </c>
      <c r="V14" s="65">
        <f t="shared" si="0"/>
        <v>9037.75</v>
      </c>
      <c r="W14" s="72">
        <f t="shared" si="1"/>
        <v>10153.833333333334</v>
      </c>
    </row>
    <row r="15" spans="1:23" ht="27" customHeight="1">
      <c r="A15" s="10" t="s">
        <v>475</v>
      </c>
      <c r="B15" s="10" t="s">
        <v>129</v>
      </c>
      <c r="C15" s="10"/>
      <c r="D15" s="10" t="s">
        <v>128</v>
      </c>
      <c r="E15" s="10" t="s">
        <v>3033</v>
      </c>
      <c r="F15" s="10" t="s">
        <v>2410</v>
      </c>
      <c r="G15" s="10"/>
      <c r="H15" s="70">
        <v>7.3</v>
      </c>
      <c r="I15" s="70"/>
      <c r="J15" s="70">
        <v>12554</v>
      </c>
      <c r="K15" s="65">
        <v>15118</v>
      </c>
      <c r="L15" s="71">
        <v>21013</v>
      </c>
      <c r="M15" s="65">
        <v>29160</v>
      </c>
      <c r="N15" s="65">
        <v>40863</v>
      </c>
      <c r="O15" s="65">
        <v>35105</v>
      </c>
      <c r="P15" s="65">
        <v>27915</v>
      </c>
      <c r="Q15" s="65">
        <v>22279</v>
      </c>
      <c r="R15" s="65">
        <v>13881</v>
      </c>
      <c r="S15" s="65">
        <v>40048</v>
      </c>
      <c r="T15" s="65">
        <v>29360</v>
      </c>
      <c r="U15" s="65">
        <v>25506</v>
      </c>
      <c r="V15" s="65">
        <f t="shared" si="0"/>
        <v>25500.875</v>
      </c>
      <c r="W15" s="72">
        <f t="shared" si="1"/>
        <v>26066.833333333332</v>
      </c>
    </row>
    <row r="16" spans="1:23" ht="27" customHeight="1">
      <c r="A16" s="10" t="s">
        <v>475</v>
      </c>
      <c r="B16" s="10" t="s">
        <v>131</v>
      </c>
      <c r="C16" s="10"/>
      <c r="D16" s="10" t="s">
        <v>130</v>
      </c>
      <c r="E16" s="10" t="s">
        <v>3034</v>
      </c>
      <c r="F16" s="10" t="s">
        <v>2411</v>
      </c>
      <c r="G16" s="10"/>
      <c r="H16" s="70">
        <v>7.84</v>
      </c>
      <c r="I16" s="70"/>
      <c r="J16" s="70">
        <v>12683</v>
      </c>
      <c r="K16" s="65">
        <v>15001</v>
      </c>
      <c r="L16" s="71">
        <v>18174</v>
      </c>
      <c r="M16" s="65">
        <v>26890</v>
      </c>
      <c r="N16" s="65">
        <v>43919</v>
      </c>
      <c r="O16" s="65">
        <v>33057</v>
      </c>
      <c r="P16" s="65">
        <v>29142</v>
      </c>
      <c r="Q16" s="65">
        <v>23924</v>
      </c>
      <c r="R16" s="65">
        <v>19156</v>
      </c>
      <c r="S16" s="65">
        <v>36608</v>
      </c>
      <c r="T16" s="65">
        <v>25892</v>
      </c>
      <c r="U16" s="65">
        <v>28792</v>
      </c>
      <c r="V16" s="65">
        <f t="shared" si="0"/>
        <v>25348.75</v>
      </c>
      <c r="W16" s="72">
        <f t="shared" si="1"/>
        <v>26103.166666666668</v>
      </c>
    </row>
    <row r="17" spans="1:43" ht="27" customHeight="1">
      <c r="A17" s="10" t="s">
        <v>475</v>
      </c>
      <c r="B17" s="10" t="s">
        <v>133</v>
      </c>
      <c r="C17" s="10"/>
      <c r="D17" s="10" t="s">
        <v>132</v>
      </c>
      <c r="E17" s="10" t="s">
        <v>3035</v>
      </c>
      <c r="F17" s="10" t="s">
        <v>2412</v>
      </c>
      <c r="G17" s="10"/>
      <c r="H17" s="70">
        <v>7.95</v>
      </c>
      <c r="I17" s="70"/>
      <c r="J17" s="70">
        <v>23841</v>
      </c>
      <c r="K17" s="65">
        <v>25145</v>
      </c>
      <c r="L17" s="71">
        <v>24134</v>
      </c>
      <c r="M17" s="65">
        <v>37647</v>
      </c>
      <c r="N17" s="65">
        <v>51739</v>
      </c>
      <c r="O17" s="65">
        <v>50197</v>
      </c>
      <c r="P17" s="65">
        <v>40972</v>
      </c>
      <c r="Q17" s="65">
        <v>32827</v>
      </c>
      <c r="R17" s="65">
        <v>18771</v>
      </c>
      <c r="S17" s="65">
        <v>52679</v>
      </c>
      <c r="T17" s="65">
        <v>50156</v>
      </c>
      <c r="U17" s="65">
        <v>44357</v>
      </c>
      <c r="V17" s="65">
        <f t="shared" si="0"/>
        <v>35812.75</v>
      </c>
      <c r="W17" s="72">
        <f t="shared" si="1"/>
        <v>37705.416666666664</v>
      </c>
    </row>
    <row r="18" spans="1:43" ht="27" customHeight="1">
      <c r="A18" s="10" t="s">
        <v>475</v>
      </c>
      <c r="B18" s="10" t="s">
        <v>135</v>
      </c>
      <c r="C18" s="10"/>
      <c r="D18" s="10" t="s">
        <v>134</v>
      </c>
      <c r="E18" s="10" t="s">
        <v>3036</v>
      </c>
      <c r="F18" s="10" t="s">
        <v>2413</v>
      </c>
      <c r="G18" s="10"/>
      <c r="H18" s="70">
        <v>3.8</v>
      </c>
      <c r="I18" s="70"/>
      <c r="J18" s="70">
        <v>4971</v>
      </c>
      <c r="K18" s="65">
        <v>6091</v>
      </c>
      <c r="L18" s="71">
        <v>8652</v>
      </c>
      <c r="M18" s="65">
        <v>12176</v>
      </c>
      <c r="N18" s="65">
        <v>18998</v>
      </c>
      <c r="O18" s="65">
        <v>15496</v>
      </c>
      <c r="P18" s="65">
        <v>12364</v>
      </c>
      <c r="Q18" s="65">
        <v>12083</v>
      </c>
      <c r="R18" s="65">
        <v>10164</v>
      </c>
      <c r="S18" s="65">
        <v>21034</v>
      </c>
      <c r="T18" s="65">
        <v>17338</v>
      </c>
      <c r="U18" s="65">
        <v>14169</v>
      </c>
      <c r="V18" s="65">
        <f t="shared" si="0"/>
        <v>11353.875</v>
      </c>
      <c r="W18" s="72">
        <f t="shared" si="1"/>
        <v>12794.666666666666</v>
      </c>
    </row>
    <row r="19" spans="1:43" ht="27" customHeight="1">
      <c r="A19" s="10" t="s">
        <v>475</v>
      </c>
      <c r="B19" s="10" t="s">
        <v>137</v>
      </c>
      <c r="C19" s="10"/>
      <c r="D19" s="10" t="s">
        <v>136</v>
      </c>
      <c r="E19" s="10" t="s">
        <v>3037</v>
      </c>
      <c r="F19" s="10" t="s">
        <v>2414</v>
      </c>
      <c r="G19" s="10"/>
      <c r="H19" s="70">
        <v>1.6</v>
      </c>
      <c r="I19" s="70"/>
      <c r="J19" s="70">
        <v>5926</v>
      </c>
      <c r="K19" s="65">
        <v>6753</v>
      </c>
      <c r="L19" s="71">
        <v>8291</v>
      </c>
      <c r="M19" s="65">
        <v>10572</v>
      </c>
      <c r="N19" s="65">
        <v>13367</v>
      </c>
      <c r="O19" s="65">
        <v>3666</v>
      </c>
      <c r="P19" s="65">
        <v>9217</v>
      </c>
      <c r="Q19" s="65">
        <v>6983</v>
      </c>
      <c r="R19" s="65">
        <v>7213</v>
      </c>
      <c r="S19" s="65">
        <v>11524</v>
      </c>
      <c r="T19" s="65">
        <v>8212</v>
      </c>
      <c r="U19" s="65">
        <v>8009</v>
      </c>
      <c r="V19" s="65">
        <f t="shared" si="0"/>
        <v>8096.875</v>
      </c>
      <c r="W19" s="72">
        <f t="shared" si="1"/>
        <v>8311.0833333333339</v>
      </c>
    </row>
    <row r="20" spans="1:43" ht="27" customHeight="1">
      <c r="A20" s="10" t="s">
        <v>479</v>
      </c>
      <c r="B20" s="10" t="s">
        <v>139</v>
      </c>
      <c r="C20" s="10"/>
      <c r="D20" s="10" t="s">
        <v>138</v>
      </c>
      <c r="E20" s="10" t="s">
        <v>3038</v>
      </c>
      <c r="F20" s="10"/>
      <c r="G20" s="10"/>
      <c r="H20" s="70">
        <v>6.19</v>
      </c>
      <c r="I20" s="70"/>
      <c r="J20" s="70">
        <v>4786</v>
      </c>
      <c r="K20" s="65">
        <v>4788</v>
      </c>
      <c r="L20" s="71">
        <v>7602</v>
      </c>
      <c r="M20" s="65">
        <v>10054</v>
      </c>
      <c r="N20" s="65">
        <v>15962</v>
      </c>
      <c r="O20" s="65">
        <v>24369</v>
      </c>
      <c r="P20" s="65">
        <v>5472</v>
      </c>
      <c r="Q20" s="65">
        <v>22085</v>
      </c>
      <c r="R20" s="65">
        <v>7988</v>
      </c>
      <c r="S20" s="65">
        <v>23735</v>
      </c>
      <c r="T20" s="65">
        <v>23735</v>
      </c>
      <c r="U20" s="65">
        <v>13462</v>
      </c>
      <c r="V20" s="65">
        <f t="shared" si="0"/>
        <v>11889.75</v>
      </c>
      <c r="W20" s="72">
        <f t="shared" si="1"/>
        <v>13669.833333333334</v>
      </c>
    </row>
    <row r="21" spans="1:43" ht="27" customHeight="1">
      <c r="A21" s="10"/>
      <c r="B21" s="10" t="s">
        <v>4829</v>
      </c>
      <c r="C21" s="10"/>
      <c r="D21" s="10"/>
      <c r="E21" s="10">
        <v>60780</v>
      </c>
      <c r="F21" s="10" t="s">
        <v>4831</v>
      </c>
      <c r="G21" s="10"/>
      <c r="H21" s="70">
        <v>0.1</v>
      </c>
      <c r="I21" s="70"/>
      <c r="J21" s="70">
        <v>0</v>
      </c>
      <c r="K21" s="65">
        <v>500</v>
      </c>
      <c r="L21" s="71"/>
      <c r="M21" s="65"/>
      <c r="N21" s="65"/>
      <c r="O21" s="65"/>
      <c r="P21" s="65"/>
      <c r="Q21" s="65"/>
      <c r="R21" s="65"/>
      <c r="S21" s="65"/>
      <c r="T21" s="65"/>
      <c r="U21" s="65"/>
      <c r="V21" s="65">
        <f t="shared" si="0"/>
        <v>250</v>
      </c>
      <c r="W21" s="72">
        <f t="shared" si="1"/>
        <v>250</v>
      </c>
    </row>
    <row r="22" spans="1:43" ht="27" customHeight="1">
      <c r="A22" s="10"/>
      <c r="B22" s="10" t="s">
        <v>4830</v>
      </c>
      <c r="C22" s="10"/>
      <c r="D22" s="10"/>
      <c r="E22" s="10">
        <v>60781</v>
      </c>
      <c r="F22" s="10" t="s">
        <v>4831</v>
      </c>
      <c r="G22" s="10"/>
      <c r="H22" s="70">
        <v>0.1</v>
      </c>
      <c r="I22" s="70"/>
      <c r="J22" s="70">
        <v>0</v>
      </c>
      <c r="K22" s="65">
        <v>500</v>
      </c>
      <c r="L22" s="71"/>
      <c r="M22" s="65"/>
      <c r="N22" s="65"/>
      <c r="O22" s="65"/>
      <c r="P22" s="65"/>
      <c r="Q22" s="65"/>
      <c r="R22" s="65"/>
      <c r="S22" s="65"/>
      <c r="T22" s="65"/>
      <c r="U22" s="65"/>
      <c r="V22" s="65">
        <f t="shared" si="0"/>
        <v>250</v>
      </c>
      <c r="W22" s="72">
        <f t="shared" si="1"/>
        <v>250</v>
      </c>
    </row>
    <row r="23" spans="1:43" ht="27" customHeight="1">
      <c r="A23" s="10" t="s">
        <v>475</v>
      </c>
      <c r="B23" s="10" t="s">
        <v>141</v>
      </c>
      <c r="C23" s="10"/>
      <c r="D23" s="10" t="s">
        <v>140</v>
      </c>
      <c r="E23" s="10" t="s">
        <v>3039</v>
      </c>
      <c r="F23" s="10" t="s">
        <v>2415</v>
      </c>
      <c r="G23" s="10"/>
      <c r="H23" s="70">
        <v>11</v>
      </c>
      <c r="I23" s="70" t="s">
        <v>2946</v>
      </c>
      <c r="J23" s="70">
        <v>0</v>
      </c>
      <c r="K23" s="65">
        <v>0</v>
      </c>
      <c r="L23" s="71">
        <v>7122</v>
      </c>
      <c r="M23" s="65">
        <v>49140</v>
      </c>
      <c r="N23" s="65">
        <v>61011.020000000004</v>
      </c>
      <c r="O23" s="65">
        <v>44043.020000000004</v>
      </c>
      <c r="P23" s="65">
        <v>54713</v>
      </c>
      <c r="Q23" s="65">
        <v>45358</v>
      </c>
      <c r="R23" s="65">
        <v>38305</v>
      </c>
      <c r="S23" s="65">
        <v>71036</v>
      </c>
      <c r="T23" s="65">
        <v>76606</v>
      </c>
      <c r="U23" s="65">
        <v>52640</v>
      </c>
      <c r="V23" s="65">
        <f t="shared" si="0"/>
        <v>32673.38</v>
      </c>
      <c r="W23" s="72">
        <f t="shared" si="1"/>
        <v>41664.503333333334</v>
      </c>
    </row>
    <row r="24" spans="1:43" ht="27" customHeight="1">
      <c r="A24" s="10" t="s">
        <v>573</v>
      </c>
      <c r="B24" s="10" t="s">
        <v>328</v>
      </c>
      <c r="C24" s="10"/>
      <c r="D24" s="10" t="s">
        <v>327</v>
      </c>
      <c r="E24" s="10" t="s">
        <v>3040</v>
      </c>
      <c r="F24" s="10" t="s">
        <v>2254</v>
      </c>
      <c r="G24" s="10"/>
      <c r="H24" s="70">
        <v>3.6</v>
      </c>
      <c r="I24" s="70"/>
      <c r="J24" s="70">
        <v>3952</v>
      </c>
      <c r="K24" s="65">
        <v>5083</v>
      </c>
      <c r="L24" s="71">
        <v>6280</v>
      </c>
      <c r="M24" s="65">
        <v>14149</v>
      </c>
      <c r="N24" s="65">
        <v>17811</v>
      </c>
      <c r="O24" s="65">
        <v>15062</v>
      </c>
      <c r="P24" s="65">
        <v>12554</v>
      </c>
      <c r="Q24" s="65">
        <v>7985</v>
      </c>
      <c r="R24" s="65">
        <v>8090</v>
      </c>
      <c r="S24" s="65">
        <v>20244</v>
      </c>
      <c r="T24" s="65">
        <v>14510</v>
      </c>
      <c r="U24" s="65">
        <v>11656</v>
      </c>
      <c r="V24" s="65">
        <f t="shared" si="0"/>
        <v>10359.5</v>
      </c>
      <c r="W24" s="72">
        <f t="shared" si="1"/>
        <v>11448</v>
      </c>
    </row>
    <row r="25" spans="1:43" ht="27" customHeight="1">
      <c r="A25" s="10" t="s">
        <v>598</v>
      </c>
      <c r="B25" s="10" t="s">
        <v>285</v>
      </c>
      <c r="C25" s="10"/>
      <c r="D25" s="10" t="s">
        <v>284</v>
      </c>
      <c r="E25" s="10" t="s">
        <v>2913</v>
      </c>
      <c r="F25" s="10" t="s">
        <v>4831</v>
      </c>
      <c r="G25" s="10"/>
      <c r="H25" s="70">
        <v>5</v>
      </c>
      <c r="I25" s="70"/>
      <c r="J25" s="70">
        <v>9815</v>
      </c>
      <c r="K25" s="65">
        <v>8187</v>
      </c>
      <c r="L25" s="71">
        <v>10838</v>
      </c>
      <c r="M25" s="65">
        <v>15586</v>
      </c>
      <c r="N25" s="65">
        <v>25830</v>
      </c>
      <c r="O25" s="65">
        <v>22946</v>
      </c>
      <c r="P25" s="65">
        <v>14046</v>
      </c>
      <c r="Q25" s="65">
        <v>12396</v>
      </c>
      <c r="R25" s="65">
        <v>11183</v>
      </c>
      <c r="S25" s="65">
        <v>25569</v>
      </c>
      <c r="T25" s="65">
        <v>23700</v>
      </c>
      <c r="U25" s="65">
        <v>20874</v>
      </c>
      <c r="V25" s="65">
        <f t="shared" si="0"/>
        <v>14955.5</v>
      </c>
      <c r="W25" s="72">
        <f t="shared" si="1"/>
        <v>16747.5</v>
      </c>
    </row>
    <row r="26" spans="1:43" ht="27" customHeight="1">
      <c r="A26" s="10"/>
      <c r="B26" s="10" t="s">
        <v>1938</v>
      </c>
      <c r="C26" s="10"/>
      <c r="D26" s="10" t="s">
        <v>3251</v>
      </c>
      <c r="E26" s="10" t="s">
        <v>2127</v>
      </c>
      <c r="F26" s="10" t="s">
        <v>2126</v>
      </c>
      <c r="G26" s="10"/>
      <c r="H26" s="70">
        <v>0.4</v>
      </c>
      <c r="I26" s="70" t="s">
        <v>2946</v>
      </c>
      <c r="J26" s="70">
        <v>741.18399999999997</v>
      </c>
      <c r="K26" s="65">
        <v>1120.884</v>
      </c>
      <c r="L26" s="71"/>
      <c r="M26" s="65"/>
      <c r="N26" s="65"/>
      <c r="O26" s="65"/>
      <c r="P26" s="65"/>
      <c r="Q26" s="65"/>
      <c r="R26" s="65"/>
      <c r="S26" s="65"/>
      <c r="T26" s="65"/>
      <c r="U26" s="65"/>
      <c r="V26" s="65">
        <f t="shared" si="0"/>
        <v>931.03399999999999</v>
      </c>
      <c r="W26" s="72">
        <f t="shared" si="1"/>
        <v>931.03399999999999</v>
      </c>
    </row>
    <row r="27" spans="1:43" ht="27" customHeight="1">
      <c r="A27" s="10" t="s">
        <v>5510</v>
      </c>
      <c r="B27" s="10" t="s">
        <v>251</v>
      </c>
      <c r="C27" s="10"/>
      <c r="D27" s="10" t="s">
        <v>250</v>
      </c>
      <c r="E27" s="10" t="s">
        <v>3041</v>
      </c>
      <c r="F27" s="10" t="s">
        <v>2129</v>
      </c>
      <c r="G27" s="10"/>
      <c r="H27" s="70">
        <v>3</v>
      </c>
      <c r="I27" s="70"/>
      <c r="J27" s="70">
        <v>394</v>
      </c>
      <c r="K27" s="65">
        <v>1874</v>
      </c>
      <c r="L27" s="71">
        <v>2030</v>
      </c>
      <c r="M27" s="65">
        <v>3907</v>
      </c>
      <c r="N27" s="65">
        <v>8089</v>
      </c>
      <c r="O27" s="65">
        <v>4575</v>
      </c>
      <c r="P27" s="65">
        <v>3827</v>
      </c>
      <c r="Q27" s="65">
        <v>2203</v>
      </c>
      <c r="R27" s="65">
        <v>2451</v>
      </c>
      <c r="S27" s="65">
        <v>11870</v>
      </c>
      <c r="T27" s="65">
        <v>6729</v>
      </c>
      <c r="U27" s="65">
        <v>6010</v>
      </c>
      <c r="V27" s="65">
        <f t="shared" si="0"/>
        <v>3362.375</v>
      </c>
      <c r="W27" s="72">
        <f t="shared" si="1"/>
        <v>4496.583333333333</v>
      </c>
    </row>
    <row r="28" spans="1:43" ht="27" customHeight="1">
      <c r="A28" s="10" t="s">
        <v>2131</v>
      </c>
      <c r="B28" s="10" t="s">
        <v>2187</v>
      </c>
      <c r="C28" s="10"/>
      <c r="D28" s="10"/>
      <c r="E28" s="10" t="s">
        <v>3042</v>
      </c>
      <c r="F28" s="379" t="s">
        <v>2133</v>
      </c>
      <c r="G28" s="379"/>
      <c r="H28" s="70">
        <v>0.09</v>
      </c>
      <c r="I28" s="70" t="s">
        <v>2946</v>
      </c>
      <c r="J28" s="70">
        <v>198.876</v>
      </c>
      <c r="K28" s="71">
        <v>264.52300000000002</v>
      </c>
      <c r="L28" s="71"/>
      <c r="M28" s="65"/>
      <c r="N28" s="65"/>
      <c r="O28" s="65"/>
      <c r="P28" s="65"/>
      <c r="Q28" s="65"/>
      <c r="R28" s="65"/>
      <c r="S28" s="65"/>
      <c r="T28" s="65"/>
      <c r="U28" s="65"/>
      <c r="V28" s="65">
        <f t="shared" si="0"/>
        <v>231.6995</v>
      </c>
      <c r="W28" s="72">
        <f t="shared" si="1"/>
        <v>231.6995</v>
      </c>
    </row>
    <row r="29" spans="1:43" s="364" customFormat="1" ht="27" customHeight="1">
      <c r="A29" s="10" t="s">
        <v>2131</v>
      </c>
      <c r="B29" s="10" t="s">
        <v>2188</v>
      </c>
      <c r="C29" s="10"/>
      <c r="D29" s="10"/>
      <c r="E29" s="10" t="s">
        <v>3043</v>
      </c>
      <c r="F29" s="379" t="s">
        <v>2134</v>
      </c>
      <c r="G29" s="379"/>
      <c r="H29" s="70">
        <v>0.09</v>
      </c>
      <c r="I29" s="70" t="s">
        <v>2946</v>
      </c>
      <c r="J29" s="70">
        <v>213.25200000000001</v>
      </c>
      <c r="K29" s="71">
        <v>242.506</v>
      </c>
      <c r="L29" s="71"/>
      <c r="M29" s="314"/>
      <c r="N29" s="65"/>
      <c r="O29" s="65"/>
      <c r="P29" s="65"/>
      <c r="Q29" s="65"/>
      <c r="R29" s="65"/>
      <c r="S29" s="458"/>
      <c r="T29" s="314"/>
      <c r="U29" s="314"/>
      <c r="V29" s="65">
        <f t="shared" si="0"/>
        <v>227.87900000000002</v>
      </c>
      <c r="W29" s="72">
        <f t="shared" si="1"/>
        <v>227.87900000000002</v>
      </c>
      <c r="X29" s="66"/>
      <c r="Y29" s="17"/>
      <c r="Z29" s="17"/>
      <c r="AA29" s="17"/>
      <c r="AB29" s="17"/>
      <c r="AC29" s="17"/>
      <c r="AD29" s="17"/>
      <c r="AE29" s="17"/>
      <c r="AF29" s="17"/>
      <c r="AG29" s="17"/>
      <c r="AH29" s="17"/>
      <c r="AI29" s="17"/>
      <c r="AJ29" s="17"/>
      <c r="AK29" s="17"/>
      <c r="AL29" s="17"/>
      <c r="AM29" s="17"/>
      <c r="AN29" s="17"/>
      <c r="AO29" s="17"/>
      <c r="AP29" s="17"/>
      <c r="AQ29" s="17"/>
    </row>
    <row r="30" spans="1:43" ht="27" customHeight="1">
      <c r="A30" s="10" t="s">
        <v>2131</v>
      </c>
      <c r="B30" s="10" t="s">
        <v>2189</v>
      </c>
      <c r="C30" s="10"/>
      <c r="D30" s="10"/>
      <c r="E30" s="10" t="s">
        <v>3044</v>
      </c>
      <c r="F30" s="379" t="s">
        <v>2135</v>
      </c>
      <c r="G30" s="379"/>
      <c r="H30" s="70">
        <v>0.09</v>
      </c>
      <c r="I30" s="70" t="s">
        <v>2946</v>
      </c>
      <c r="J30" s="70">
        <v>88.87299999999999</v>
      </c>
      <c r="K30" s="71">
        <v>132.03399999999999</v>
      </c>
      <c r="L30" s="71"/>
      <c r="M30" s="65"/>
      <c r="N30" s="65"/>
      <c r="O30" s="65"/>
      <c r="P30" s="65"/>
      <c r="Q30" s="65"/>
      <c r="R30" s="65"/>
      <c r="S30" s="65"/>
      <c r="T30" s="65"/>
      <c r="U30" s="65"/>
      <c r="V30" s="65">
        <f t="shared" si="0"/>
        <v>110.45349999999999</v>
      </c>
      <c r="W30" s="72">
        <f t="shared" si="1"/>
        <v>110.45349999999999</v>
      </c>
    </row>
    <row r="31" spans="1:43" ht="27" customHeight="1">
      <c r="A31" s="166"/>
      <c r="B31" s="165" t="s">
        <v>1610</v>
      </c>
      <c r="C31" s="166"/>
      <c r="D31" s="180"/>
      <c r="E31" s="220"/>
      <c r="F31" s="164" t="s">
        <v>475</v>
      </c>
      <c r="G31" s="164"/>
      <c r="H31" s="258">
        <v>0.32500000000000001</v>
      </c>
      <c r="I31" s="164"/>
      <c r="J31" s="241">
        <f>(DATEVALUE("12/31/2015")-L31)*24*0.27*H31/1000</f>
        <v>89.229113999999996</v>
      </c>
      <c r="L31" s="167"/>
      <c r="M31" s="252"/>
      <c r="N31" s="168"/>
      <c r="P31" s="169"/>
      <c r="Q31" s="254"/>
      <c r="R31" s="198"/>
      <c r="S31" s="164"/>
      <c r="T31" s="166"/>
      <c r="U31" s="166"/>
      <c r="V31" s="65">
        <f t="shared" si="0"/>
        <v>89.229113999999996</v>
      </c>
      <c r="W31" s="72">
        <f t="shared" si="1"/>
        <v>89.229113999999996</v>
      </c>
      <c r="X31" s="170"/>
      <c r="Y31" s="388"/>
      <c r="Z31" s="388"/>
      <c r="AA31" s="388"/>
      <c r="AB31" s="388"/>
      <c r="AC31" s="388"/>
      <c r="AD31" s="388"/>
      <c r="AE31" s="388"/>
      <c r="AF31" s="388"/>
      <c r="AG31" s="388"/>
      <c r="AH31" s="388"/>
      <c r="AI31" s="388"/>
      <c r="AJ31" s="388"/>
      <c r="AK31" s="388"/>
      <c r="AL31" s="388"/>
      <c r="AM31" s="388"/>
      <c r="AN31" s="388"/>
      <c r="AO31" s="388"/>
      <c r="AP31" s="388"/>
      <c r="AQ31" s="388"/>
    </row>
    <row r="32" spans="1:43" ht="27" customHeight="1">
      <c r="A32" s="10" t="s">
        <v>512</v>
      </c>
      <c r="B32" s="10" t="s">
        <v>154</v>
      </c>
      <c r="C32" s="10"/>
      <c r="D32" s="10" t="s">
        <v>153</v>
      </c>
      <c r="E32" s="10" t="s">
        <v>3045</v>
      </c>
      <c r="F32" s="10"/>
      <c r="G32" s="10"/>
      <c r="H32" s="70">
        <v>10.8</v>
      </c>
      <c r="I32" s="70"/>
      <c r="J32" s="70">
        <v>2557.02</v>
      </c>
      <c r="K32" s="65">
        <v>4921</v>
      </c>
      <c r="L32" s="71">
        <v>16161</v>
      </c>
      <c r="M32" s="65">
        <v>15474</v>
      </c>
      <c r="N32" s="65">
        <v>56961</v>
      </c>
      <c r="O32" s="65">
        <v>41284</v>
      </c>
      <c r="P32" s="65">
        <v>17619</v>
      </c>
      <c r="Q32" s="65">
        <v>8544</v>
      </c>
      <c r="R32" s="65">
        <v>17803</v>
      </c>
      <c r="S32" s="65">
        <v>59843</v>
      </c>
      <c r="T32" s="65">
        <v>57650</v>
      </c>
      <c r="U32" s="65">
        <v>21781</v>
      </c>
      <c r="V32" s="65">
        <f t="shared" si="0"/>
        <v>20440.127500000002</v>
      </c>
      <c r="W32" s="72">
        <f t="shared" si="1"/>
        <v>26716.501666666667</v>
      </c>
    </row>
    <row r="33" spans="1:23" ht="27" customHeight="1">
      <c r="A33" s="10" t="s">
        <v>65</v>
      </c>
      <c r="B33" s="10" t="s">
        <v>156</v>
      </c>
      <c r="C33" s="10"/>
      <c r="D33" s="10" t="s">
        <v>155</v>
      </c>
      <c r="E33" s="10" t="s">
        <v>3046</v>
      </c>
      <c r="F33" s="10"/>
      <c r="G33" s="10"/>
      <c r="H33" s="70">
        <v>7.18</v>
      </c>
      <c r="I33" s="70"/>
      <c r="J33" s="70">
        <v>5251</v>
      </c>
      <c r="K33" s="65">
        <v>5767</v>
      </c>
      <c r="L33" s="71">
        <v>12807</v>
      </c>
      <c r="M33" s="65">
        <v>22404</v>
      </c>
      <c r="N33" s="65">
        <v>38368</v>
      </c>
      <c r="O33" s="65">
        <v>27786</v>
      </c>
      <c r="P33" s="65">
        <v>22145</v>
      </c>
      <c r="Q33" s="65">
        <v>11720</v>
      </c>
      <c r="R33" s="65">
        <v>11810</v>
      </c>
      <c r="S33" s="65">
        <v>34255</v>
      </c>
      <c r="T33" s="65">
        <v>26596</v>
      </c>
      <c r="U33" s="65">
        <v>21569</v>
      </c>
      <c r="V33" s="65">
        <f t="shared" si="0"/>
        <v>18281</v>
      </c>
      <c r="W33" s="72">
        <f t="shared" si="1"/>
        <v>20039.833333333332</v>
      </c>
    </row>
    <row r="34" spans="1:23" ht="27" customHeight="1">
      <c r="A34" s="10" t="s">
        <v>575</v>
      </c>
      <c r="B34" s="10" t="s">
        <v>2077</v>
      </c>
      <c r="C34" s="10"/>
      <c r="D34" s="10" t="s">
        <v>2921</v>
      </c>
      <c r="E34" s="10" t="s">
        <v>2078</v>
      </c>
      <c r="F34" s="10"/>
      <c r="G34" s="10"/>
      <c r="H34" s="70">
        <v>0.9</v>
      </c>
      <c r="I34" s="70"/>
      <c r="J34" s="70">
        <v>0</v>
      </c>
      <c r="K34" s="213">
        <v>0</v>
      </c>
      <c r="L34" s="71"/>
      <c r="M34" s="65"/>
      <c r="N34" s="65"/>
      <c r="O34" s="65"/>
      <c r="P34" s="65"/>
      <c r="Q34" s="65"/>
      <c r="R34" s="65"/>
      <c r="S34" s="65"/>
      <c r="T34" s="65"/>
      <c r="U34" s="65"/>
      <c r="V34" s="65">
        <f t="shared" si="0"/>
        <v>0</v>
      </c>
      <c r="W34" s="72">
        <f t="shared" ref="W34:W36" si="2">AVERAGE(J34:U34)</f>
        <v>0</v>
      </c>
    </row>
    <row r="35" spans="1:23" ht="27" customHeight="1">
      <c r="A35" s="10"/>
      <c r="B35" s="10" t="s">
        <v>1927</v>
      </c>
      <c r="C35" s="10"/>
      <c r="D35" s="10"/>
      <c r="E35" s="10"/>
      <c r="F35" s="10" t="s">
        <v>2630</v>
      </c>
      <c r="G35" s="10"/>
      <c r="H35" s="70">
        <v>0.3</v>
      </c>
      <c r="I35" s="70"/>
      <c r="J35" s="70">
        <v>0</v>
      </c>
      <c r="K35" s="65">
        <v>0</v>
      </c>
      <c r="L35" s="71"/>
      <c r="M35" s="65"/>
      <c r="N35" s="65"/>
      <c r="O35" s="65"/>
      <c r="P35" s="65"/>
      <c r="Q35" s="65"/>
      <c r="R35" s="65"/>
      <c r="S35" s="65"/>
      <c r="T35" s="65"/>
      <c r="U35" s="65"/>
      <c r="V35" s="65">
        <f t="shared" si="0"/>
        <v>0</v>
      </c>
      <c r="W35" s="72">
        <f t="shared" si="2"/>
        <v>0</v>
      </c>
    </row>
    <row r="36" spans="1:23" ht="27" customHeight="1">
      <c r="A36" s="10" t="s">
        <v>474</v>
      </c>
      <c r="B36" s="10" t="s">
        <v>158</v>
      </c>
      <c r="C36" s="287"/>
      <c r="D36" s="10" t="s">
        <v>157</v>
      </c>
      <c r="E36" s="10" t="s">
        <v>3047</v>
      </c>
      <c r="F36" s="10" t="s">
        <v>2660</v>
      </c>
      <c r="G36" s="287"/>
      <c r="H36" s="312">
        <v>6.4</v>
      </c>
      <c r="I36" s="70" t="s">
        <v>2946</v>
      </c>
      <c r="J36" s="70">
        <v>0.307</v>
      </c>
      <c r="K36" s="65">
        <v>18.5</v>
      </c>
      <c r="L36" s="71">
        <v>0</v>
      </c>
      <c r="M36" s="65">
        <v>0</v>
      </c>
      <c r="N36" s="65">
        <v>1584</v>
      </c>
      <c r="O36" s="65"/>
      <c r="P36" s="65">
        <v>4756</v>
      </c>
      <c r="Q36" s="65">
        <v>7525</v>
      </c>
      <c r="R36" s="65">
        <v>11854</v>
      </c>
      <c r="S36" s="65">
        <v>16839</v>
      </c>
      <c r="T36" s="65">
        <v>24313</v>
      </c>
      <c r="U36" s="65">
        <v>24212</v>
      </c>
      <c r="V36" s="65">
        <f t="shared" si="0"/>
        <v>1983.4010000000001</v>
      </c>
      <c r="W36" s="72">
        <f t="shared" si="2"/>
        <v>8281.9824545454539</v>
      </c>
    </row>
    <row r="37" spans="1:23" ht="27" customHeight="1">
      <c r="A37" s="10" t="s">
        <v>474</v>
      </c>
      <c r="B37" s="10" t="s">
        <v>4843</v>
      </c>
      <c r="C37" s="252"/>
      <c r="D37" s="10"/>
      <c r="E37" s="70" t="s">
        <v>4845</v>
      </c>
      <c r="F37" s="10" t="s">
        <v>4844</v>
      </c>
      <c r="G37" s="10"/>
      <c r="H37" s="252"/>
      <c r="I37" s="70"/>
      <c r="J37" s="70">
        <v>0</v>
      </c>
      <c r="K37" s="65">
        <v>0</v>
      </c>
      <c r="L37" s="71"/>
      <c r="M37" s="65"/>
      <c r="N37" s="65"/>
      <c r="O37" s="65"/>
      <c r="P37" s="65"/>
      <c r="Q37" s="65"/>
      <c r="R37" s="65"/>
      <c r="S37" s="65"/>
      <c r="T37" s="65"/>
      <c r="U37" s="65"/>
      <c r="V37" s="65">
        <f t="shared" si="0"/>
        <v>0</v>
      </c>
      <c r="W37" s="72">
        <f t="shared" ref="W37:W38" si="3">AVERAGE(J37:U37)</f>
        <v>0</v>
      </c>
    </row>
    <row r="38" spans="1:23" ht="27" customHeight="1">
      <c r="A38" s="10" t="s">
        <v>474</v>
      </c>
      <c r="B38" s="10" t="s">
        <v>162</v>
      </c>
      <c r="C38" s="10"/>
      <c r="D38" s="10" t="s">
        <v>161</v>
      </c>
      <c r="E38" s="10" t="s">
        <v>3048</v>
      </c>
      <c r="F38" s="10" t="s">
        <v>2656</v>
      </c>
      <c r="G38" s="10"/>
      <c r="H38" s="70">
        <v>7.02</v>
      </c>
      <c r="I38" s="70"/>
      <c r="J38" s="70">
        <v>866</v>
      </c>
      <c r="K38" s="65">
        <v>1701</v>
      </c>
      <c r="L38" s="71">
        <v>15949</v>
      </c>
      <c r="M38" s="65">
        <v>24013</v>
      </c>
      <c r="N38" s="65">
        <v>42571</v>
      </c>
      <c r="O38" s="65">
        <v>31785</v>
      </c>
      <c r="P38" s="65">
        <v>26046</v>
      </c>
      <c r="Q38" s="65">
        <v>17591</v>
      </c>
      <c r="R38" s="65">
        <v>20489</v>
      </c>
      <c r="S38" s="65">
        <v>40795</v>
      </c>
      <c r="T38" s="65">
        <v>38199</v>
      </c>
      <c r="U38" s="65">
        <v>26179</v>
      </c>
      <c r="V38" s="65">
        <f t="shared" si="0"/>
        <v>20065.25</v>
      </c>
      <c r="W38" s="72">
        <f t="shared" si="3"/>
        <v>23848.666666666668</v>
      </c>
    </row>
    <row r="39" spans="1:23" ht="27" customHeight="1">
      <c r="A39" s="10" t="s">
        <v>2947</v>
      </c>
      <c r="B39" s="10" t="s">
        <v>2948</v>
      </c>
      <c r="C39" s="10"/>
      <c r="D39" s="10" t="s">
        <v>3252</v>
      </c>
      <c r="E39" s="10" t="s">
        <v>3049</v>
      </c>
      <c r="F39" s="10" t="s">
        <v>2629</v>
      </c>
      <c r="G39" s="10"/>
      <c r="H39" s="70">
        <v>0.2</v>
      </c>
      <c r="I39" s="70" t="s">
        <v>2946</v>
      </c>
      <c r="J39" s="70">
        <v>409.81400000000002</v>
      </c>
      <c r="K39" s="65">
        <v>470.50400000000002</v>
      </c>
      <c r="L39" s="71"/>
      <c r="M39" s="65"/>
      <c r="N39" s="65"/>
      <c r="O39" s="65"/>
      <c r="P39" s="65"/>
      <c r="Q39" s="65"/>
      <c r="R39" s="65"/>
      <c r="S39" s="65"/>
      <c r="T39" s="65"/>
      <c r="U39" s="65"/>
      <c r="V39" s="65">
        <f t="shared" si="0"/>
        <v>440.15899999999999</v>
      </c>
      <c r="W39" s="72">
        <f t="shared" ref="W39:W102" si="4">AVERAGE(J39:U39)</f>
        <v>440.15899999999999</v>
      </c>
    </row>
    <row r="40" spans="1:23" ht="27" customHeight="1">
      <c r="A40" s="10" t="s">
        <v>474</v>
      </c>
      <c r="B40" s="10" t="s">
        <v>164</v>
      </c>
      <c r="C40" s="10"/>
      <c r="D40" s="10" t="s">
        <v>163</v>
      </c>
      <c r="E40" s="10" t="s">
        <v>3050</v>
      </c>
      <c r="F40" s="10" t="s">
        <v>2646</v>
      </c>
      <c r="G40" s="10"/>
      <c r="H40" s="70">
        <v>13</v>
      </c>
      <c r="I40" s="70"/>
      <c r="J40" s="70">
        <v>26894.03</v>
      </c>
      <c r="K40" s="65">
        <v>35552</v>
      </c>
      <c r="L40" s="71">
        <v>39844</v>
      </c>
      <c r="M40" s="65">
        <v>48961</v>
      </c>
      <c r="N40" s="65">
        <v>64679.740000000005</v>
      </c>
      <c r="O40" s="65">
        <v>33013.96</v>
      </c>
      <c r="P40" s="65">
        <v>48069</v>
      </c>
      <c r="Q40" s="65">
        <v>55236</v>
      </c>
      <c r="R40" s="65">
        <v>60148</v>
      </c>
      <c r="S40" s="65">
        <v>22920</v>
      </c>
      <c r="T40" s="65">
        <v>58495</v>
      </c>
      <c r="U40" s="65">
        <v>61620</v>
      </c>
      <c r="V40" s="65">
        <f t="shared" si="0"/>
        <v>44031.216249999998</v>
      </c>
      <c r="W40" s="72">
        <f t="shared" si="4"/>
        <v>46286.060833333329</v>
      </c>
    </row>
    <row r="41" spans="1:23" ht="27" customHeight="1">
      <c r="A41" s="10" t="s">
        <v>2146</v>
      </c>
      <c r="B41" s="10" t="s">
        <v>2183</v>
      </c>
      <c r="C41" s="10"/>
      <c r="D41" s="10" t="s">
        <v>2924</v>
      </c>
      <c r="E41" s="10" t="s">
        <v>2150</v>
      </c>
      <c r="F41" s="10" t="s">
        <v>2149</v>
      </c>
      <c r="G41" s="10"/>
      <c r="H41" s="70">
        <v>0.5</v>
      </c>
      <c r="I41" s="70" t="s">
        <v>2946</v>
      </c>
      <c r="J41" s="70">
        <v>1127.8490000000002</v>
      </c>
      <c r="K41" s="65">
        <v>1370.4680000000001</v>
      </c>
      <c r="L41" s="71"/>
      <c r="M41" s="65"/>
      <c r="N41" s="65"/>
      <c r="O41" s="65"/>
      <c r="P41" s="65"/>
      <c r="Q41" s="65"/>
      <c r="R41" s="65"/>
      <c r="S41" s="65"/>
      <c r="T41" s="65"/>
      <c r="U41" s="65"/>
      <c r="V41" s="65">
        <f t="shared" si="0"/>
        <v>1249.1585</v>
      </c>
      <c r="W41" s="72">
        <f t="shared" si="4"/>
        <v>1249.1585</v>
      </c>
    </row>
    <row r="42" spans="1:23" ht="27" customHeight="1">
      <c r="A42" s="10" t="s">
        <v>573</v>
      </c>
      <c r="B42" s="10" t="s">
        <v>552</v>
      </c>
      <c r="C42" s="10"/>
      <c r="D42" s="10" t="s">
        <v>144</v>
      </c>
      <c r="E42" s="10" t="s">
        <v>3051</v>
      </c>
      <c r="F42" s="10" t="s">
        <v>2569</v>
      </c>
      <c r="G42" s="10"/>
      <c r="H42" s="70">
        <v>1.5</v>
      </c>
      <c r="I42" s="70"/>
      <c r="J42" s="70">
        <v>1652</v>
      </c>
      <c r="K42" s="65">
        <v>2209</v>
      </c>
      <c r="L42" s="71">
        <v>2316</v>
      </c>
      <c r="M42" s="65">
        <v>3287</v>
      </c>
      <c r="N42" s="65">
        <v>7413</v>
      </c>
      <c r="O42" s="65">
        <v>7090</v>
      </c>
      <c r="P42" s="65" t="s">
        <v>115</v>
      </c>
      <c r="Q42" s="65" t="s">
        <v>115</v>
      </c>
      <c r="R42" s="65" t="s">
        <v>115</v>
      </c>
      <c r="S42" s="65" t="s">
        <v>115</v>
      </c>
      <c r="T42" s="65" t="s">
        <v>115</v>
      </c>
      <c r="U42" s="65" t="s">
        <v>115</v>
      </c>
      <c r="V42" s="65">
        <f t="shared" si="0"/>
        <v>3994.5</v>
      </c>
      <c r="W42" s="72">
        <f t="shared" si="4"/>
        <v>3994.5</v>
      </c>
    </row>
    <row r="43" spans="1:23" ht="27" customHeight="1">
      <c r="A43" s="10" t="s">
        <v>2425</v>
      </c>
      <c r="B43" s="10" t="s">
        <v>2424</v>
      </c>
      <c r="C43" s="10"/>
      <c r="D43" s="10" t="s">
        <v>3253</v>
      </c>
      <c r="E43" s="10" t="s">
        <v>2427</v>
      </c>
      <c r="F43" s="10" t="s">
        <v>2426</v>
      </c>
      <c r="G43" s="10"/>
      <c r="H43" s="70">
        <v>0.55000000000000004</v>
      </c>
      <c r="I43" s="70"/>
      <c r="J43" s="70">
        <v>0</v>
      </c>
      <c r="K43" s="65">
        <v>268.553</v>
      </c>
      <c r="L43" s="71"/>
      <c r="M43" s="65"/>
      <c r="N43" s="65"/>
      <c r="O43" s="65"/>
      <c r="P43" s="65"/>
      <c r="Q43" s="65"/>
      <c r="R43" s="65"/>
      <c r="S43" s="65"/>
      <c r="T43" s="65"/>
      <c r="U43" s="65"/>
      <c r="V43" s="65">
        <f t="shared" si="0"/>
        <v>134.2765</v>
      </c>
      <c r="W43" s="72">
        <f t="shared" si="4"/>
        <v>134.2765</v>
      </c>
    </row>
    <row r="44" spans="1:23" ht="27" customHeight="1">
      <c r="A44" s="10" t="s">
        <v>480</v>
      </c>
      <c r="B44" s="10" t="s">
        <v>554</v>
      </c>
      <c r="C44" s="10"/>
      <c r="D44" s="10" t="s">
        <v>553</v>
      </c>
      <c r="E44" s="10" t="s">
        <v>3052</v>
      </c>
      <c r="F44" s="10"/>
      <c r="G44" s="10"/>
      <c r="H44" s="70">
        <v>37.5</v>
      </c>
      <c r="I44" s="70" t="s">
        <v>2946</v>
      </c>
      <c r="J44" s="70">
        <v>9180</v>
      </c>
      <c r="K44" s="65">
        <v>3044.08</v>
      </c>
      <c r="L44" s="71">
        <v>3237</v>
      </c>
      <c r="M44" s="65">
        <v>54148</v>
      </c>
      <c r="N44" s="65">
        <v>65140.03</v>
      </c>
      <c r="O44" s="65">
        <v>81461</v>
      </c>
      <c r="P44" s="65">
        <v>50989</v>
      </c>
      <c r="Q44" s="65">
        <v>68607</v>
      </c>
      <c r="R44" s="65">
        <v>67369</v>
      </c>
      <c r="S44" s="65">
        <v>136724</v>
      </c>
      <c r="T44" s="65">
        <v>107772</v>
      </c>
      <c r="U44" s="65">
        <v>51019</v>
      </c>
      <c r="V44" s="65">
        <f t="shared" si="0"/>
        <v>41975.763749999998</v>
      </c>
      <c r="W44" s="72">
        <f t="shared" si="4"/>
        <v>58224.175833333335</v>
      </c>
    </row>
    <row r="45" spans="1:23" ht="27" customHeight="1">
      <c r="A45" s="10" t="s">
        <v>483</v>
      </c>
      <c r="B45" s="10" t="s">
        <v>166</v>
      </c>
      <c r="C45" s="10"/>
      <c r="D45" s="10" t="s">
        <v>165</v>
      </c>
      <c r="E45" s="10" t="s">
        <v>3053</v>
      </c>
      <c r="F45" s="10"/>
      <c r="G45" s="10"/>
      <c r="H45" s="70">
        <v>20</v>
      </c>
      <c r="I45" s="70"/>
      <c r="J45" s="70">
        <v>39081</v>
      </c>
      <c r="K45" s="65">
        <v>65390</v>
      </c>
      <c r="L45" s="71">
        <v>67577</v>
      </c>
      <c r="M45" s="65">
        <v>85352.1</v>
      </c>
      <c r="N45" s="65">
        <v>113105.02</v>
      </c>
      <c r="O45" s="65">
        <v>67544</v>
      </c>
      <c r="P45" s="65">
        <v>79739</v>
      </c>
      <c r="Q45" s="65">
        <v>97312</v>
      </c>
      <c r="R45" s="65">
        <v>95316</v>
      </c>
      <c r="S45" s="65">
        <v>133926</v>
      </c>
      <c r="T45" s="65">
        <v>81037</v>
      </c>
      <c r="U45" s="65">
        <v>71931</v>
      </c>
      <c r="V45" s="65">
        <f t="shared" si="0"/>
        <v>76887.514999999999</v>
      </c>
      <c r="W45" s="72">
        <f t="shared" si="4"/>
        <v>83109.176666666666</v>
      </c>
    </row>
    <row r="46" spans="1:23" ht="27" customHeight="1">
      <c r="A46" s="10" t="s">
        <v>483</v>
      </c>
      <c r="B46" s="10" t="s">
        <v>168</v>
      </c>
      <c r="C46" s="10"/>
      <c r="D46" s="10" t="s">
        <v>167</v>
      </c>
      <c r="E46" s="10" t="s">
        <v>3054</v>
      </c>
      <c r="F46" s="10"/>
      <c r="G46" s="10"/>
      <c r="H46" s="70">
        <v>27</v>
      </c>
      <c r="I46" s="70"/>
      <c r="J46" s="70">
        <v>46142</v>
      </c>
      <c r="K46" s="65">
        <v>86439</v>
      </c>
      <c r="L46" s="71">
        <v>83609</v>
      </c>
      <c r="M46" s="65">
        <v>109416.3</v>
      </c>
      <c r="N46" s="65">
        <v>142876.03</v>
      </c>
      <c r="O46" s="65">
        <v>88801.010000000009</v>
      </c>
      <c r="P46" s="65">
        <v>97920</v>
      </c>
      <c r="Q46" s="65">
        <v>120286</v>
      </c>
      <c r="R46" s="65">
        <v>119854</v>
      </c>
      <c r="S46" s="65">
        <v>172649</v>
      </c>
      <c r="T46" s="65">
        <v>100525</v>
      </c>
      <c r="U46" s="65">
        <v>90516</v>
      </c>
      <c r="V46" s="65">
        <f t="shared" si="0"/>
        <v>96936.167499999996</v>
      </c>
      <c r="W46" s="72">
        <f t="shared" si="4"/>
        <v>104919.44499999999</v>
      </c>
    </row>
    <row r="47" spans="1:23" ht="27" customHeight="1">
      <c r="A47" s="10" t="s">
        <v>585</v>
      </c>
      <c r="B47" s="10" t="s">
        <v>170</v>
      </c>
      <c r="C47" s="10"/>
      <c r="D47" s="10" t="s">
        <v>169</v>
      </c>
      <c r="E47" s="10" t="s">
        <v>3055</v>
      </c>
      <c r="F47" s="10"/>
      <c r="G47" s="10"/>
      <c r="H47" s="70">
        <v>2.85</v>
      </c>
      <c r="I47" s="70"/>
      <c r="J47" s="70">
        <v>17139</v>
      </c>
      <c r="K47" s="65">
        <v>14259</v>
      </c>
      <c r="L47" s="71">
        <v>17347</v>
      </c>
      <c r="M47" s="65">
        <v>16419</v>
      </c>
      <c r="N47" s="65">
        <v>12034</v>
      </c>
      <c r="O47" s="65">
        <v>18849</v>
      </c>
      <c r="P47" s="65">
        <v>18311</v>
      </c>
      <c r="Q47" s="65">
        <v>15984</v>
      </c>
      <c r="R47" s="65">
        <v>10243</v>
      </c>
      <c r="S47" s="65">
        <v>5940</v>
      </c>
      <c r="T47" s="65">
        <v>13393</v>
      </c>
      <c r="U47" s="65">
        <v>10536</v>
      </c>
      <c r="V47" s="65">
        <f t="shared" si="0"/>
        <v>16292.75</v>
      </c>
      <c r="W47" s="72">
        <f t="shared" si="4"/>
        <v>14204.5</v>
      </c>
    </row>
    <row r="48" spans="1:23" ht="27" customHeight="1">
      <c r="A48" s="10" t="s">
        <v>480</v>
      </c>
      <c r="B48" s="10" t="s">
        <v>172</v>
      </c>
      <c r="C48" s="10"/>
      <c r="D48" s="10" t="s">
        <v>171</v>
      </c>
      <c r="E48" s="10" t="s">
        <v>3056</v>
      </c>
      <c r="F48" s="10"/>
      <c r="G48" s="10"/>
      <c r="H48" s="70">
        <v>1.5</v>
      </c>
      <c r="I48" s="70"/>
      <c r="J48" s="70">
        <v>1097</v>
      </c>
      <c r="K48" s="65">
        <v>2168.0100000000002</v>
      </c>
      <c r="L48" s="71">
        <v>531</v>
      </c>
      <c r="M48" s="65">
        <v>9576</v>
      </c>
      <c r="N48" s="65">
        <v>11481</v>
      </c>
      <c r="O48" s="65">
        <v>12286.4</v>
      </c>
      <c r="P48" s="65">
        <v>7972</v>
      </c>
      <c r="Q48" s="65">
        <v>7789</v>
      </c>
      <c r="R48" s="65">
        <v>2900</v>
      </c>
      <c r="S48" s="65">
        <v>6969</v>
      </c>
      <c r="T48" s="65">
        <v>8327</v>
      </c>
      <c r="U48" s="65">
        <v>6299</v>
      </c>
      <c r="V48" s="65">
        <f t="shared" si="0"/>
        <v>6612.5512500000004</v>
      </c>
      <c r="W48" s="72">
        <f t="shared" si="4"/>
        <v>6449.6175000000003</v>
      </c>
    </row>
    <row r="49" spans="1:23" ht="27" customHeight="1">
      <c r="A49" s="10" t="s">
        <v>4877</v>
      </c>
      <c r="B49" s="10" t="s">
        <v>247</v>
      </c>
      <c r="C49" s="10"/>
      <c r="D49" s="10" t="s">
        <v>246</v>
      </c>
      <c r="E49" s="10" t="s">
        <v>2298</v>
      </c>
      <c r="F49" s="10" t="s">
        <v>2299</v>
      </c>
      <c r="G49" s="10"/>
      <c r="H49" s="70">
        <v>5</v>
      </c>
      <c r="I49" s="70"/>
      <c r="J49" s="70">
        <v>3117</v>
      </c>
      <c r="K49" s="65">
        <v>7047</v>
      </c>
      <c r="L49" s="71">
        <v>9487</v>
      </c>
      <c r="M49" s="65">
        <v>10394</v>
      </c>
      <c r="N49" s="65">
        <v>20019</v>
      </c>
      <c r="O49" s="65">
        <v>19400</v>
      </c>
      <c r="P49" s="65">
        <v>9759</v>
      </c>
      <c r="Q49" s="65">
        <v>10996</v>
      </c>
      <c r="R49" s="65">
        <v>10021</v>
      </c>
      <c r="S49" s="65">
        <v>21998</v>
      </c>
      <c r="T49" s="65">
        <v>18583</v>
      </c>
      <c r="U49" s="65">
        <v>14869</v>
      </c>
      <c r="V49" s="65">
        <f t="shared" si="0"/>
        <v>11277.375</v>
      </c>
      <c r="W49" s="72">
        <f t="shared" si="4"/>
        <v>12974.166666666666</v>
      </c>
    </row>
    <row r="50" spans="1:23" ht="27" customHeight="1">
      <c r="A50" s="10" t="s">
        <v>474</v>
      </c>
      <c r="B50" s="10" t="s">
        <v>174</v>
      </c>
      <c r="C50" s="10"/>
      <c r="D50" s="10" t="s">
        <v>173</v>
      </c>
      <c r="E50" s="10" t="s">
        <v>3057</v>
      </c>
      <c r="F50" s="10" t="s">
        <v>2674</v>
      </c>
      <c r="G50" s="10"/>
      <c r="H50" s="70">
        <v>2</v>
      </c>
      <c r="I50" s="70"/>
      <c r="J50" s="70">
        <v>1563</v>
      </c>
      <c r="K50" s="65">
        <v>4097</v>
      </c>
      <c r="L50" s="71">
        <v>4669</v>
      </c>
      <c r="M50" s="65">
        <v>4216</v>
      </c>
      <c r="N50" s="65">
        <v>3456</v>
      </c>
      <c r="O50" s="65">
        <v>1251</v>
      </c>
      <c r="P50" s="65">
        <v>5954</v>
      </c>
      <c r="Q50" s="65">
        <v>5566</v>
      </c>
      <c r="R50" s="65">
        <v>8461</v>
      </c>
      <c r="S50" s="65">
        <v>12280</v>
      </c>
      <c r="T50" s="65">
        <v>9935</v>
      </c>
      <c r="U50" s="65">
        <v>10773</v>
      </c>
      <c r="V50" s="65">
        <f t="shared" si="0"/>
        <v>3846.5</v>
      </c>
      <c r="W50" s="72">
        <f t="shared" si="4"/>
        <v>6018.416666666667</v>
      </c>
    </row>
    <row r="51" spans="1:23" ht="27" customHeight="1">
      <c r="A51" s="10" t="s">
        <v>2158</v>
      </c>
      <c r="B51" s="10" t="s">
        <v>2185</v>
      </c>
      <c r="C51" s="10"/>
      <c r="D51" s="10" t="s">
        <v>3254</v>
      </c>
      <c r="E51" s="10" t="s">
        <v>2160</v>
      </c>
      <c r="F51" s="10" t="s">
        <v>2159</v>
      </c>
      <c r="G51" s="10"/>
      <c r="H51" s="70">
        <v>0.112</v>
      </c>
      <c r="I51" s="70" t="s">
        <v>2946</v>
      </c>
      <c r="J51" s="70">
        <v>160.96299999999999</v>
      </c>
      <c r="K51" s="65">
        <v>0.60799999999999998</v>
      </c>
      <c r="L51" s="71"/>
      <c r="M51" s="65"/>
      <c r="N51" s="65"/>
      <c r="O51" s="65"/>
      <c r="P51" s="65"/>
      <c r="Q51" s="65"/>
      <c r="R51" s="65"/>
      <c r="S51" s="65"/>
      <c r="T51" s="65"/>
      <c r="U51" s="65"/>
      <c r="V51" s="65">
        <f t="shared" si="0"/>
        <v>80.785499999999999</v>
      </c>
      <c r="W51" s="72">
        <f t="shared" si="4"/>
        <v>80.785499999999999</v>
      </c>
    </row>
    <row r="52" spans="1:23" ht="27" customHeight="1">
      <c r="A52" s="10" t="s">
        <v>585</v>
      </c>
      <c r="B52" s="10" t="s">
        <v>176</v>
      </c>
      <c r="C52" s="10"/>
      <c r="D52" s="10" t="s">
        <v>175</v>
      </c>
      <c r="E52" s="10" t="s">
        <v>3058</v>
      </c>
      <c r="F52" s="10"/>
      <c r="G52" s="10"/>
      <c r="H52" s="70">
        <v>3.13</v>
      </c>
      <c r="I52" s="70"/>
      <c r="J52" s="70">
        <v>7034</v>
      </c>
      <c r="K52" s="65">
        <v>7784</v>
      </c>
      <c r="L52" s="71">
        <v>14394</v>
      </c>
      <c r="M52" s="65">
        <v>3427</v>
      </c>
      <c r="N52" s="65">
        <v>3059</v>
      </c>
      <c r="O52" s="65">
        <v>5779</v>
      </c>
      <c r="P52" s="65">
        <v>10048</v>
      </c>
      <c r="Q52" s="65">
        <v>16361</v>
      </c>
      <c r="R52" s="65">
        <v>6478</v>
      </c>
      <c r="S52" s="65"/>
      <c r="T52" s="65">
        <v>952</v>
      </c>
      <c r="U52" s="65"/>
      <c r="V52" s="65">
        <f t="shared" si="0"/>
        <v>8485.75</v>
      </c>
      <c r="W52" s="72">
        <f t="shared" si="4"/>
        <v>7531.6</v>
      </c>
    </row>
    <row r="53" spans="1:23" ht="27" customHeight="1">
      <c r="A53" s="10" t="s">
        <v>474</v>
      </c>
      <c r="B53" s="10" t="s">
        <v>178</v>
      </c>
      <c r="C53" s="10"/>
      <c r="D53" s="10" t="s">
        <v>177</v>
      </c>
      <c r="E53" s="10" t="s">
        <v>3059</v>
      </c>
      <c r="F53" s="10" t="s">
        <v>2679</v>
      </c>
      <c r="G53" s="10"/>
      <c r="H53" s="70">
        <v>0.9</v>
      </c>
      <c r="I53" s="70"/>
      <c r="J53" s="70">
        <v>0</v>
      </c>
      <c r="K53" s="65">
        <v>181</v>
      </c>
      <c r="L53" s="71">
        <v>681</v>
      </c>
      <c r="M53" s="65">
        <v>945</v>
      </c>
      <c r="N53" s="65">
        <v>3773</v>
      </c>
      <c r="O53" s="65" t="s">
        <v>115</v>
      </c>
      <c r="P53" s="65" t="s">
        <v>115</v>
      </c>
      <c r="Q53" s="65" t="s">
        <v>115</v>
      </c>
      <c r="R53" s="65" t="s">
        <v>115</v>
      </c>
      <c r="S53" s="65" t="s">
        <v>115</v>
      </c>
      <c r="T53" s="65" t="s">
        <v>115</v>
      </c>
      <c r="U53" s="65" t="s">
        <v>115</v>
      </c>
      <c r="V53" s="65">
        <f t="shared" si="0"/>
        <v>1116</v>
      </c>
      <c r="W53" s="72">
        <f t="shared" si="4"/>
        <v>1116</v>
      </c>
    </row>
    <row r="54" spans="1:23" ht="27" customHeight="1">
      <c r="A54" s="69" t="s">
        <v>5026</v>
      </c>
      <c r="B54" s="69" t="s">
        <v>5027</v>
      </c>
      <c r="C54" s="69"/>
      <c r="D54" s="69"/>
      <c r="E54" s="69" t="s">
        <v>5025</v>
      </c>
      <c r="F54" s="69" t="s">
        <v>5028</v>
      </c>
      <c r="G54" s="69"/>
      <c r="H54" s="70">
        <v>0.35</v>
      </c>
      <c r="I54" s="70" t="s">
        <v>5253</v>
      </c>
      <c r="J54" s="70">
        <v>61.625999999999998</v>
      </c>
      <c r="K54" s="65"/>
      <c r="L54" s="382"/>
      <c r="M54" s="65"/>
      <c r="N54" s="65"/>
      <c r="O54" s="65"/>
      <c r="P54" s="65"/>
      <c r="Q54" s="65"/>
      <c r="R54" s="65"/>
      <c r="S54" s="65"/>
      <c r="T54" s="65"/>
      <c r="U54" s="65"/>
      <c r="V54" s="65">
        <f t="shared" si="0"/>
        <v>61.625999999999998</v>
      </c>
      <c r="W54" s="72">
        <f t="shared" si="4"/>
        <v>61.625999999999998</v>
      </c>
    </row>
    <row r="55" spans="1:23" ht="27" customHeight="1">
      <c r="A55" s="10" t="s">
        <v>474</v>
      </c>
      <c r="B55" s="10" t="s">
        <v>180</v>
      </c>
      <c r="C55" s="10"/>
      <c r="D55" s="10" t="s">
        <v>179</v>
      </c>
      <c r="E55" s="10" t="s">
        <v>3060</v>
      </c>
      <c r="F55" s="10" t="s">
        <v>2644</v>
      </c>
      <c r="G55" s="10"/>
      <c r="H55" s="70">
        <v>18.5</v>
      </c>
      <c r="I55" s="70"/>
      <c r="J55" s="70">
        <v>42822.02</v>
      </c>
      <c r="K55" s="65">
        <v>43650</v>
      </c>
      <c r="L55" s="71">
        <v>73720</v>
      </c>
      <c r="M55" s="65">
        <v>75349</v>
      </c>
      <c r="N55" s="65">
        <v>96634.66</v>
      </c>
      <c r="O55" s="65">
        <v>79554.070000000007</v>
      </c>
      <c r="P55" s="65">
        <v>68601</v>
      </c>
      <c r="Q55" s="65">
        <v>64124</v>
      </c>
      <c r="R55" s="65">
        <v>85171</v>
      </c>
      <c r="S55" s="65">
        <v>97287</v>
      </c>
      <c r="T55" s="65">
        <v>96340</v>
      </c>
      <c r="U55" s="65">
        <v>96147</v>
      </c>
      <c r="V55" s="65">
        <f t="shared" si="0"/>
        <v>68056.84375</v>
      </c>
      <c r="W55" s="72">
        <f t="shared" si="4"/>
        <v>76616.645833333328</v>
      </c>
    </row>
    <row r="56" spans="1:23" ht="27" customHeight="1">
      <c r="A56" s="10" t="s">
        <v>5511</v>
      </c>
      <c r="B56" s="10" t="s">
        <v>2161</v>
      </c>
      <c r="C56" s="10"/>
      <c r="D56" s="10" t="s">
        <v>2925</v>
      </c>
      <c r="E56" s="10" t="s">
        <v>2163</v>
      </c>
      <c r="F56" s="10" t="s">
        <v>2162</v>
      </c>
      <c r="G56" s="10"/>
      <c r="H56" s="70">
        <v>2</v>
      </c>
      <c r="I56" s="70" t="s">
        <v>2946</v>
      </c>
      <c r="J56" s="70">
        <v>394.04450000000003</v>
      </c>
      <c r="K56" s="65">
        <v>946.42899999999997</v>
      </c>
      <c r="L56" s="71"/>
      <c r="M56" s="65"/>
      <c r="N56" s="65"/>
      <c r="O56" s="65"/>
      <c r="P56" s="65"/>
      <c r="Q56" s="65"/>
      <c r="R56" s="65"/>
      <c r="S56" s="65"/>
      <c r="T56" s="65"/>
      <c r="U56" s="65"/>
      <c r="V56" s="65">
        <f t="shared" si="0"/>
        <v>670.23675000000003</v>
      </c>
      <c r="W56" s="72">
        <f t="shared" si="4"/>
        <v>670.23675000000003</v>
      </c>
    </row>
    <row r="57" spans="1:23" ht="27" customHeight="1">
      <c r="A57" s="10" t="s">
        <v>474</v>
      </c>
      <c r="B57" s="10" t="s">
        <v>182</v>
      </c>
      <c r="C57" s="10"/>
      <c r="D57" s="10" t="s">
        <v>181</v>
      </c>
      <c r="E57" s="10" t="s">
        <v>3061</v>
      </c>
      <c r="F57" s="10" t="s">
        <v>2663</v>
      </c>
      <c r="G57" s="10"/>
      <c r="H57" s="70">
        <v>5.7</v>
      </c>
      <c r="I57" s="70"/>
      <c r="J57" s="70">
        <v>18342</v>
      </c>
      <c r="K57" s="65">
        <v>17758</v>
      </c>
      <c r="L57" s="71">
        <v>19803</v>
      </c>
      <c r="M57" s="65">
        <v>20730</v>
      </c>
      <c r="N57" s="65">
        <v>11774</v>
      </c>
      <c r="O57" s="65">
        <v>16997</v>
      </c>
      <c r="P57" s="65">
        <v>23226</v>
      </c>
      <c r="Q57" s="65">
        <v>20918</v>
      </c>
      <c r="R57" s="65">
        <v>21325</v>
      </c>
      <c r="S57" s="65">
        <v>19196</v>
      </c>
      <c r="T57" s="65">
        <v>18900</v>
      </c>
      <c r="U57" s="65">
        <v>21519</v>
      </c>
      <c r="V57" s="65">
        <f t="shared" si="0"/>
        <v>18693.5</v>
      </c>
      <c r="W57" s="72">
        <f t="shared" si="4"/>
        <v>19207.333333333332</v>
      </c>
    </row>
    <row r="58" spans="1:23" ht="27" customHeight="1">
      <c r="A58" s="10"/>
      <c r="B58" s="10" t="s">
        <v>2432</v>
      </c>
      <c r="C58" s="10"/>
      <c r="D58" s="10" t="s">
        <v>3255</v>
      </c>
      <c r="E58" s="10" t="s">
        <v>2433</v>
      </c>
      <c r="F58" s="10" t="s">
        <v>2663</v>
      </c>
      <c r="G58" s="10"/>
      <c r="H58" s="70">
        <v>0.94799999999999995</v>
      </c>
      <c r="I58" s="70" t="s">
        <v>2946</v>
      </c>
      <c r="J58" s="70">
        <v>0</v>
      </c>
      <c r="K58" s="65">
        <v>860.65899999999999</v>
      </c>
      <c r="L58" s="71"/>
      <c r="M58" s="65"/>
      <c r="N58" s="65"/>
      <c r="O58" s="65"/>
      <c r="P58" s="65"/>
      <c r="Q58" s="65"/>
      <c r="R58" s="65"/>
      <c r="S58" s="65"/>
      <c r="T58" s="65"/>
      <c r="U58" s="65"/>
      <c r="V58" s="65">
        <f t="shared" si="0"/>
        <v>430.3295</v>
      </c>
      <c r="W58" s="72">
        <f t="shared" si="4"/>
        <v>430.3295</v>
      </c>
    </row>
    <row r="59" spans="1:23" ht="27" customHeight="1">
      <c r="A59" s="10" t="s">
        <v>585</v>
      </c>
      <c r="B59" s="10" t="s">
        <v>571</v>
      </c>
      <c r="C59" s="10"/>
      <c r="D59" s="10" t="s">
        <v>570</v>
      </c>
      <c r="E59" s="10" t="s">
        <v>3062</v>
      </c>
      <c r="F59" s="10"/>
      <c r="G59" s="10"/>
      <c r="H59" s="70">
        <v>29.7</v>
      </c>
      <c r="I59" s="70"/>
      <c r="J59" s="70">
        <v>7299.07</v>
      </c>
      <c r="K59" s="65">
        <v>25144</v>
      </c>
      <c r="L59" s="71">
        <v>22348</v>
      </c>
      <c r="M59" s="65">
        <v>64910</v>
      </c>
      <c r="N59" s="65">
        <v>34551.03</v>
      </c>
      <c r="O59" s="65">
        <v>4032.0900000000015</v>
      </c>
      <c r="P59" s="65">
        <v>12182.04</v>
      </c>
      <c r="Q59" s="65">
        <v>30177</v>
      </c>
      <c r="R59" s="65"/>
      <c r="S59" s="65"/>
      <c r="T59" s="65"/>
      <c r="U59" s="65"/>
      <c r="V59" s="65">
        <f t="shared" si="0"/>
        <v>25080.403750000001</v>
      </c>
      <c r="W59" s="72">
        <f t="shared" si="4"/>
        <v>25080.403750000001</v>
      </c>
    </row>
    <row r="60" spans="1:23" ht="27" customHeight="1">
      <c r="A60" s="10"/>
      <c r="B60" s="10" t="s">
        <v>2168</v>
      </c>
      <c r="C60" s="10"/>
      <c r="D60" s="10" t="s">
        <v>3256</v>
      </c>
      <c r="E60" s="10" t="s">
        <v>2170</v>
      </c>
      <c r="F60" s="10" t="s">
        <v>2169</v>
      </c>
      <c r="G60" s="10"/>
      <c r="H60" s="10">
        <v>0.75</v>
      </c>
      <c r="I60" s="10" t="s">
        <v>2946</v>
      </c>
      <c r="J60" s="70">
        <v>2393.6422000000002</v>
      </c>
      <c r="K60" s="211">
        <v>2562</v>
      </c>
      <c r="L60" s="10">
        <v>1.17</v>
      </c>
      <c r="M60" s="65"/>
      <c r="N60" s="65"/>
      <c r="O60" s="65"/>
      <c r="P60" s="65"/>
      <c r="Q60" s="65"/>
      <c r="R60" s="65"/>
      <c r="S60" s="65"/>
      <c r="T60" s="65"/>
      <c r="U60" s="65"/>
      <c r="V60" s="65">
        <f t="shared" si="0"/>
        <v>1652.2707333333335</v>
      </c>
      <c r="W60" s="72">
        <f t="shared" si="4"/>
        <v>1652.2707333333335</v>
      </c>
    </row>
    <row r="61" spans="1:23" ht="27" customHeight="1">
      <c r="A61" s="10" t="s">
        <v>480</v>
      </c>
      <c r="B61" s="10" t="s">
        <v>186</v>
      </c>
      <c r="C61" s="10"/>
      <c r="D61" s="10" t="s">
        <v>185</v>
      </c>
      <c r="E61" s="10" t="s">
        <v>3063</v>
      </c>
      <c r="F61" s="10"/>
      <c r="G61" s="10"/>
      <c r="H61" s="70">
        <v>0.6</v>
      </c>
      <c r="I61" s="70"/>
      <c r="J61" s="70">
        <v>0.01</v>
      </c>
      <c r="K61" s="213">
        <v>0.01</v>
      </c>
      <c r="L61" s="71">
        <v>531</v>
      </c>
      <c r="M61" s="65">
        <v>3094</v>
      </c>
      <c r="N61" s="65">
        <v>4896</v>
      </c>
      <c r="O61" s="65">
        <v>4647</v>
      </c>
      <c r="P61" s="65">
        <v>3773</v>
      </c>
      <c r="Q61" s="65">
        <v>6194</v>
      </c>
      <c r="R61" s="65">
        <v>4026</v>
      </c>
      <c r="S61" s="65">
        <v>5562</v>
      </c>
      <c r="T61" s="65">
        <v>4432</v>
      </c>
      <c r="U61" s="65">
        <v>4603</v>
      </c>
      <c r="V61" s="65">
        <f t="shared" si="0"/>
        <v>2891.8775000000001</v>
      </c>
      <c r="W61" s="72">
        <f t="shared" si="4"/>
        <v>3479.8350000000005</v>
      </c>
    </row>
    <row r="62" spans="1:23" ht="27" customHeight="1">
      <c r="A62" s="10" t="s">
        <v>574</v>
      </c>
      <c r="B62" s="10" t="s">
        <v>1971</v>
      </c>
      <c r="C62" s="10"/>
      <c r="D62" s="10" t="s">
        <v>2926</v>
      </c>
      <c r="E62" s="10" t="s">
        <v>1972</v>
      </c>
      <c r="F62" s="10"/>
      <c r="G62" s="10"/>
      <c r="H62" s="70">
        <v>0.39600000000000002</v>
      </c>
      <c r="I62" s="70"/>
      <c r="J62" s="70">
        <v>0</v>
      </c>
      <c r="K62" s="213">
        <v>0</v>
      </c>
      <c r="L62" s="71"/>
      <c r="M62" s="65"/>
      <c r="N62" s="65"/>
      <c r="O62" s="65"/>
      <c r="P62" s="65"/>
      <c r="Q62" s="65"/>
      <c r="R62" s="65">
        <f>565+1039</f>
        <v>1604</v>
      </c>
      <c r="S62" s="65">
        <f>626+917</f>
        <v>1543</v>
      </c>
      <c r="T62" s="65"/>
      <c r="U62" s="65"/>
      <c r="V62" s="65">
        <f t="shared" si="0"/>
        <v>0</v>
      </c>
      <c r="W62" s="72">
        <f t="shared" si="4"/>
        <v>786.75</v>
      </c>
    </row>
    <row r="63" spans="1:23" ht="27" customHeight="1">
      <c r="A63" s="10" t="s">
        <v>574</v>
      </c>
      <c r="B63" s="10" t="s">
        <v>188</v>
      </c>
      <c r="C63" s="10"/>
      <c r="D63" s="10" t="s">
        <v>187</v>
      </c>
      <c r="E63" s="10" t="s">
        <v>3064</v>
      </c>
      <c r="F63" s="10"/>
      <c r="G63" s="10"/>
      <c r="H63" s="70">
        <v>5.85</v>
      </c>
      <c r="I63" s="70"/>
      <c r="J63" s="70">
        <v>3887</v>
      </c>
      <c r="K63" s="65">
        <v>16404</v>
      </c>
      <c r="L63" s="71">
        <v>18847</v>
      </c>
      <c r="M63" s="65">
        <v>21203</v>
      </c>
      <c r="N63" s="65">
        <v>26434</v>
      </c>
      <c r="O63" s="65">
        <v>20074</v>
      </c>
      <c r="P63" s="65"/>
      <c r="Q63" s="65">
        <v>13972</v>
      </c>
      <c r="R63" s="65">
        <v>19549</v>
      </c>
      <c r="S63" s="65">
        <v>20662</v>
      </c>
      <c r="T63" s="65">
        <v>18212</v>
      </c>
      <c r="U63" s="65">
        <v>19238</v>
      </c>
      <c r="V63" s="65">
        <f t="shared" si="0"/>
        <v>17260.142857142859</v>
      </c>
      <c r="W63" s="72">
        <f t="shared" si="4"/>
        <v>18043.81818181818</v>
      </c>
    </row>
    <row r="64" spans="1:23" ht="27" customHeight="1">
      <c r="A64" s="10" t="s">
        <v>574</v>
      </c>
      <c r="B64" s="10" t="s">
        <v>190</v>
      </c>
      <c r="C64" s="10"/>
      <c r="D64" s="10" t="s">
        <v>189</v>
      </c>
      <c r="E64" s="10" t="s">
        <v>3065</v>
      </c>
      <c r="F64" s="10"/>
      <c r="G64" s="10"/>
      <c r="H64" s="70">
        <v>10</v>
      </c>
      <c r="I64" s="70"/>
      <c r="J64" s="70">
        <v>26524</v>
      </c>
      <c r="K64" s="65">
        <v>45570</v>
      </c>
      <c r="L64" s="71">
        <v>46495</v>
      </c>
      <c r="M64" s="65">
        <v>51876.1</v>
      </c>
      <c r="N64" s="65">
        <v>52455.009999999995</v>
      </c>
      <c r="O64" s="65">
        <v>49394.020000000004</v>
      </c>
      <c r="P64" s="65">
        <v>46476</v>
      </c>
      <c r="Q64" s="65">
        <v>49641</v>
      </c>
      <c r="R64" s="65">
        <v>51423</v>
      </c>
      <c r="S64" s="65">
        <v>52207</v>
      </c>
      <c r="T64" s="65">
        <v>59865</v>
      </c>
      <c r="U64" s="65">
        <v>49992</v>
      </c>
      <c r="V64" s="65">
        <f t="shared" si="0"/>
        <v>46053.891250000001</v>
      </c>
      <c r="W64" s="72">
        <f t="shared" si="4"/>
        <v>48493.177499999998</v>
      </c>
    </row>
    <row r="65" spans="1:43" ht="27" customHeight="1">
      <c r="A65" s="10" t="s">
        <v>574</v>
      </c>
      <c r="B65" s="10" t="s">
        <v>192</v>
      </c>
      <c r="C65" s="10"/>
      <c r="D65" s="10" t="s">
        <v>191</v>
      </c>
      <c r="E65" s="10" t="s">
        <v>3066</v>
      </c>
      <c r="F65" s="10"/>
      <c r="G65" s="10"/>
      <c r="H65" s="70">
        <v>9.8000000000000007</v>
      </c>
      <c r="I65" s="70"/>
      <c r="J65" s="70">
        <v>16240</v>
      </c>
      <c r="K65" s="65">
        <v>41178</v>
      </c>
      <c r="L65" s="71">
        <v>42940</v>
      </c>
      <c r="M65" s="65">
        <v>50627</v>
      </c>
      <c r="N65" s="65">
        <v>52252</v>
      </c>
      <c r="O65" s="65">
        <v>49065</v>
      </c>
      <c r="P65" s="65">
        <v>48474</v>
      </c>
      <c r="Q65" s="65">
        <v>48566</v>
      </c>
      <c r="R65" s="65">
        <v>45922</v>
      </c>
      <c r="S65" s="65">
        <v>50731</v>
      </c>
      <c r="T65" s="65">
        <v>44791</v>
      </c>
      <c r="U65" s="65">
        <v>48376</v>
      </c>
      <c r="V65" s="65">
        <f t="shared" si="0"/>
        <v>43667.75</v>
      </c>
      <c r="W65" s="72">
        <f t="shared" si="4"/>
        <v>44930.166666666664</v>
      </c>
    </row>
    <row r="66" spans="1:43" ht="27" customHeight="1">
      <c r="A66" s="10" t="s">
        <v>574</v>
      </c>
      <c r="B66" s="10" t="s">
        <v>194</v>
      </c>
      <c r="C66" s="10"/>
      <c r="D66" s="10" t="s">
        <v>193</v>
      </c>
      <c r="E66" s="10" t="s">
        <v>3067</v>
      </c>
      <c r="F66" s="10"/>
      <c r="G66" s="10"/>
      <c r="H66" s="70">
        <v>19.600000000000001</v>
      </c>
      <c r="I66" s="70"/>
      <c r="J66" s="70">
        <v>30273.02</v>
      </c>
      <c r="K66" s="65">
        <v>96168</v>
      </c>
      <c r="L66" s="71">
        <v>99549</v>
      </c>
      <c r="M66" s="65">
        <v>110868.1</v>
      </c>
      <c r="N66" s="65">
        <v>105099</v>
      </c>
      <c r="O66" s="65">
        <v>99453</v>
      </c>
      <c r="P66" s="65">
        <v>100167.01000000001</v>
      </c>
      <c r="Q66" s="65">
        <v>106646</v>
      </c>
      <c r="R66" s="65">
        <v>104874</v>
      </c>
      <c r="S66" s="65">
        <v>106626</v>
      </c>
      <c r="T66" s="65">
        <v>95596</v>
      </c>
      <c r="U66" s="65">
        <v>104623</v>
      </c>
      <c r="V66" s="65">
        <f t="shared" si="0"/>
        <v>93527.891250000001</v>
      </c>
      <c r="W66" s="72">
        <f t="shared" si="4"/>
        <v>96661.844166666662</v>
      </c>
    </row>
    <row r="67" spans="1:43" ht="27" customHeight="1">
      <c r="A67" s="10" t="s">
        <v>574</v>
      </c>
      <c r="B67" s="10" t="s">
        <v>196</v>
      </c>
      <c r="C67" s="10"/>
      <c r="D67" s="10" t="s">
        <v>195</v>
      </c>
      <c r="E67" s="10" t="s">
        <v>3068</v>
      </c>
      <c r="F67" s="10"/>
      <c r="G67" s="10"/>
      <c r="H67" s="70">
        <v>4</v>
      </c>
      <c r="I67" s="70"/>
      <c r="J67" s="70">
        <v>6048</v>
      </c>
      <c r="K67" s="65">
        <v>11793</v>
      </c>
      <c r="L67" s="71">
        <v>15810</v>
      </c>
      <c r="M67" s="65">
        <v>18600</v>
      </c>
      <c r="N67" s="65">
        <v>12270</v>
      </c>
      <c r="O67" s="65">
        <v>14111</v>
      </c>
      <c r="P67" s="65">
        <v>16238</v>
      </c>
      <c r="Q67" s="65">
        <v>14356</v>
      </c>
      <c r="R67" s="65">
        <v>14225</v>
      </c>
      <c r="S67" s="65">
        <v>16450</v>
      </c>
      <c r="T67" s="65">
        <v>25547</v>
      </c>
      <c r="U67" s="65">
        <v>15543</v>
      </c>
      <c r="V67" s="65">
        <f t="shared" si="0"/>
        <v>13653.25</v>
      </c>
      <c r="W67" s="72">
        <f t="shared" si="4"/>
        <v>15082.583333333334</v>
      </c>
    </row>
    <row r="68" spans="1:43" ht="27" customHeight="1">
      <c r="A68" s="10" t="s">
        <v>474</v>
      </c>
      <c r="B68" s="10" t="s">
        <v>198</v>
      </c>
      <c r="C68" s="10"/>
      <c r="D68" s="10" t="s">
        <v>197</v>
      </c>
      <c r="E68" s="10" t="s">
        <v>3069</v>
      </c>
      <c r="F68" s="10" t="s">
        <v>2642</v>
      </c>
      <c r="G68" s="10"/>
      <c r="H68" s="70">
        <v>22</v>
      </c>
      <c r="I68" s="70"/>
      <c r="J68" s="70">
        <v>62568</v>
      </c>
      <c r="K68" s="65">
        <v>60212</v>
      </c>
      <c r="L68" s="71">
        <v>106726</v>
      </c>
      <c r="M68" s="65">
        <v>105096</v>
      </c>
      <c r="N68" s="65">
        <v>100993.24000000002</v>
      </c>
      <c r="O68" s="65">
        <v>89881.430000000008</v>
      </c>
      <c r="P68" s="65">
        <v>86305</v>
      </c>
      <c r="Q68" s="65">
        <v>66554</v>
      </c>
      <c r="R68" s="65">
        <v>76550</v>
      </c>
      <c r="S68" s="65">
        <v>116184</v>
      </c>
      <c r="T68" s="65">
        <v>114629</v>
      </c>
      <c r="U68" s="65">
        <v>92544</v>
      </c>
      <c r="V68" s="65">
        <f t="shared" ref="V68:V131" si="5">AVERAGE(J68:Q68)</f>
        <v>84791.958750000005</v>
      </c>
      <c r="W68" s="72">
        <f t="shared" si="4"/>
        <v>89853.555833333332</v>
      </c>
    </row>
    <row r="69" spans="1:43" ht="27" customHeight="1">
      <c r="A69" s="10" t="s">
        <v>573</v>
      </c>
      <c r="B69" s="10" t="s">
        <v>200</v>
      </c>
      <c r="C69" s="10"/>
      <c r="D69" s="10" t="s">
        <v>199</v>
      </c>
      <c r="E69" s="10" t="s">
        <v>3070</v>
      </c>
      <c r="F69" s="10" t="s">
        <v>2254</v>
      </c>
      <c r="G69" s="10"/>
      <c r="H69" s="70">
        <v>27.3</v>
      </c>
      <c r="I69" s="70"/>
      <c r="J69" s="70">
        <v>21793.03</v>
      </c>
      <c r="K69" s="65">
        <v>19913</v>
      </c>
      <c r="L69" s="71">
        <v>19301</v>
      </c>
      <c r="M69" s="65">
        <v>44786.299999999996</v>
      </c>
      <c r="N69" s="65">
        <v>100180.03999999998</v>
      </c>
      <c r="O69" s="65">
        <v>105818</v>
      </c>
      <c r="P69" s="65">
        <v>82615</v>
      </c>
      <c r="Q69" s="65">
        <v>75769</v>
      </c>
      <c r="R69" s="65">
        <v>47894</v>
      </c>
      <c r="S69" s="65">
        <v>101867</v>
      </c>
      <c r="T69" s="65">
        <v>107154</v>
      </c>
      <c r="U69" s="65">
        <v>80150</v>
      </c>
      <c r="V69" s="65">
        <f t="shared" si="5"/>
        <v>58771.921249999999</v>
      </c>
      <c r="W69" s="72">
        <f t="shared" si="4"/>
        <v>67270.030833333338</v>
      </c>
    </row>
    <row r="70" spans="1:43" ht="27" customHeight="1">
      <c r="A70" s="10"/>
      <c r="B70" s="10" t="s">
        <v>2172</v>
      </c>
      <c r="C70" s="10"/>
      <c r="D70" s="10"/>
      <c r="E70" s="10" t="s">
        <v>2174</v>
      </c>
      <c r="F70" s="10" t="s">
        <v>2173</v>
      </c>
      <c r="G70" s="10"/>
      <c r="H70" s="70">
        <v>0.55000000000000004</v>
      </c>
      <c r="I70" s="70"/>
      <c r="J70" s="70">
        <v>0</v>
      </c>
      <c r="K70" s="65">
        <v>470.86500000000001</v>
      </c>
      <c r="L70" s="71"/>
      <c r="M70" s="65"/>
      <c r="N70" s="65"/>
      <c r="O70" s="65"/>
      <c r="P70" s="65"/>
      <c r="Q70" s="65"/>
      <c r="R70" s="65"/>
      <c r="S70" s="65"/>
      <c r="T70" s="65"/>
      <c r="U70" s="65"/>
      <c r="V70" s="65">
        <f t="shared" si="5"/>
        <v>235.4325</v>
      </c>
      <c r="W70" s="72">
        <f t="shared" si="4"/>
        <v>235.4325</v>
      </c>
    </row>
    <row r="71" spans="1:43" ht="27" customHeight="1">
      <c r="A71" s="10" t="s">
        <v>574</v>
      </c>
      <c r="B71" s="10" t="s">
        <v>202</v>
      </c>
      <c r="C71" s="10"/>
      <c r="D71" s="10" t="s">
        <v>201</v>
      </c>
      <c r="E71" s="10" t="s">
        <v>3071</v>
      </c>
      <c r="F71" s="10"/>
      <c r="G71" s="10"/>
      <c r="H71" s="70">
        <v>2.42</v>
      </c>
      <c r="I71" s="70"/>
      <c r="J71" s="70">
        <v>4675</v>
      </c>
      <c r="K71" s="65">
        <v>3373</v>
      </c>
      <c r="L71" s="71" t="s">
        <v>1178</v>
      </c>
      <c r="M71" s="65">
        <v>408</v>
      </c>
      <c r="N71" s="65">
        <v>3171</v>
      </c>
      <c r="O71" s="65">
        <v>3706</v>
      </c>
      <c r="P71" s="65">
        <v>4099</v>
      </c>
      <c r="Q71" s="65">
        <v>1095</v>
      </c>
      <c r="R71" s="65">
        <v>4185</v>
      </c>
      <c r="S71" s="65">
        <v>3825</v>
      </c>
      <c r="T71" s="65">
        <v>3492</v>
      </c>
      <c r="U71" s="65">
        <v>4322</v>
      </c>
      <c r="V71" s="65">
        <f t="shared" si="5"/>
        <v>2932.4285714285716</v>
      </c>
      <c r="W71" s="72">
        <f t="shared" si="4"/>
        <v>3304.6363636363635</v>
      </c>
    </row>
    <row r="72" spans="1:43" ht="27" customHeight="1">
      <c r="A72" s="10" t="s">
        <v>583</v>
      </c>
      <c r="B72" s="10" t="s">
        <v>152</v>
      </c>
      <c r="C72" s="10"/>
      <c r="D72" s="10" t="s">
        <v>151</v>
      </c>
      <c r="E72" s="10" t="s">
        <v>3072</v>
      </c>
      <c r="F72" s="10" t="s">
        <v>5037</v>
      </c>
      <c r="G72" s="10"/>
      <c r="H72" s="70">
        <v>1.25</v>
      </c>
      <c r="I72" s="70"/>
      <c r="J72" s="70">
        <v>2215</v>
      </c>
      <c r="K72" s="65">
        <v>2849</v>
      </c>
      <c r="L72" s="71">
        <v>6993</v>
      </c>
      <c r="M72" s="65">
        <v>6223</v>
      </c>
      <c r="N72" s="65">
        <v>5814</v>
      </c>
      <c r="O72" s="65">
        <v>3974</v>
      </c>
      <c r="P72" s="65">
        <v>6675</v>
      </c>
      <c r="Q72" s="65">
        <v>7009</v>
      </c>
      <c r="R72" s="65">
        <v>6826</v>
      </c>
      <c r="S72" s="65">
        <v>4582</v>
      </c>
      <c r="T72" s="65">
        <v>4898</v>
      </c>
      <c r="U72" s="65">
        <v>6405</v>
      </c>
      <c r="V72" s="65">
        <f t="shared" si="5"/>
        <v>5219</v>
      </c>
      <c r="W72" s="72">
        <f t="shared" si="4"/>
        <v>5371.916666666667</v>
      </c>
    </row>
    <row r="73" spans="1:43" ht="27" customHeight="1">
      <c r="A73" s="256" t="s">
        <v>1928</v>
      </c>
      <c r="B73" s="252" t="s">
        <v>2972</v>
      </c>
      <c r="C73" s="252"/>
      <c r="D73" s="253" t="s">
        <v>3257</v>
      </c>
      <c r="E73" s="251" t="s">
        <v>2973</v>
      </c>
      <c r="F73" s="143" t="s">
        <v>4868</v>
      </c>
      <c r="G73" s="143"/>
      <c r="H73" s="257">
        <v>0.36</v>
      </c>
      <c r="I73" s="252" t="s">
        <v>2946</v>
      </c>
      <c r="J73" s="70">
        <v>0</v>
      </c>
      <c r="K73" s="144">
        <v>14.347</v>
      </c>
      <c r="L73" s="252"/>
      <c r="M73" s="262"/>
      <c r="N73" s="188"/>
      <c r="O73" s="260"/>
      <c r="P73" s="252"/>
      <c r="Q73" s="252"/>
      <c r="R73" s="252"/>
      <c r="S73" s="252"/>
      <c r="T73" s="252"/>
      <c r="U73" s="252"/>
      <c r="V73" s="65">
        <f t="shared" si="5"/>
        <v>7.1734999999999998</v>
      </c>
      <c r="W73" s="72">
        <f t="shared" si="4"/>
        <v>7.1734999999999998</v>
      </c>
      <c r="X73" s="388"/>
      <c r="Y73" s="388"/>
      <c r="Z73" s="388"/>
      <c r="AA73" s="388"/>
      <c r="AB73" s="388"/>
      <c r="AC73" s="388"/>
      <c r="AD73" s="388"/>
      <c r="AE73" s="388"/>
      <c r="AF73" s="388"/>
      <c r="AG73" s="388"/>
      <c r="AH73" s="388"/>
      <c r="AI73" s="388"/>
      <c r="AJ73" s="388"/>
      <c r="AK73" s="388"/>
      <c r="AL73" s="388"/>
      <c r="AM73" s="388"/>
      <c r="AN73" s="388"/>
      <c r="AO73" s="388"/>
      <c r="AP73" s="388"/>
      <c r="AQ73" s="388"/>
    </row>
    <row r="74" spans="1:43" ht="27" customHeight="1">
      <c r="A74" s="10" t="s">
        <v>587</v>
      </c>
      <c r="B74" s="287" t="s">
        <v>204</v>
      </c>
      <c r="C74" s="287"/>
      <c r="D74" s="10" t="s">
        <v>203</v>
      </c>
      <c r="E74" s="10" t="s">
        <v>2180</v>
      </c>
      <c r="F74" s="10" t="s">
        <v>2179</v>
      </c>
      <c r="G74" s="10"/>
      <c r="H74" s="70">
        <v>20</v>
      </c>
      <c r="I74" s="312"/>
      <c r="J74" s="70">
        <v>13749</v>
      </c>
      <c r="K74" s="65">
        <v>44778</v>
      </c>
      <c r="L74" s="313">
        <v>71094</v>
      </c>
      <c r="M74" s="314">
        <v>67328.5</v>
      </c>
      <c r="N74" s="65">
        <v>105352.02</v>
      </c>
      <c r="O74" s="65">
        <v>79793.050000000017</v>
      </c>
      <c r="P74" s="314">
        <v>73261</v>
      </c>
      <c r="Q74" s="314">
        <v>60255</v>
      </c>
      <c r="R74" s="314">
        <v>62183</v>
      </c>
      <c r="S74" s="314">
        <v>96515</v>
      </c>
      <c r="T74" s="314">
        <v>111309</v>
      </c>
      <c r="U74" s="314">
        <v>63574</v>
      </c>
      <c r="V74" s="65">
        <f t="shared" si="5"/>
        <v>64451.321250000008</v>
      </c>
      <c r="W74" s="72">
        <f t="shared" si="4"/>
        <v>70765.964166666672</v>
      </c>
    </row>
    <row r="75" spans="1:43" s="364" customFormat="1" ht="27" customHeight="1">
      <c r="A75" s="10"/>
      <c r="B75" s="287" t="s">
        <v>4846</v>
      </c>
      <c r="C75" s="287"/>
      <c r="D75" s="10"/>
      <c r="E75" s="10" t="s">
        <v>4847</v>
      </c>
      <c r="F75" s="10" t="s">
        <v>4848</v>
      </c>
      <c r="G75" s="10"/>
      <c r="H75" s="70"/>
      <c r="I75" s="312"/>
      <c r="J75" s="70">
        <v>0</v>
      </c>
      <c r="K75" s="65"/>
      <c r="L75" s="313"/>
      <c r="M75" s="314"/>
      <c r="N75" s="65"/>
      <c r="O75" s="65"/>
      <c r="P75" s="314"/>
      <c r="Q75" s="314"/>
      <c r="R75" s="314"/>
      <c r="S75" s="314"/>
      <c r="T75" s="314"/>
      <c r="U75" s="314"/>
      <c r="V75" s="65">
        <f t="shared" si="5"/>
        <v>0</v>
      </c>
      <c r="W75" s="72">
        <f t="shared" si="4"/>
        <v>0</v>
      </c>
      <c r="X75" s="66"/>
      <c r="Y75" s="17"/>
      <c r="Z75" s="17"/>
      <c r="AA75" s="17"/>
      <c r="AB75" s="17"/>
      <c r="AC75" s="17"/>
      <c r="AD75" s="17"/>
      <c r="AE75" s="17"/>
      <c r="AF75" s="17"/>
      <c r="AG75" s="17"/>
      <c r="AH75" s="17"/>
      <c r="AI75" s="17"/>
      <c r="AJ75" s="17"/>
      <c r="AK75" s="17"/>
      <c r="AL75" s="17"/>
      <c r="AM75" s="17"/>
      <c r="AN75" s="17"/>
      <c r="AO75" s="17"/>
      <c r="AP75" s="17"/>
      <c r="AQ75" s="17"/>
    </row>
    <row r="76" spans="1:43" ht="27" customHeight="1">
      <c r="A76" s="10" t="s">
        <v>585</v>
      </c>
      <c r="B76" s="10" t="s">
        <v>208</v>
      </c>
      <c r="C76" s="10"/>
      <c r="D76" s="10" t="s">
        <v>207</v>
      </c>
      <c r="E76" s="10" t="s">
        <v>3073</v>
      </c>
      <c r="F76" s="10" t="s">
        <v>2641</v>
      </c>
      <c r="G76" s="10"/>
      <c r="H76" s="70">
        <v>23.9</v>
      </c>
      <c r="I76" s="70"/>
      <c r="J76" s="70">
        <v>28.11</v>
      </c>
      <c r="K76" s="213">
        <v>0.12</v>
      </c>
      <c r="L76" s="71">
        <v>27597</v>
      </c>
      <c r="M76" s="65">
        <v>44585.2</v>
      </c>
      <c r="N76" s="65">
        <v>58432.03</v>
      </c>
      <c r="O76" s="65">
        <v>30141</v>
      </c>
      <c r="P76" s="65">
        <v>30425</v>
      </c>
      <c r="Q76" s="65">
        <v>61039</v>
      </c>
      <c r="R76" s="65">
        <v>127704</v>
      </c>
      <c r="S76" s="65">
        <v>142846</v>
      </c>
      <c r="T76" s="65">
        <v>96012</v>
      </c>
      <c r="U76" s="65">
        <v>99155</v>
      </c>
      <c r="V76" s="65">
        <f t="shared" si="5"/>
        <v>31530.932499999999</v>
      </c>
      <c r="W76" s="72">
        <f t="shared" si="4"/>
        <v>59830.371666666666</v>
      </c>
    </row>
    <row r="77" spans="1:43" ht="27" customHeight="1">
      <c r="A77" s="10" t="s">
        <v>575</v>
      </c>
      <c r="B77" s="10" t="s">
        <v>2192</v>
      </c>
      <c r="C77" s="10"/>
      <c r="D77" s="10" t="s">
        <v>2927</v>
      </c>
      <c r="E77" s="10" t="s">
        <v>2079</v>
      </c>
      <c r="F77" s="10"/>
      <c r="G77" s="10"/>
      <c r="H77" s="70">
        <v>0.9</v>
      </c>
      <c r="I77" s="70"/>
      <c r="J77" s="70">
        <v>0</v>
      </c>
      <c r="K77" s="213">
        <v>0</v>
      </c>
      <c r="L77" s="71"/>
      <c r="M77" s="65"/>
      <c r="N77" s="65"/>
      <c r="O77" s="65"/>
      <c r="P77" s="65"/>
      <c r="Q77" s="65"/>
      <c r="R77" s="65"/>
      <c r="S77" s="65"/>
      <c r="T77" s="65"/>
      <c r="U77" s="65"/>
      <c r="V77" s="65">
        <f t="shared" si="5"/>
        <v>0</v>
      </c>
      <c r="W77" s="72">
        <f t="shared" si="4"/>
        <v>0</v>
      </c>
    </row>
    <row r="78" spans="1:43" ht="27" customHeight="1">
      <c r="A78" s="10" t="s">
        <v>483</v>
      </c>
      <c r="B78" s="10" t="s">
        <v>210</v>
      </c>
      <c r="C78" s="10"/>
      <c r="D78" s="10" t="s">
        <v>209</v>
      </c>
      <c r="E78" s="10" t="s">
        <v>3074</v>
      </c>
      <c r="F78" s="10"/>
      <c r="G78" s="10"/>
      <c r="H78" s="70">
        <v>2.2000000000000002</v>
      </c>
      <c r="I78" s="70"/>
      <c r="J78" s="70">
        <v>2204</v>
      </c>
      <c r="K78" s="65">
        <v>7396</v>
      </c>
      <c r="L78" s="71">
        <v>9864</v>
      </c>
      <c r="M78" s="65">
        <v>10432</v>
      </c>
      <c r="N78" s="65">
        <v>11651</v>
      </c>
      <c r="O78" s="65">
        <v>11086</v>
      </c>
      <c r="P78" s="65">
        <v>14701</v>
      </c>
      <c r="Q78" s="65">
        <v>13723</v>
      </c>
      <c r="R78" s="65">
        <v>13049</v>
      </c>
      <c r="S78" s="65">
        <v>14770</v>
      </c>
      <c r="T78" s="65">
        <v>14047</v>
      </c>
      <c r="U78" s="65">
        <v>12819</v>
      </c>
      <c r="V78" s="65">
        <f t="shared" si="5"/>
        <v>10132.125</v>
      </c>
      <c r="W78" s="72">
        <f t="shared" si="4"/>
        <v>11311.833333333334</v>
      </c>
    </row>
    <row r="79" spans="1:43" ht="27" customHeight="1">
      <c r="A79" s="10" t="s">
        <v>581</v>
      </c>
      <c r="B79" s="10" t="s">
        <v>143</v>
      </c>
      <c r="C79" s="10"/>
      <c r="D79" s="10" t="s">
        <v>142</v>
      </c>
      <c r="E79" s="10" t="s">
        <v>2342</v>
      </c>
      <c r="F79" s="10" t="s">
        <v>2341</v>
      </c>
      <c r="G79" s="10"/>
      <c r="H79" s="70">
        <v>0.15</v>
      </c>
      <c r="I79" s="70"/>
      <c r="J79" s="70">
        <v>4444</v>
      </c>
      <c r="K79" s="65">
        <v>1165</v>
      </c>
      <c r="L79" s="71">
        <v>1069</v>
      </c>
      <c r="M79" s="65">
        <f>+N79</f>
        <v>1087</v>
      </c>
      <c r="N79" s="65">
        <v>1087</v>
      </c>
      <c r="O79" s="65">
        <v>1105</v>
      </c>
      <c r="P79" s="65">
        <v>1059</v>
      </c>
      <c r="Q79" s="65">
        <v>7227</v>
      </c>
      <c r="R79" s="65">
        <v>1090</v>
      </c>
      <c r="S79" s="65">
        <v>1032</v>
      </c>
      <c r="T79" s="65">
        <v>1154</v>
      </c>
      <c r="U79" s="65" t="s">
        <v>115</v>
      </c>
      <c r="V79" s="65">
        <f t="shared" si="5"/>
        <v>2280.375</v>
      </c>
      <c r="W79" s="72">
        <f t="shared" si="4"/>
        <v>1956.2727272727273</v>
      </c>
    </row>
    <row r="80" spans="1:43" ht="27" customHeight="1">
      <c r="A80" s="10"/>
      <c r="B80" s="10" t="s">
        <v>2193</v>
      </c>
      <c r="C80" s="10"/>
      <c r="D80" s="10" t="s">
        <v>3258</v>
      </c>
      <c r="E80" s="10" t="s">
        <v>2195</v>
      </c>
      <c r="F80" s="10" t="s">
        <v>2194</v>
      </c>
      <c r="G80" s="10"/>
      <c r="H80" s="70">
        <v>0.99</v>
      </c>
      <c r="I80" s="70" t="s">
        <v>2946</v>
      </c>
      <c r="J80" s="70">
        <v>0</v>
      </c>
      <c r="K80" s="65">
        <v>18.27</v>
      </c>
      <c r="L80" s="71"/>
      <c r="M80" s="65"/>
      <c r="N80" s="65"/>
      <c r="O80" s="65"/>
      <c r="P80" s="65"/>
      <c r="Q80" s="65"/>
      <c r="R80" s="65"/>
      <c r="S80" s="65"/>
      <c r="T80" s="65"/>
      <c r="U80" s="65"/>
      <c r="V80" s="65">
        <f t="shared" si="5"/>
        <v>9.1349999999999998</v>
      </c>
      <c r="W80" s="72">
        <f t="shared" si="4"/>
        <v>9.1349999999999998</v>
      </c>
    </row>
    <row r="81" spans="1:23" ht="27" customHeight="1">
      <c r="A81" s="10" t="s">
        <v>475</v>
      </c>
      <c r="B81" s="10" t="s">
        <v>212</v>
      </c>
      <c r="C81" s="10"/>
      <c r="D81" s="10" t="s">
        <v>211</v>
      </c>
      <c r="E81" s="10" t="s">
        <v>3075</v>
      </c>
      <c r="F81" s="10"/>
      <c r="G81" s="10"/>
      <c r="H81" s="70">
        <v>1.9</v>
      </c>
      <c r="I81" s="70"/>
      <c r="J81" s="70">
        <v>1627</v>
      </c>
      <c r="K81" s="65">
        <v>1916</v>
      </c>
      <c r="L81" s="71">
        <v>2845</v>
      </c>
      <c r="M81" s="65">
        <v>5227</v>
      </c>
      <c r="N81" s="65">
        <v>7810</v>
      </c>
      <c r="O81" s="65">
        <v>7793</v>
      </c>
      <c r="P81" s="65">
        <v>5430</v>
      </c>
      <c r="Q81" s="65">
        <v>6496</v>
      </c>
      <c r="R81" s="65">
        <v>4578</v>
      </c>
      <c r="S81" s="65">
        <v>8412</v>
      </c>
      <c r="T81" s="65">
        <v>7689</v>
      </c>
      <c r="U81" s="65">
        <v>4273</v>
      </c>
      <c r="V81" s="65">
        <f t="shared" si="5"/>
        <v>4893</v>
      </c>
      <c r="W81" s="72">
        <f t="shared" si="4"/>
        <v>5341.333333333333</v>
      </c>
    </row>
    <row r="82" spans="1:23" ht="27" customHeight="1">
      <c r="A82" s="10" t="s">
        <v>480</v>
      </c>
      <c r="B82" s="10" t="s">
        <v>216</v>
      </c>
      <c r="C82" s="10"/>
      <c r="D82" s="10" t="s">
        <v>215</v>
      </c>
      <c r="E82" s="10" t="s">
        <v>3076</v>
      </c>
      <c r="F82" s="10"/>
      <c r="G82" s="10"/>
      <c r="H82" s="70">
        <v>11</v>
      </c>
      <c r="I82" s="70"/>
      <c r="J82" s="70">
        <v>3186</v>
      </c>
      <c r="K82" s="65">
        <v>19925</v>
      </c>
      <c r="L82" s="71">
        <v>25424</v>
      </c>
      <c r="M82" s="65">
        <v>39375</v>
      </c>
      <c r="N82" s="65">
        <v>51556</v>
      </c>
      <c r="O82" s="65">
        <v>46734</v>
      </c>
      <c r="P82" s="65">
        <v>46091</v>
      </c>
      <c r="Q82" s="65">
        <v>16001</v>
      </c>
      <c r="R82" s="65">
        <v>25350</v>
      </c>
      <c r="S82" s="65">
        <v>68243</v>
      </c>
      <c r="T82" s="65">
        <v>60448</v>
      </c>
      <c r="U82" s="65">
        <v>28745</v>
      </c>
      <c r="V82" s="65">
        <f t="shared" si="5"/>
        <v>31036.5</v>
      </c>
      <c r="W82" s="72">
        <f t="shared" si="4"/>
        <v>35923.166666666664</v>
      </c>
    </row>
    <row r="83" spans="1:23" ht="27" customHeight="1">
      <c r="A83" s="10" t="s">
        <v>2219</v>
      </c>
      <c r="B83" s="10" t="s">
        <v>218</v>
      </c>
      <c r="C83" s="10"/>
      <c r="D83" s="10" t="s">
        <v>217</v>
      </c>
      <c r="E83" s="10" t="s">
        <v>2221</v>
      </c>
      <c r="F83" s="10" t="s">
        <v>2220</v>
      </c>
      <c r="G83" s="10"/>
      <c r="H83" s="70">
        <v>14.5</v>
      </c>
      <c r="I83" s="70"/>
      <c r="J83" s="70">
        <v>8809.0499999999993</v>
      </c>
      <c r="K83" s="65">
        <v>21594.1</v>
      </c>
      <c r="L83" s="71">
        <v>25613</v>
      </c>
      <c r="M83" s="65">
        <v>32246.299999999996</v>
      </c>
      <c r="N83" s="65">
        <v>56323</v>
      </c>
      <c r="O83" s="65">
        <v>63548.020000000004</v>
      </c>
      <c r="P83" s="65">
        <v>39604</v>
      </c>
      <c r="Q83" s="65">
        <v>27687</v>
      </c>
      <c r="R83" s="65">
        <v>19662</v>
      </c>
      <c r="S83" s="65">
        <v>60509</v>
      </c>
      <c r="T83" s="65">
        <v>52924</v>
      </c>
      <c r="U83" s="65">
        <v>39271</v>
      </c>
      <c r="V83" s="65">
        <f t="shared" si="5"/>
        <v>34428.058749999997</v>
      </c>
      <c r="W83" s="72">
        <f t="shared" si="4"/>
        <v>37315.872499999998</v>
      </c>
    </row>
    <row r="84" spans="1:23" ht="27" customHeight="1">
      <c r="A84" s="10" t="s">
        <v>531</v>
      </c>
      <c r="B84" s="10" t="s">
        <v>405</v>
      </c>
      <c r="C84" s="10"/>
      <c r="D84" s="10" t="s">
        <v>404</v>
      </c>
      <c r="E84" s="10" t="s">
        <v>3077</v>
      </c>
      <c r="F84" s="10"/>
      <c r="G84" s="10"/>
      <c r="H84" s="70">
        <v>5.04</v>
      </c>
      <c r="I84" s="70"/>
      <c r="J84" s="70">
        <v>11528</v>
      </c>
      <c r="K84" s="65">
        <v>13972</v>
      </c>
      <c r="L84" s="71">
        <v>14814</v>
      </c>
      <c r="M84" s="65">
        <v>13388</v>
      </c>
      <c r="N84" s="65">
        <v>14481</v>
      </c>
      <c r="O84" s="65">
        <v>13775</v>
      </c>
      <c r="P84" s="65">
        <v>15135</v>
      </c>
      <c r="Q84" s="65">
        <v>15716</v>
      </c>
      <c r="R84" s="65">
        <v>15458</v>
      </c>
      <c r="S84" s="65">
        <v>14592</v>
      </c>
      <c r="T84" s="65">
        <v>12925</v>
      </c>
      <c r="U84" s="65">
        <v>16029</v>
      </c>
      <c r="V84" s="65">
        <f t="shared" si="5"/>
        <v>14101.125</v>
      </c>
      <c r="W84" s="72">
        <f t="shared" si="4"/>
        <v>14317.75</v>
      </c>
    </row>
    <row r="85" spans="1:23" ht="27" customHeight="1">
      <c r="A85" s="10" t="s">
        <v>480</v>
      </c>
      <c r="B85" s="10" t="s">
        <v>220</v>
      </c>
      <c r="C85" s="10"/>
      <c r="D85" s="10" t="s">
        <v>219</v>
      </c>
      <c r="E85" s="10" t="s">
        <v>3078</v>
      </c>
      <c r="F85" s="10"/>
      <c r="G85" s="10"/>
      <c r="H85" s="70">
        <v>2</v>
      </c>
      <c r="I85" s="65">
        <v>-1611</v>
      </c>
      <c r="J85" s="70">
        <v>1</v>
      </c>
      <c r="K85" s="65">
        <v>0</v>
      </c>
      <c r="L85" s="71">
        <v>2694</v>
      </c>
      <c r="M85" s="65">
        <v>7369</v>
      </c>
      <c r="N85" s="65">
        <v>10672.7</v>
      </c>
      <c r="O85" s="65">
        <v>9334</v>
      </c>
      <c r="P85" s="65">
        <v>8595</v>
      </c>
      <c r="Q85" s="65">
        <v>5908</v>
      </c>
      <c r="R85" s="65">
        <v>2017</v>
      </c>
      <c r="S85" s="65">
        <v>638</v>
      </c>
      <c r="T85" s="65">
        <v>994</v>
      </c>
      <c r="U85" s="65">
        <v>3426</v>
      </c>
      <c r="V85" s="65">
        <f t="shared" si="5"/>
        <v>5571.7124999999996</v>
      </c>
      <c r="W85" s="72">
        <f t="shared" si="4"/>
        <v>4304.0583333333334</v>
      </c>
    </row>
    <row r="86" spans="1:23" ht="27" customHeight="1">
      <c r="A86" s="10" t="s">
        <v>589</v>
      </c>
      <c r="B86" s="10" t="s">
        <v>222</v>
      </c>
      <c r="C86" s="10"/>
      <c r="D86" s="10" t="s">
        <v>221</v>
      </c>
      <c r="E86" s="10" t="s">
        <v>3079</v>
      </c>
      <c r="F86" s="10" t="s">
        <v>2266</v>
      </c>
      <c r="G86" s="10"/>
      <c r="H86" s="70">
        <v>15</v>
      </c>
      <c r="I86" s="70"/>
      <c r="J86" s="70">
        <v>9199</v>
      </c>
      <c r="K86" s="65">
        <v>21206</v>
      </c>
      <c r="L86" s="71">
        <v>26833</v>
      </c>
      <c r="M86" s="65">
        <v>46807</v>
      </c>
      <c r="N86" s="65">
        <v>93279</v>
      </c>
      <c r="O86" s="65">
        <v>57642</v>
      </c>
      <c r="P86" s="65">
        <v>54336</v>
      </c>
      <c r="Q86" s="65">
        <v>27672</v>
      </c>
      <c r="R86" s="65">
        <v>32110</v>
      </c>
      <c r="S86" s="65">
        <v>97500</v>
      </c>
      <c r="T86" s="65">
        <v>69749</v>
      </c>
      <c r="U86" s="65">
        <v>46976</v>
      </c>
      <c r="V86" s="65">
        <f t="shared" si="5"/>
        <v>42121.75</v>
      </c>
      <c r="W86" s="72">
        <f t="shared" si="4"/>
        <v>48609.083333333336</v>
      </c>
    </row>
    <row r="87" spans="1:23" ht="22.5" customHeight="1">
      <c r="A87" s="10" t="s">
        <v>2259</v>
      </c>
      <c r="B87" s="10" t="s">
        <v>2260</v>
      </c>
      <c r="C87" s="10"/>
      <c r="D87" s="10" t="s">
        <v>3259</v>
      </c>
      <c r="E87" s="10" t="s">
        <v>2262</v>
      </c>
      <c r="F87" s="10" t="s">
        <v>2261</v>
      </c>
      <c r="G87" s="10"/>
      <c r="H87" s="70">
        <v>0.51</v>
      </c>
      <c r="I87" s="70" t="s">
        <v>2946</v>
      </c>
      <c r="J87" s="70">
        <v>1831.7755</v>
      </c>
      <c r="K87" s="65">
        <v>2503.7280000000001</v>
      </c>
      <c r="L87" s="71"/>
      <c r="M87" s="65"/>
      <c r="N87" s="65"/>
      <c r="O87" s="65"/>
      <c r="P87" s="65"/>
      <c r="Q87" s="65"/>
      <c r="R87" s="65"/>
      <c r="S87" s="65"/>
      <c r="T87" s="65"/>
      <c r="U87" s="65"/>
      <c r="V87" s="65">
        <f t="shared" si="5"/>
        <v>2167.7517499999999</v>
      </c>
      <c r="W87" s="72">
        <f t="shared" si="4"/>
        <v>2167.7517499999999</v>
      </c>
    </row>
    <row r="88" spans="1:23" ht="27" customHeight="1">
      <c r="A88" s="10" t="s">
        <v>590</v>
      </c>
      <c r="B88" s="10" t="s">
        <v>555</v>
      </c>
      <c r="C88" s="10"/>
      <c r="D88" s="10" t="s">
        <v>223</v>
      </c>
      <c r="E88" s="10" t="s">
        <v>3210</v>
      </c>
      <c r="F88" s="10"/>
      <c r="G88" s="10"/>
      <c r="H88" s="70">
        <v>30.57</v>
      </c>
      <c r="I88" s="70"/>
      <c r="J88" s="70">
        <v>0.12</v>
      </c>
      <c r="K88" s="65">
        <v>13562.2</v>
      </c>
      <c r="L88" s="71">
        <v>60851</v>
      </c>
      <c r="M88" s="65">
        <v>53073.799999999996</v>
      </c>
      <c r="N88" s="65">
        <v>106744.18</v>
      </c>
      <c r="O88" s="65">
        <v>76343.239999999991</v>
      </c>
      <c r="P88" s="65">
        <v>97853</v>
      </c>
      <c r="Q88" s="65">
        <v>49486</v>
      </c>
      <c r="R88" s="65">
        <v>36147.262970000003</v>
      </c>
      <c r="S88" s="65">
        <v>115419.2</v>
      </c>
      <c r="T88" s="65">
        <v>129490</v>
      </c>
      <c r="U88" s="65">
        <v>62696</v>
      </c>
      <c r="V88" s="65">
        <f t="shared" si="5"/>
        <v>57239.192499999997</v>
      </c>
      <c r="W88" s="72">
        <f t="shared" si="4"/>
        <v>66805.500247499993</v>
      </c>
    </row>
    <row r="89" spans="1:23" ht="25.5" customHeight="1">
      <c r="A89" s="10" t="s">
        <v>2402</v>
      </c>
      <c r="B89" s="10" t="s">
        <v>2401</v>
      </c>
      <c r="C89" s="10"/>
      <c r="D89" s="10" t="s">
        <v>3260</v>
      </c>
      <c r="E89" s="10" t="s">
        <v>2403</v>
      </c>
      <c r="F89" s="10" t="s">
        <v>2404</v>
      </c>
      <c r="G89" s="10"/>
      <c r="H89" s="70">
        <v>0.4</v>
      </c>
      <c r="I89" s="70" t="s">
        <v>2946</v>
      </c>
      <c r="J89" s="70">
        <v>165.511</v>
      </c>
      <c r="K89" s="65">
        <v>345.22500000000002</v>
      </c>
      <c r="L89" s="71"/>
      <c r="M89" s="65"/>
      <c r="N89" s="65"/>
      <c r="O89" s="65"/>
      <c r="P89" s="65"/>
      <c r="Q89" s="65"/>
      <c r="R89" s="65"/>
      <c r="S89" s="65"/>
      <c r="T89" s="65"/>
      <c r="U89" s="65"/>
      <c r="V89" s="65">
        <f t="shared" si="5"/>
        <v>255.36799999999999</v>
      </c>
      <c r="W89" s="72">
        <f t="shared" si="4"/>
        <v>255.36799999999999</v>
      </c>
    </row>
    <row r="90" spans="1:23" ht="25.5" customHeight="1">
      <c r="A90" s="69" t="s">
        <v>5035</v>
      </c>
      <c r="B90" s="69" t="s">
        <v>5034</v>
      </c>
      <c r="C90" s="69"/>
      <c r="D90" s="69"/>
      <c r="E90" s="69" t="s">
        <v>5033</v>
      </c>
      <c r="F90" s="69" t="s">
        <v>5036</v>
      </c>
      <c r="G90" s="69"/>
      <c r="H90" s="70">
        <v>0.75</v>
      </c>
      <c r="I90" s="70" t="s">
        <v>5254</v>
      </c>
      <c r="J90" s="70">
        <v>3.0829999999999997</v>
      </c>
      <c r="K90" s="65"/>
      <c r="L90" s="382"/>
      <c r="M90" s="65"/>
      <c r="N90" s="65"/>
      <c r="O90" s="65"/>
      <c r="P90" s="65"/>
      <c r="Q90" s="65"/>
      <c r="R90" s="65"/>
      <c r="S90" s="65"/>
      <c r="T90" s="65"/>
      <c r="U90" s="65"/>
      <c r="V90" s="65">
        <f t="shared" si="5"/>
        <v>3.0829999999999997</v>
      </c>
      <c r="W90" s="72">
        <f t="shared" si="4"/>
        <v>3.0829999999999997</v>
      </c>
    </row>
    <row r="91" spans="1:23" ht="22.5" customHeight="1">
      <c r="A91" s="10"/>
      <c r="B91" s="10" t="s">
        <v>3834</v>
      </c>
      <c r="C91" s="10"/>
      <c r="D91" s="10"/>
      <c r="E91" s="10" t="s">
        <v>4850</v>
      </c>
      <c r="F91" s="10" t="s">
        <v>4849</v>
      </c>
      <c r="G91" s="10"/>
      <c r="H91" s="70">
        <v>0.28000000000000003</v>
      </c>
      <c r="I91" s="70"/>
      <c r="J91" s="70">
        <v>0</v>
      </c>
      <c r="K91" s="65"/>
      <c r="L91" s="71"/>
      <c r="M91" s="65"/>
      <c r="N91" s="65"/>
      <c r="O91" s="65"/>
      <c r="P91" s="65"/>
      <c r="Q91" s="65"/>
      <c r="R91" s="65"/>
      <c r="S91" s="65"/>
      <c r="T91" s="65"/>
      <c r="U91" s="65"/>
      <c r="V91" s="65">
        <f t="shared" si="5"/>
        <v>0</v>
      </c>
      <c r="W91" s="72">
        <f t="shared" si="4"/>
        <v>0</v>
      </c>
    </row>
    <row r="92" spans="1:23" ht="27" customHeight="1">
      <c r="A92" s="10" t="s">
        <v>594</v>
      </c>
      <c r="B92" s="10" t="s">
        <v>253</v>
      </c>
      <c r="C92" s="10"/>
      <c r="D92" s="10" t="s">
        <v>252</v>
      </c>
      <c r="E92" s="10" t="s">
        <v>3080</v>
      </c>
      <c r="F92" s="10" t="s">
        <v>2203</v>
      </c>
      <c r="G92" s="10"/>
      <c r="H92" s="70">
        <v>2</v>
      </c>
      <c r="I92" s="70"/>
      <c r="J92" s="70">
        <v>1876</v>
      </c>
      <c r="K92" s="65">
        <v>2846</v>
      </c>
      <c r="L92" s="71">
        <v>4228</v>
      </c>
      <c r="M92" s="65">
        <v>4572</v>
      </c>
      <c r="N92" s="65">
        <v>5794</v>
      </c>
      <c r="O92" s="65">
        <v>6970</v>
      </c>
      <c r="P92" s="65">
        <v>3730</v>
      </c>
      <c r="Q92" s="65">
        <v>4904</v>
      </c>
      <c r="R92" s="65">
        <v>4570</v>
      </c>
      <c r="S92" s="65">
        <v>6182</v>
      </c>
      <c r="T92" s="65">
        <v>7388</v>
      </c>
      <c r="U92" s="65">
        <v>4590</v>
      </c>
      <c r="V92" s="65">
        <f t="shared" si="5"/>
        <v>4365</v>
      </c>
      <c r="W92" s="72">
        <f t="shared" si="4"/>
        <v>4804.166666666667</v>
      </c>
    </row>
    <row r="93" spans="1:23" ht="27" customHeight="1">
      <c r="A93" s="10" t="s">
        <v>98</v>
      </c>
      <c r="B93" s="10" t="s">
        <v>225</v>
      </c>
      <c r="C93" s="10"/>
      <c r="D93" s="10" t="s">
        <v>224</v>
      </c>
      <c r="E93" s="10" t="s">
        <v>1953</v>
      </c>
      <c r="F93" s="10"/>
      <c r="G93" s="10"/>
      <c r="H93" s="70">
        <v>0.44</v>
      </c>
      <c r="I93" s="70"/>
      <c r="J93" s="70">
        <v>1446</v>
      </c>
      <c r="K93" s="65">
        <v>1851</v>
      </c>
      <c r="L93" s="71">
        <v>1626</v>
      </c>
      <c r="M93" s="65">
        <v>2088</v>
      </c>
      <c r="N93" s="65">
        <v>2895</v>
      </c>
      <c r="O93" s="65">
        <v>7523</v>
      </c>
      <c r="P93" s="65">
        <v>2353</v>
      </c>
      <c r="Q93" s="65">
        <v>1990</v>
      </c>
      <c r="R93" s="65">
        <v>1972</v>
      </c>
      <c r="S93" s="65" t="s">
        <v>115</v>
      </c>
      <c r="T93" s="65" t="s">
        <v>115</v>
      </c>
      <c r="U93" s="65" t="s">
        <v>115</v>
      </c>
      <c r="V93" s="65">
        <f t="shared" si="5"/>
        <v>2721.5</v>
      </c>
      <c r="W93" s="72">
        <f t="shared" si="4"/>
        <v>2638.2222222222222</v>
      </c>
    </row>
    <row r="94" spans="1:23" ht="27" customHeight="1">
      <c r="A94" s="10" t="s">
        <v>479</v>
      </c>
      <c r="B94" s="10" t="s">
        <v>229</v>
      </c>
      <c r="C94" s="10"/>
      <c r="D94" s="10" t="s">
        <v>228</v>
      </c>
      <c r="E94" s="10" t="s">
        <v>3081</v>
      </c>
      <c r="F94" s="10"/>
      <c r="G94" s="10"/>
      <c r="H94" s="70">
        <v>21</v>
      </c>
      <c r="I94" s="70"/>
      <c r="J94" s="70">
        <v>61676.03</v>
      </c>
      <c r="K94" s="65">
        <v>5783.05</v>
      </c>
      <c r="L94" s="71">
        <v>22816</v>
      </c>
      <c r="M94" s="65">
        <v>30584.3</v>
      </c>
      <c r="N94" s="65">
        <v>52078</v>
      </c>
      <c r="O94" s="65">
        <v>28835</v>
      </c>
      <c r="P94" s="65">
        <v>26870</v>
      </c>
      <c r="Q94" s="65">
        <v>0</v>
      </c>
      <c r="R94" s="65">
        <v>27875</v>
      </c>
      <c r="S94" s="65">
        <v>103027</v>
      </c>
      <c r="T94" s="65">
        <v>55157</v>
      </c>
      <c r="U94" s="65">
        <v>40325</v>
      </c>
      <c r="V94" s="65">
        <f t="shared" si="5"/>
        <v>28580.297500000001</v>
      </c>
      <c r="W94" s="72">
        <f t="shared" si="4"/>
        <v>37918.864999999998</v>
      </c>
    </row>
    <row r="95" spans="1:23" ht="27" customHeight="1">
      <c r="A95" s="10" t="s">
        <v>480</v>
      </c>
      <c r="B95" s="10" t="s">
        <v>231</v>
      </c>
      <c r="C95" s="10"/>
      <c r="D95" s="10" t="s">
        <v>230</v>
      </c>
      <c r="E95" s="10" t="s">
        <v>3082</v>
      </c>
      <c r="F95" s="10"/>
      <c r="G95" s="10"/>
      <c r="H95" s="70">
        <v>6.34</v>
      </c>
      <c r="I95" s="70"/>
      <c r="J95" s="70">
        <v>1</v>
      </c>
      <c r="K95" s="65">
        <v>3946</v>
      </c>
      <c r="L95" s="71">
        <v>3342</v>
      </c>
      <c r="M95" s="65">
        <v>9729</v>
      </c>
      <c r="N95" s="65">
        <v>20495</v>
      </c>
      <c r="O95" s="65">
        <v>26402</v>
      </c>
      <c r="P95" s="65">
        <v>7570</v>
      </c>
      <c r="Q95" s="65">
        <v>8267</v>
      </c>
      <c r="R95" s="65">
        <v>5363</v>
      </c>
      <c r="S95" s="65">
        <v>20256</v>
      </c>
      <c r="T95" s="65">
        <v>19533</v>
      </c>
      <c r="U95" s="65">
        <v>13305</v>
      </c>
      <c r="V95" s="65">
        <f t="shared" si="5"/>
        <v>9969</v>
      </c>
      <c r="W95" s="72">
        <f t="shared" si="4"/>
        <v>11517.416666666666</v>
      </c>
    </row>
    <row r="96" spans="1:23" ht="27" customHeight="1">
      <c r="A96" s="10" t="s">
        <v>474</v>
      </c>
      <c r="B96" s="10" t="s">
        <v>233</v>
      </c>
      <c r="C96" s="10"/>
      <c r="D96" s="10" t="s">
        <v>232</v>
      </c>
      <c r="E96" s="10" t="s">
        <v>3083</v>
      </c>
      <c r="F96" s="10" t="s">
        <v>2650</v>
      </c>
      <c r="G96" s="10"/>
      <c r="H96" s="70">
        <v>11</v>
      </c>
      <c r="I96" s="70"/>
      <c r="J96" s="70">
        <v>14610.03</v>
      </c>
      <c r="K96" s="65">
        <v>24264</v>
      </c>
      <c r="L96" s="71">
        <v>44307</v>
      </c>
      <c r="M96" s="65">
        <v>38620</v>
      </c>
      <c r="N96" s="65">
        <v>38866.129999999997</v>
      </c>
      <c r="O96" s="65">
        <v>56481.530000000006</v>
      </c>
      <c r="P96" s="65">
        <v>49331</v>
      </c>
      <c r="Q96" s="65">
        <v>46351</v>
      </c>
      <c r="R96" s="65">
        <v>47930</v>
      </c>
      <c r="S96" s="65">
        <v>58346</v>
      </c>
      <c r="T96" s="65">
        <v>62130</v>
      </c>
      <c r="U96" s="65">
        <v>61205</v>
      </c>
      <c r="V96" s="65">
        <f t="shared" si="5"/>
        <v>39103.83625</v>
      </c>
      <c r="W96" s="72">
        <f t="shared" si="4"/>
        <v>45203.47416666666</v>
      </c>
    </row>
    <row r="97" spans="1:23" ht="27" customHeight="1">
      <c r="A97" s="10" t="s">
        <v>474</v>
      </c>
      <c r="B97" s="10" t="s">
        <v>235</v>
      </c>
      <c r="C97" s="10"/>
      <c r="D97" s="10" t="s">
        <v>234</v>
      </c>
      <c r="E97" s="10" t="s">
        <v>3084</v>
      </c>
      <c r="F97" s="10" t="s">
        <v>2664</v>
      </c>
      <c r="G97" s="10"/>
      <c r="H97" s="70">
        <v>4.9000000000000004</v>
      </c>
      <c r="I97" s="70"/>
      <c r="J97" s="70">
        <v>2629</v>
      </c>
      <c r="K97" s="65">
        <v>4101</v>
      </c>
      <c r="L97" s="71">
        <v>9621</v>
      </c>
      <c r="M97" s="65">
        <v>11009</v>
      </c>
      <c r="N97" s="65">
        <v>20198</v>
      </c>
      <c r="O97" s="65">
        <v>15516</v>
      </c>
      <c r="P97" s="65">
        <v>8052</v>
      </c>
      <c r="Q97" s="65">
        <v>7670</v>
      </c>
      <c r="R97" s="65">
        <v>8256</v>
      </c>
      <c r="S97" s="65">
        <v>22592</v>
      </c>
      <c r="T97" s="65">
        <v>20946</v>
      </c>
      <c r="U97" s="65">
        <v>20056</v>
      </c>
      <c r="V97" s="65">
        <f t="shared" si="5"/>
        <v>9849.5</v>
      </c>
      <c r="W97" s="72">
        <f t="shared" si="4"/>
        <v>12553.833333333334</v>
      </c>
    </row>
    <row r="98" spans="1:23" ht="27" customHeight="1">
      <c r="A98" s="10" t="s">
        <v>1940</v>
      </c>
      <c r="B98" s="10" t="s">
        <v>3278</v>
      </c>
      <c r="C98" s="10"/>
      <c r="D98" s="10" t="s">
        <v>3279</v>
      </c>
      <c r="E98" s="10" t="s">
        <v>2324</v>
      </c>
      <c r="F98" s="10" t="s">
        <v>2323</v>
      </c>
      <c r="G98" s="10"/>
      <c r="H98" s="70">
        <v>0.33</v>
      </c>
      <c r="I98" s="70"/>
      <c r="J98" s="70">
        <v>0</v>
      </c>
      <c r="K98" s="213">
        <v>0</v>
      </c>
      <c r="L98" s="71"/>
      <c r="M98" s="65"/>
      <c r="N98" s="65"/>
      <c r="O98" s="65"/>
      <c r="P98" s="65"/>
      <c r="Q98" s="65"/>
      <c r="R98" s="65"/>
      <c r="S98" s="65"/>
      <c r="T98" s="65"/>
      <c r="U98" s="65"/>
      <c r="V98" s="65">
        <f t="shared" si="5"/>
        <v>0</v>
      </c>
      <c r="W98" s="72">
        <f t="shared" si="4"/>
        <v>0</v>
      </c>
    </row>
    <row r="99" spans="1:23" ht="27" customHeight="1">
      <c r="A99" s="10" t="s">
        <v>474</v>
      </c>
      <c r="B99" s="10" t="s">
        <v>237</v>
      </c>
      <c r="C99" s="10"/>
      <c r="D99" s="10" t="s">
        <v>236</v>
      </c>
      <c r="E99" s="10" t="s">
        <v>3085</v>
      </c>
      <c r="F99" s="10" t="s">
        <v>2653</v>
      </c>
      <c r="G99" s="10"/>
      <c r="H99" s="70">
        <v>8.5</v>
      </c>
      <c r="I99" s="70"/>
      <c r="J99" s="70">
        <v>22156</v>
      </c>
      <c r="K99" s="65">
        <v>20959</v>
      </c>
      <c r="L99" s="71">
        <v>19585</v>
      </c>
      <c r="M99" s="65">
        <v>6614</v>
      </c>
      <c r="N99" s="65">
        <v>29657</v>
      </c>
      <c r="O99" s="65">
        <v>29339</v>
      </c>
      <c r="P99" s="65">
        <v>30643</v>
      </c>
      <c r="Q99" s="65">
        <v>33010</v>
      </c>
      <c r="R99" s="65">
        <v>35791</v>
      </c>
      <c r="S99" s="65">
        <v>40692</v>
      </c>
      <c r="T99" s="65">
        <v>32561</v>
      </c>
      <c r="U99" s="65">
        <v>36199</v>
      </c>
      <c r="V99" s="65">
        <f t="shared" si="5"/>
        <v>23995.375</v>
      </c>
      <c r="W99" s="72">
        <f t="shared" si="4"/>
        <v>28100.5</v>
      </c>
    </row>
    <row r="100" spans="1:23" ht="27" customHeight="1">
      <c r="A100" s="10" t="s">
        <v>474</v>
      </c>
      <c r="B100" s="10" t="s">
        <v>239</v>
      </c>
      <c r="C100" s="10"/>
      <c r="D100" s="10" t="s">
        <v>238</v>
      </c>
      <c r="E100" s="10" t="s">
        <v>3086</v>
      </c>
      <c r="F100" s="10" t="s">
        <v>2654</v>
      </c>
      <c r="G100" s="10"/>
      <c r="H100" s="70">
        <v>8.5</v>
      </c>
      <c r="I100" s="70"/>
      <c r="J100" s="70">
        <v>30287</v>
      </c>
      <c r="K100" s="65">
        <v>32220</v>
      </c>
      <c r="L100" s="71">
        <v>36412</v>
      </c>
      <c r="M100" s="65">
        <v>38652</v>
      </c>
      <c r="N100" s="65">
        <v>41386</v>
      </c>
      <c r="O100" s="65">
        <v>37605</v>
      </c>
      <c r="P100" s="65">
        <v>41802</v>
      </c>
      <c r="Q100" s="65">
        <v>46029</v>
      </c>
      <c r="R100" s="65">
        <v>49489</v>
      </c>
      <c r="S100" s="65">
        <v>55377</v>
      </c>
      <c r="T100" s="65">
        <v>47388</v>
      </c>
      <c r="U100" s="65">
        <v>51617</v>
      </c>
      <c r="V100" s="65">
        <f t="shared" si="5"/>
        <v>38049.125</v>
      </c>
      <c r="W100" s="72">
        <f t="shared" si="4"/>
        <v>42355.333333333336</v>
      </c>
    </row>
    <row r="101" spans="1:23" ht="27" customHeight="1">
      <c r="A101" s="10"/>
      <c r="B101" s="10" t="s">
        <v>2209</v>
      </c>
      <c r="C101" s="10"/>
      <c r="D101" s="10" t="s">
        <v>3261</v>
      </c>
      <c r="E101" s="10" t="s">
        <v>2211</v>
      </c>
      <c r="F101" s="10" t="s">
        <v>2210</v>
      </c>
      <c r="G101" s="10"/>
      <c r="H101" s="70">
        <v>0.1</v>
      </c>
      <c r="I101" s="70" t="s">
        <v>2946</v>
      </c>
      <c r="J101" s="70">
        <v>49.354387096774104</v>
      </c>
      <c r="K101" s="65">
        <v>98.328000000000003</v>
      </c>
      <c r="L101" s="71"/>
      <c r="M101" s="65"/>
      <c r="N101" s="65"/>
      <c r="O101" s="65"/>
      <c r="P101" s="65"/>
      <c r="Q101" s="65"/>
      <c r="R101" s="65"/>
      <c r="S101" s="65"/>
      <c r="T101" s="65"/>
      <c r="U101" s="65"/>
      <c r="V101" s="65">
        <f t="shared" si="5"/>
        <v>73.841193548387054</v>
      </c>
      <c r="W101" s="72">
        <f t="shared" si="4"/>
        <v>73.841193548387054</v>
      </c>
    </row>
    <row r="102" spans="1:23" ht="27" customHeight="1">
      <c r="A102" s="10" t="s">
        <v>601</v>
      </c>
      <c r="B102" s="10" t="s">
        <v>301</v>
      </c>
      <c r="C102" s="10"/>
      <c r="D102" s="10" t="s">
        <v>300</v>
      </c>
      <c r="E102" s="10" t="s">
        <v>3087</v>
      </c>
      <c r="F102" s="10" t="s">
        <v>2212</v>
      </c>
      <c r="G102" s="10"/>
      <c r="H102" s="70">
        <v>7</v>
      </c>
      <c r="I102" s="70"/>
      <c r="J102" s="70">
        <v>4115</v>
      </c>
      <c r="K102" s="65">
        <v>8481</v>
      </c>
      <c r="L102" s="71">
        <v>13037</v>
      </c>
      <c r="M102" s="65">
        <v>12965</v>
      </c>
      <c r="N102" s="65">
        <v>25033</v>
      </c>
      <c r="O102" s="65">
        <v>25785</v>
      </c>
      <c r="P102" s="65">
        <v>12423</v>
      </c>
      <c r="Q102" s="65">
        <v>14277</v>
      </c>
      <c r="R102" s="65">
        <v>14397</v>
      </c>
      <c r="S102" s="65">
        <v>28547</v>
      </c>
      <c r="T102" s="65">
        <v>23477</v>
      </c>
      <c r="U102" s="65">
        <v>18438</v>
      </c>
      <c r="V102" s="65">
        <f t="shared" si="5"/>
        <v>14514.5</v>
      </c>
      <c r="W102" s="72">
        <f t="shared" si="4"/>
        <v>16747.916666666668</v>
      </c>
    </row>
    <row r="103" spans="1:23" ht="27" customHeight="1">
      <c r="A103" s="10" t="s">
        <v>591</v>
      </c>
      <c r="B103" s="10" t="s">
        <v>241</v>
      </c>
      <c r="C103" s="10"/>
      <c r="D103" s="10" t="s">
        <v>240</v>
      </c>
      <c r="E103" s="10" t="s">
        <v>3088</v>
      </c>
      <c r="F103" s="10" t="s">
        <v>2213</v>
      </c>
      <c r="G103" s="10"/>
      <c r="H103" s="70">
        <v>10</v>
      </c>
      <c r="I103" s="70"/>
      <c r="J103" s="70">
        <v>0</v>
      </c>
      <c r="K103" s="65">
        <v>2884.8</v>
      </c>
      <c r="L103" s="71">
        <v>9293</v>
      </c>
      <c r="M103" s="65">
        <v>15041</v>
      </c>
      <c r="N103" s="65">
        <v>29727.08</v>
      </c>
      <c r="O103" s="65">
        <v>17262.120000000003</v>
      </c>
      <c r="P103" s="65">
        <v>14906.140000000003</v>
      </c>
      <c r="Q103" s="65">
        <v>10835</v>
      </c>
      <c r="R103" s="65">
        <v>10788</v>
      </c>
      <c r="S103" s="65">
        <v>24490</v>
      </c>
      <c r="T103" s="65">
        <v>18046</v>
      </c>
      <c r="U103" s="65">
        <v>16822</v>
      </c>
      <c r="V103" s="65">
        <f t="shared" si="5"/>
        <v>12493.6425</v>
      </c>
      <c r="W103" s="72">
        <f t="shared" ref="W103:W166" si="6">AVERAGE(J103:U103)</f>
        <v>14174.595000000001</v>
      </c>
    </row>
    <row r="104" spans="1:23" ht="27" customHeight="1">
      <c r="A104" s="10" t="s">
        <v>589</v>
      </c>
      <c r="B104" s="10" t="s">
        <v>243</v>
      </c>
      <c r="C104" s="10"/>
      <c r="D104" s="10" t="s">
        <v>242</v>
      </c>
      <c r="E104" s="10" t="s">
        <v>3089</v>
      </c>
      <c r="F104" s="10" t="s">
        <v>2266</v>
      </c>
      <c r="G104" s="10"/>
      <c r="H104" s="70">
        <v>0.73</v>
      </c>
      <c r="I104" s="70"/>
      <c r="J104" s="70">
        <v>1353</v>
      </c>
      <c r="K104" s="65">
        <v>2297</v>
      </c>
      <c r="L104" s="71">
        <v>2564</v>
      </c>
      <c r="M104" s="65">
        <v>3000</v>
      </c>
      <c r="N104" s="65">
        <v>4186</v>
      </c>
      <c r="O104" s="65">
        <v>2984</v>
      </c>
      <c r="P104" s="65">
        <v>3308</v>
      </c>
      <c r="Q104" s="65">
        <v>3508</v>
      </c>
      <c r="R104" s="65">
        <v>3577</v>
      </c>
      <c r="S104" s="65" t="s">
        <v>115</v>
      </c>
      <c r="T104" s="65">
        <v>3615</v>
      </c>
      <c r="U104" s="65" t="s">
        <v>115</v>
      </c>
      <c r="V104" s="65">
        <f t="shared" si="5"/>
        <v>2900</v>
      </c>
      <c r="W104" s="72">
        <f t="shared" si="6"/>
        <v>3039.2</v>
      </c>
    </row>
    <row r="105" spans="1:23" ht="27" customHeight="1">
      <c r="A105" s="69" t="s">
        <v>5013</v>
      </c>
      <c r="B105" s="69" t="s">
        <v>5013</v>
      </c>
      <c r="C105" s="69"/>
      <c r="D105" s="69"/>
      <c r="E105" s="69" t="s">
        <v>5012</v>
      </c>
      <c r="F105" s="69" t="s">
        <v>5014</v>
      </c>
      <c r="G105" s="69"/>
      <c r="H105" s="70">
        <v>0.35</v>
      </c>
      <c r="I105" s="70" t="s">
        <v>5252</v>
      </c>
      <c r="J105" s="70">
        <v>1102.481</v>
      </c>
      <c r="K105" s="65"/>
      <c r="L105" s="382"/>
      <c r="M105" s="65"/>
      <c r="N105" s="65"/>
      <c r="O105" s="65"/>
      <c r="P105" s="65"/>
      <c r="Q105" s="65"/>
      <c r="R105" s="65"/>
      <c r="S105" s="65"/>
      <c r="T105" s="65"/>
      <c r="U105" s="65"/>
      <c r="V105" s="65">
        <f t="shared" si="5"/>
        <v>1102.481</v>
      </c>
      <c r="W105" s="72">
        <f t="shared" si="6"/>
        <v>1102.481</v>
      </c>
    </row>
    <row r="106" spans="1:23" ht="27" customHeight="1">
      <c r="A106" s="10" t="s">
        <v>592</v>
      </c>
      <c r="B106" s="10" t="s">
        <v>245</v>
      </c>
      <c r="C106" s="10"/>
      <c r="D106" s="10" t="s">
        <v>244</v>
      </c>
      <c r="E106" s="10" t="s">
        <v>3206</v>
      </c>
      <c r="F106" s="10" t="s">
        <v>5184</v>
      </c>
      <c r="G106" s="10"/>
      <c r="H106" s="70">
        <v>1.08</v>
      </c>
      <c r="I106" s="70"/>
      <c r="J106" s="70">
        <v>1248</v>
      </c>
      <c r="K106" s="65">
        <v>2872</v>
      </c>
      <c r="L106" s="71">
        <v>3798</v>
      </c>
      <c r="M106" s="65">
        <v>3965</v>
      </c>
      <c r="N106" s="65">
        <v>4681</v>
      </c>
      <c r="O106" s="65">
        <v>4358</v>
      </c>
      <c r="P106" s="65">
        <v>3651</v>
      </c>
      <c r="Q106" s="65">
        <v>3768</v>
      </c>
      <c r="R106" s="65">
        <v>4171</v>
      </c>
      <c r="S106" s="65">
        <v>3893</v>
      </c>
      <c r="T106" s="65">
        <v>4200</v>
      </c>
      <c r="U106" s="65">
        <v>4673</v>
      </c>
      <c r="V106" s="65">
        <f t="shared" si="5"/>
        <v>3542.625</v>
      </c>
      <c r="W106" s="72">
        <f t="shared" si="6"/>
        <v>3773.1666666666665</v>
      </c>
    </row>
    <row r="107" spans="1:23" ht="27" customHeight="1">
      <c r="A107" s="10" t="s">
        <v>479</v>
      </c>
      <c r="B107" s="10" t="s">
        <v>2061</v>
      </c>
      <c r="C107" s="10"/>
      <c r="D107" s="10" t="s">
        <v>2928</v>
      </c>
      <c r="E107" s="10" t="s">
        <v>2062</v>
      </c>
      <c r="F107" s="10"/>
      <c r="G107" s="10"/>
      <c r="H107" s="70">
        <v>0.5</v>
      </c>
      <c r="I107" s="70"/>
      <c r="J107" s="70">
        <v>0</v>
      </c>
      <c r="K107" s="213">
        <v>0</v>
      </c>
      <c r="L107" s="71"/>
      <c r="M107" s="65"/>
      <c r="N107" s="65"/>
      <c r="O107" s="65"/>
      <c r="P107" s="65"/>
      <c r="Q107" s="65"/>
      <c r="R107" s="65"/>
      <c r="S107" s="65"/>
      <c r="T107" s="65"/>
      <c r="U107" s="65"/>
      <c r="V107" s="65">
        <f t="shared" si="5"/>
        <v>0</v>
      </c>
      <c r="W107" s="72">
        <f t="shared" si="6"/>
        <v>0</v>
      </c>
    </row>
    <row r="108" spans="1:23" ht="27" customHeight="1">
      <c r="A108" s="10" t="s">
        <v>481</v>
      </c>
      <c r="B108" s="10" t="s">
        <v>148</v>
      </c>
      <c r="C108" s="10"/>
      <c r="D108" s="10" t="s">
        <v>147</v>
      </c>
      <c r="E108" s="10" t="s">
        <v>2002</v>
      </c>
      <c r="F108" s="10"/>
      <c r="G108" s="10"/>
      <c r="H108" s="70">
        <v>2.97</v>
      </c>
      <c r="I108" s="70"/>
      <c r="J108" s="70">
        <v>989</v>
      </c>
      <c r="K108" s="65">
        <v>3241</v>
      </c>
      <c r="L108" s="71">
        <v>5479</v>
      </c>
      <c r="M108" s="65">
        <v>8225</v>
      </c>
      <c r="N108" s="65">
        <v>14034</v>
      </c>
      <c r="O108" s="65">
        <v>4305</v>
      </c>
      <c r="P108" s="65">
        <v>5127</v>
      </c>
      <c r="Q108" s="65">
        <v>8235</v>
      </c>
      <c r="R108" s="65">
        <v>7947</v>
      </c>
      <c r="S108" s="65">
        <v>17813</v>
      </c>
      <c r="T108" s="65">
        <v>9578</v>
      </c>
      <c r="U108" s="65">
        <v>6288</v>
      </c>
      <c r="V108" s="65">
        <f t="shared" si="5"/>
        <v>6204.375</v>
      </c>
      <c r="W108" s="72">
        <f t="shared" si="6"/>
        <v>7605.083333333333</v>
      </c>
    </row>
    <row r="109" spans="1:23" ht="27" customHeight="1">
      <c r="A109" s="10" t="s">
        <v>4851</v>
      </c>
      <c r="B109" s="10" t="s">
        <v>5506</v>
      </c>
      <c r="C109" s="10"/>
      <c r="D109" s="10"/>
      <c r="E109" s="10" t="s">
        <v>3080</v>
      </c>
      <c r="F109" s="10" t="s">
        <v>2203</v>
      </c>
      <c r="G109" s="10"/>
      <c r="H109" s="70">
        <v>2</v>
      </c>
      <c r="I109" s="70"/>
      <c r="J109" s="70">
        <v>0</v>
      </c>
      <c r="K109" s="65"/>
      <c r="L109" s="71"/>
      <c r="M109" s="65"/>
      <c r="N109" s="65"/>
      <c r="O109" s="65"/>
      <c r="P109" s="65"/>
      <c r="Q109" s="65"/>
      <c r="R109" s="65"/>
      <c r="S109" s="65"/>
      <c r="T109" s="65"/>
      <c r="U109" s="65"/>
      <c r="V109" s="65">
        <f t="shared" si="5"/>
        <v>0</v>
      </c>
      <c r="W109" s="72">
        <f t="shared" si="6"/>
        <v>0</v>
      </c>
    </row>
    <row r="110" spans="1:23" ht="31.5" customHeight="1">
      <c r="A110" s="10" t="s">
        <v>5512</v>
      </c>
      <c r="B110" s="10" t="s">
        <v>255</v>
      </c>
      <c r="C110" s="10"/>
      <c r="D110" s="10" t="s">
        <v>254</v>
      </c>
      <c r="E110" s="10" t="s">
        <v>3090</v>
      </c>
      <c r="F110" s="10"/>
      <c r="G110" s="10"/>
      <c r="H110" s="70">
        <v>3.01</v>
      </c>
      <c r="I110" s="70"/>
      <c r="J110" s="70">
        <v>805</v>
      </c>
      <c r="K110" s="213">
        <v>0</v>
      </c>
      <c r="L110" s="71">
        <v>2598</v>
      </c>
      <c r="M110" s="65">
        <v>7224</v>
      </c>
      <c r="N110" s="65">
        <v>4294</v>
      </c>
      <c r="O110" s="65">
        <v>2462</v>
      </c>
      <c r="P110" s="65">
        <v>1309</v>
      </c>
      <c r="Q110" s="65">
        <v>5067</v>
      </c>
      <c r="R110" s="65">
        <v>9891</v>
      </c>
      <c r="S110" s="65">
        <v>21000</v>
      </c>
      <c r="T110" s="65">
        <v>11000</v>
      </c>
      <c r="U110" s="65">
        <v>14000</v>
      </c>
      <c r="V110" s="65">
        <f t="shared" si="5"/>
        <v>2969.875</v>
      </c>
      <c r="W110" s="72">
        <f t="shared" si="6"/>
        <v>6637.5</v>
      </c>
    </row>
    <row r="111" spans="1:23" ht="27" customHeight="1">
      <c r="A111" s="10" t="s">
        <v>474</v>
      </c>
      <c r="B111" s="10" t="s">
        <v>257</v>
      </c>
      <c r="C111" s="10"/>
      <c r="D111" s="10" t="s">
        <v>256</v>
      </c>
      <c r="E111" s="10" t="s">
        <v>3091</v>
      </c>
      <c r="F111" s="10" t="s">
        <v>2655</v>
      </c>
      <c r="G111" s="10"/>
      <c r="H111" s="70">
        <v>7.65</v>
      </c>
      <c r="I111" s="70"/>
      <c r="J111" s="70">
        <v>15099</v>
      </c>
      <c r="K111" s="65">
        <v>27488</v>
      </c>
      <c r="L111" s="71">
        <v>35430</v>
      </c>
      <c r="M111" s="65">
        <v>36571</v>
      </c>
      <c r="N111" s="65">
        <v>40652</v>
      </c>
      <c r="O111" s="65">
        <v>44608</v>
      </c>
      <c r="P111" s="65">
        <v>37872</v>
      </c>
      <c r="Q111" s="65">
        <v>36029</v>
      </c>
      <c r="R111" s="65">
        <v>44286</v>
      </c>
      <c r="S111" s="65">
        <v>56180</v>
      </c>
      <c r="T111" s="65">
        <v>46874</v>
      </c>
      <c r="U111" s="65">
        <v>51116</v>
      </c>
      <c r="V111" s="65">
        <f t="shared" si="5"/>
        <v>34218.625</v>
      </c>
      <c r="W111" s="72">
        <f t="shared" si="6"/>
        <v>39350.416666666664</v>
      </c>
    </row>
    <row r="112" spans="1:23" ht="27" customHeight="1">
      <c r="A112" s="10" t="s">
        <v>483</v>
      </c>
      <c r="B112" s="10" t="s">
        <v>259</v>
      </c>
      <c r="C112" s="10"/>
      <c r="D112" s="10" t="s">
        <v>258</v>
      </c>
      <c r="E112" s="10" t="s">
        <v>3092</v>
      </c>
      <c r="F112" s="10"/>
      <c r="G112" s="10"/>
      <c r="H112" s="70">
        <v>18</v>
      </c>
      <c r="I112" s="70"/>
      <c r="J112" s="70">
        <v>82043</v>
      </c>
      <c r="K112" s="65">
        <v>85550</v>
      </c>
      <c r="L112" s="71">
        <v>85349</v>
      </c>
      <c r="M112" s="65">
        <v>100757</v>
      </c>
      <c r="N112" s="65">
        <v>119843</v>
      </c>
      <c r="O112" s="65">
        <v>96256</v>
      </c>
      <c r="P112" s="65">
        <v>112647</v>
      </c>
      <c r="Q112" s="65">
        <v>125383</v>
      </c>
      <c r="R112" s="65">
        <v>119206</v>
      </c>
      <c r="S112" s="65">
        <v>130719</v>
      </c>
      <c r="T112" s="65">
        <v>98980</v>
      </c>
      <c r="U112" s="65">
        <v>96177</v>
      </c>
      <c r="V112" s="65">
        <f t="shared" si="5"/>
        <v>100978.5</v>
      </c>
      <c r="W112" s="72">
        <f t="shared" si="6"/>
        <v>104409.16666666667</v>
      </c>
    </row>
    <row r="113" spans="1:23" ht="27" customHeight="1">
      <c r="A113" s="10" t="s">
        <v>584</v>
      </c>
      <c r="B113" s="10" t="s">
        <v>160</v>
      </c>
      <c r="C113" s="10"/>
      <c r="D113" s="10" t="s">
        <v>159</v>
      </c>
      <c r="E113" s="10" t="s">
        <v>5029</v>
      </c>
      <c r="F113" s="10" t="s">
        <v>2420</v>
      </c>
      <c r="G113" s="10"/>
      <c r="H113" s="70">
        <v>13.9</v>
      </c>
      <c r="I113" s="70"/>
      <c r="J113" s="70">
        <v>0.12</v>
      </c>
      <c r="K113" s="65">
        <v>5951.16</v>
      </c>
      <c r="L113" s="71">
        <v>6541</v>
      </c>
      <c r="M113" s="65">
        <v>10624.7</v>
      </c>
      <c r="N113" s="65">
        <v>70402.040000000008</v>
      </c>
      <c r="O113" s="65">
        <v>40474.06</v>
      </c>
      <c r="P113" s="65">
        <v>12764</v>
      </c>
      <c r="Q113" s="65">
        <v>16688</v>
      </c>
      <c r="R113" s="65">
        <v>9222</v>
      </c>
      <c r="S113" s="65">
        <v>38126</v>
      </c>
      <c r="T113" s="65">
        <v>46364</v>
      </c>
      <c r="U113" s="65">
        <v>7822</v>
      </c>
      <c r="V113" s="65">
        <f t="shared" si="5"/>
        <v>20430.635000000002</v>
      </c>
      <c r="W113" s="72">
        <f t="shared" si="6"/>
        <v>22081.59</v>
      </c>
    </row>
    <row r="114" spans="1:23" ht="27" customHeight="1">
      <c r="A114" s="10"/>
      <c r="B114" s="10" t="s">
        <v>3618</v>
      </c>
      <c r="C114" s="10"/>
      <c r="D114" s="10"/>
      <c r="E114" s="10" t="s">
        <v>3620</v>
      </c>
      <c r="F114" s="10" t="s">
        <v>3619</v>
      </c>
      <c r="G114" s="10"/>
      <c r="H114" s="70">
        <v>0.86</v>
      </c>
      <c r="I114" s="70" t="s">
        <v>2946</v>
      </c>
      <c r="J114" s="70">
        <v>2029.4580000000001</v>
      </c>
      <c r="K114" s="65">
        <v>0.85299999999999998</v>
      </c>
      <c r="L114" s="71"/>
      <c r="M114" s="65"/>
      <c r="N114" s="65"/>
      <c r="O114" s="65"/>
      <c r="P114" s="65"/>
      <c r="Q114" s="65"/>
      <c r="R114" s="65"/>
      <c r="S114" s="65"/>
      <c r="T114" s="65"/>
      <c r="U114" s="65"/>
      <c r="V114" s="65">
        <f t="shared" si="5"/>
        <v>1015.1555000000001</v>
      </c>
      <c r="W114" s="72">
        <f t="shared" si="6"/>
        <v>1015.1555000000001</v>
      </c>
    </row>
    <row r="115" spans="1:23" ht="27" customHeight="1">
      <c r="A115" s="10" t="s">
        <v>2132</v>
      </c>
      <c r="B115" s="10" t="s">
        <v>2190</v>
      </c>
      <c r="C115" s="10"/>
      <c r="D115" s="10" t="s">
        <v>3262</v>
      </c>
      <c r="E115" s="10" t="s">
        <v>2225</v>
      </c>
      <c r="F115" s="10"/>
      <c r="G115" s="10"/>
      <c r="H115" s="70">
        <v>0.45500000000000002</v>
      </c>
      <c r="I115" s="70" t="s">
        <v>2946</v>
      </c>
      <c r="J115" s="70">
        <v>318.11500000000001</v>
      </c>
      <c r="K115" s="65">
        <v>197.15700000000001</v>
      </c>
      <c r="L115" s="71"/>
      <c r="M115" s="65"/>
      <c r="N115" s="65"/>
      <c r="O115" s="65"/>
      <c r="P115" s="65"/>
      <c r="Q115" s="65"/>
      <c r="R115" s="65"/>
      <c r="S115" s="65"/>
      <c r="T115" s="65"/>
      <c r="U115" s="65"/>
      <c r="V115" s="65">
        <f t="shared" si="5"/>
        <v>257.63600000000002</v>
      </c>
      <c r="W115" s="72">
        <f t="shared" si="6"/>
        <v>257.63600000000002</v>
      </c>
    </row>
    <row r="116" spans="1:23" ht="27" customHeight="1">
      <c r="A116" s="10"/>
      <c r="B116" s="10" t="s">
        <v>4852</v>
      </c>
      <c r="C116" s="10"/>
      <c r="D116" s="10"/>
      <c r="E116" s="10" t="s">
        <v>4854</v>
      </c>
      <c r="F116" s="10" t="s">
        <v>4853</v>
      </c>
      <c r="G116" s="10"/>
      <c r="H116" s="70"/>
      <c r="I116" s="70"/>
      <c r="J116" s="70">
        <v>0</v>
      </c>
      <c r="K116" s="65"/>
      <c r="L116" s="71"/>
      <c r="M116" s="65"/>
      <c r="N116" s="65"/>
      <c r="O116" s="65"/>
      <c r="P116" s="65"/>
      <c r="Q116" s="65"/>
      <c r="R116" s="65"/>
      <c r="S116" s="65"/>
      <c r="T116" s="65"/>
      <c r="U116" s="65"/>
      <c r="V116" s="65">
        <f t="shared" si="5"/>
        <v>0</v>
      </c>
      <c r="W116" s="72">
        <f t="shared" si="6"/>
        <v>0</v>
      </c>
    </row>
    <row r="117" spans="1:23" ht="27" customHeight="1">
      <c r="A117" s="10"/>
      <c r="B117" s="10" t="s">
        <v>4855</v>
      </c>
      <c r="C117" s="10"/>
      <c r="D117" s="10"/>
      <c r="E117" s="10" t="s">
        <v>4857</v>
      </c>
      <c r="F117" s="10" t="s">
        <v>4856</v>
      </c>
      <c r="G117" s="10"/>
      <c r="H117" s="70"/>
      <c r="I117" s="70"/>
      <c r="J117" s="70">
        <v>0</v>
      </c>
      <c r="K117" s="65"/>
      <c r="L117" s="71"/>
      <c r="M117" s="65"/>
      <c r="N117" s="65"/>
      <c r="O117" s="65"/>
      <c r="P117" s="65"/>
      <c r="Q117" s="65"/>
      <c r="R117" s="65"/>
      <c r="S117" s="65"/>
      <c r="T117" s="65"/>
      <c r="U117" s="65"/>
      <c r="V117" s="65">
        <f t="shared" si="5"/>
        <v>0</v>
      </c>
      <c r="W117" s="72">
        <f t="shared" si="6"/>
        <v>0</v>
      </c>
    </row>
    <row r="118" spans="1:23" ht="27" customHeight="1">
      <c r="A118" s="10"/>
      <c r="B118" s="10" t="s">
        <v>4858</v>
      </c>
      <c r="C118" s="10"/>
      <c r="D118" s="10"/>
      <c r="E118" s="10" t="s">
        <v>4860</v>
      </c>
      <c r="F118" s="10" t="s">
        <v>4859</v>
      </c>
      <c r="G118" s="10"/>
      <c r="H118" s="70"/>
      <c r="I118" s="70"/>
      <c r="J118" s="70">
        <v>0</v>
      </c>
      <c r="K118" s="65"/>
      <c r="L118" s="71"/>
      <c r="M118" s="65"/>
      <c r="N118" s="65"/>
      <c r="O118" s="65"/>
      <c r="P118" s="65"/>
      <c r="Q118" s="65"/>
      <c r="R118" s="65"/>
      <c r="S118" s="65"/>
      <c r="T118" s="65"/>
      <c r="U118" s="65"/>
      <c r="V118" s="65">
        <f t="shared" si="5"/>
        <v>0</v>
      </c>
      <c r="W118" s="72">
        <f t="shared" si="6"/>
        <v>0</v>
      </c>
    </row>
    <row r="119" spans="1:23" ht="27" customHeight="1">
      <c r="A119" s="10" t="s">
        <v>65</v>
      </c>
      <c r="B119" s="10" t="s">
        <v>261</v>
      </c>
      <c r="C119" s="10"/>
      <c r="D119" s="10" t="s">
        <v>260</v>
      </c>
      <c r="E119" s="10" t="s">
        <v>3093</v>
      </c>
      <c r="F119" s="10"/>
      <c r="G119" s="10"/>
      <c r="H119" s="70">
        <v>10</v>
      </c>
      <c r="I119" s="70"/>
      <c r="J119" s="70">
        <v>3200.02</v>
      </c>
      <c r="K119" s="65">
        <v>10648</v>
      </c>
      <c r="L119" s="71">
        <v>11974</v>
      </c>
      <c r="M119" s="65">
        <v>18724</v>
      </c>
      <c r="N119" s="65">
        <v>38166</v>
      </c>
      <c r="O119" s="65">
        <v>19960.010000000002</v>
      </c>
      <c r="P119" s="65">
        <v>16109</v>
      </c>
      <c r="Q119" s="65">
        <v>11295</v>
      </c>
      <c r="R119" s="65">
        <v>6716</v>
      </c>
      <c r="S119" s="65">
        <v>39124</v>
      </c>
      <c r="T119" s="65">
        <v>25714</v>
      </c>
      <c r="U119" s="65">
        <v>15675</v>
      </c>
      <c r="V119" s="65">
        <f t="shared" si="5"/>
        <v>16259.50375</v>
      </c>
      <c r="W119" s="72">
        <f t="shared" si="6"/>
        <v>18108.752499999999</v>
      </c>
    </row>
    <row r="120" spans="1:23" ht="27" customHeight="1">
      <c r="A120" s="10" t="s">
        <v>591</v>
      </c>
      <c r="B120" s="10" t="s">
        <v>367</v>
      </c>
      <c r="C120" s="10"/>
      <c r="D120" s="10" t="s">
        <v>366</v>
      </c>
      <c r="E120" s="10" t="s">
        <v>3097</v>
      </c>
      <c r="F120" s="10" t="s">
        <v>2305</v>
      </c>
      <c r="G120" s="10"/>
      <c r="H120" s="70">
        <v>1.1000000000000001</v>
      </c>
      <c r="I120" s="70"/>
      <c r="J120" s="70">
        <v>138</v>
      </c>
      <c r="K120" s="65">
        <v>523</v>
      </c>
      <c r="L120" s="71">
        <v>304</v>
      </c>
      <c r="M120" s="65">
        <v>1633</v>
      </c>
      <c r="N120" s="65">
        <v>3073</v>
      </c>
      <c r="O120" s="65">
        <v>1614</v>
      </c>
      <c r="P120" s="65">
        <v>770</v>
      </c>
      <c r="Q120" s="65">
        <v>514</v>
      </c>
      <c r="R120" s="65">
        <v>658</v>
      </c>
      <c r="S120" s="65">
        <v>4452</v>
      </c>
      <c r="T120" s="65">
        <v>2166</v>
      </c>
      <c r="U120" s="65">
        <v>1311</v>
      </c>
      <c r="V120" s="65">
        <f t="shared" si="5"/>
        <v>1071.125</v>
      </c>
      <c r="W120" s="72">
        <f t="shared" si="6"/>
        <v>1429.6666666666667</v>
      </c>
    </row>
    <row r="121" spans="1:23" ht="27" customHeight="1">
      <c r="A121" s="10" t="s">
        <v>475</v>
      </c>
      <c r="B121" s="10" t="s">
        <v>263</v>
      </c>
      <c r="C121" s="10"/>
      <c r="D121" s="10" t="s">
        <v>262</v>
      </c>
      <c r="E121" s="10" t="s">
        <v>3094</v>
      </c>
      <c r="F121" s="10" t="s">
        <v>2470</v>
      </c>
      <c r="G121" s="10"/>
      <c r="H121" s="70">
        <v>1</v>
      </c>
      <c r="I121" s="70"/>
      <c r="J121" s="70">
        <v>6520</v>
      </c>
      <c r="K121" s="65">
        <v>3559</v>
      </c>
      <c r="L121" s="71">
        <v>7185</v>
      </c>
      <c r="M121" s="65">
        <v>7546</v>
      </c>
      <c r="N121" s="65">
        <v>10837</v>
      </c>
      <c r="O121" s="65">
        <v>7903</v>
      </c>
      <c r="P121" s="65">
        <v>7070</v>
      </c>
      <c r="Q121" s="65">
        <v>8956</v>
      </c>
      <c r="R121" s="65">
        <v>6603</v>
      </c>
      <c r="S121" s="65">
        <v>10401</v>
      </c>
      <c r="T121" s="65">
        <v>11150</v>
      </c>
      <c r="U121" s="65">
        <v>10211</v>
      </c>
      <c r="V121" s="65">
        <f t="shared" si="5"/>
        <v>7447</v>
      </c>
      <c r="W121" s="72">
        <f t="shared" si="6"/>
        <v>8161.75</v>
      </c>
    </row>
    <row r="122" spans="1:23" ht="27" customHeight="1">
      <c r="A122" s="10" t="s">
        <v>475</v>
      </c>
      <c r="B122" s="10" t="s">
        <v>265</v>
      </c>
      <c r="C122" s="10"/>
      <c r="D122" s="10" t="s">
        <v>264</v>
      </c>
      <c r="E122" s="10" t="s">
        <v>3095</v>
      </c>
      <c r="F122" s="10" t="s">
        <v>2471</v>
      </c>
      <c r="G122" s="10"/>
      <c r="H122" s="70">
        <v>1.8</v>
      </c>
      <c r="I122" s="70"/>
      <c r="J122" s="70">
        <v>6423</v>
      </c>
      <c r="K122" s="65">
        <v>4435</v>
      </c>
      <c r="L122" s="71">
        <v>6681</v>
      </c>
      <c r="M122" s="65">
        <v>6680</v>
      </c>
      <c r="N122" s="65">
        <v>13849</v>
      </c>
      <c r="O122" s="65">
        <v>12555</v>
      </c>
      <c r="P122" s="65">
        <v>11394</v>
      </c>
      <c r="Q122" s="65">
        <v>10955</v>
      </c>
      <c r="R122" s="65">
        <v>7017</v>
      </c>
      <c r="S122" s="65">
        <v>11106</v>
      </c>
      <c r="T122" s="65">
        <v>12869</v>
      </c>
      <c r="U122" s="65">
        <v>11705</v>
      </c>
      <c r="V122" s="65">
        <f t="shared" si="5"/>
        <v>9121.5</v>
      </c>
      <c r="W122" s="72">
        <f t="shared" si="6"/>
        <v>9639.0833333333339</v>
      </c>
    </row>
    <row r="123" spans="1:23" ht="27" customHeight="1">
      <c r="A123" s="10" t="s">
        <v>475</v>
      </c>
      <c r="B123" s="10" t="s">
        <v>267</v>
      </c>
      <c r="C123" s="10"/>
      <c r="D123" s="10" t="s">
        <v>266</v>
      </c>
      <c r="E123" s="10" t="s">
        <v>3096</v>
      </c>
      <c r="F123" s="10" t="s">
        <v>2472</v>
      </c>
      <c r="G123" s="10"/>
      <c r="H123" s="70">
        <v>4.8</v>
      </c>
      <c r="I123" s="70"/>
      <c r="J123" s="70">
        <v>12262</v>
      </c>
      <c r="K123" s="65">
        <v>6761</v>
      </c>
      <c r="L123" s="71">
        <v>11085</v>
      </c>
      <c r="M123" s="65">
        <v>7060</v>
      </c>
      <c r="N123" s="65">
        <v>4103</v>
      </c>
      <c r="O123" s="65">
        <v>27855</v>
      </c>
      <c r="P123" s="65">
        <v>23295</v>
      </c>
      <c r="Q123" s="65">
        <v>18265</v>
      </c>
      <c r="R123" s="65">
        <v>15192</v>
      </c>
      <c r="S123" s="65">
        <v>20622</v>
      </c>
      <c r="T123" s="65">
        <v>28638</v>
      </c>
      <c r="U123" s="65">
        <v>22626</v>
      </c>
      <c r="V123" s="65">
        <f t="shared" si="5"/>
        <v>13835.75</v>
      </c>
      <c r="W123" s="72">
        <f t="shared" si="6"/>
        <v>16480.333333333332</v>
      </c>
    </row>
    <row r="124" spans="1:23" ht="27" customHeight="1">
      <c r="A124" s="10" t="s">
        <v>591</v>
      </c>
      <c r="B124" s="10" t="s">
        <v>369</v>
      </c>
      <c r="C124" s="10"/>
      <c r="D124" s="10" t="s">
        <v>368</v>
      </c>
      <c r="E124" s="10" t="s">
        <v>3098</v>
      </c>
      <c r="F124" s="10" t="s">
        <v>2611</v>
      </c>
      <c r="G124" s="10"/>
      <c r="H124" s="70">
        <v>4.95</v>
      </c>
      <c r="I124" s="70"/>
      <c r="J124" s="70">
        <v>3055</v>
      </c>
      <c r="K124" s="65">
        <v>5828</v>
      </c>
      <c r="L124" s="71">
        <v>1461</v>
      </c>
      <c r="M124" s="65">
        <v>8450</v>
      </c>
      <c r="N124" s="65">
        <v>8878</v>
      </c>
      <c r="O124" s="65">
        <v>15154</v>
      </c>
      <c r="P124" s="65">
        <v>5293</v>
      </c>
      <c r="Q124" s="65">
        <v>5800</v>
      </c>
      <c r="R124" s="65">
        <v>5438</v>
      </c>
      <c r="S124" s="65">
        <v>13426</v>
      </c>
      <c r="T124" s="65">
        <v>13264</v>
      </c>
      <c r="U124" s="65">
        <v>8346</v>
      </c>
      <c r="V124" s="65">
        <f t="shared" si="5"/>
        <v>6739.875</v>
      </c>
      <c r="W124" s="72">
        <f t="shared" si="6"/>
        <v>7866.083333333333</v>
      </c>
    </row>
    <row r="125" spans="1:23" ht="27" customHeight="1">
      <c r="A125" s="10" t="s">
        <v>596</v>
      </c>
      <c r="B125" s="10" t="s">
        <v>271</v>
      </c>
      <c r="C125" s="10"/>
      <c r="D125" s="10" t="s">
        <v>270</v>
      </c>
      <c r="E125" s="10" t="s">
        <v>3099</v>
      </c>
      <c r="F125" s="10" t="s">
        <v>2228</v>
      </c>
      <c r="G125" s="10"/>
      <c r="H125" s="70">
        <v>10</v>
      </c>
      <c r="I125" s="70"/>
      <c r="J125" s="70">
        <v>39000</v>
      </c>
      <c r="K125" s="65">
        <v>32908</v>
      </c>
      <c r="L125" s="71">
        <v>39787</v>
      </c>
      <c r="M125" s="65">
        <v>63051</v>
      </c>
      <c r="N125" s="65">
        <v>74140</v>
      </c>
      <c r="O125" s="65">
        <v>77678</v>
      </c>
      <c r="P125" s="65">
        <v>72384</v>
      </c>
      <c r="Q125" s="65">
        <v>68637</v>
      </c>
      <c r="R125" s="65">
        <v>70244</v>
      </c>
      <c r="S125" s="65">
        <v>80514</v>
      </c>
      <c r="T125" s="65">
        <v>81230.099999999991</v>
      </c>
      <c r="U125" s="65">
        <v>84304</v>
      </c>
      <c r="V125" s="65">
        <f t="shared" si="5"/>
        <v>58448.125</v>
      </c>
      <c r="W125" s="72">
        <f t="shared" si="6"/>
        <v>65323.091666666667</v>
      </c>
    </row>
    <row r="126" spans="1:23" ht="27" customHeight="1">
      <c r="A126" s="10" t="s">
        <v>474</v>
      </c>
      <c r="B126" s="69" t="s">
        <v>784</v>
      </c>
      <c r="C126" s="69"/>
      <c r="D126" s="69" t="s">
        <v>783</v>
      </c>
      <c r="E126" s="69" t="s">
        <v>3100</v>
      </c>
      <c r="F126" s="10" t="s">
        <v>2640</v>
      </c>
      <c r="G126" s="10"/>
      <c r="H126" s="380">
        <f>12.6+12.6</f>
        <v>25.2</v>
      </c>
      <c r="I126" s="380"/>
      <c r="J126" s="70">
        <v>3490.11</v>
      </c>
      <c r="K126" s="383">
        <v>0.24</v>
      </c>
      <c r="L126" s="382">
        <v>16196</v>
      </c>
      <c r="M126" s="65">
        <v>0</v>
      </c>
      <c r="N126" s="65">
        <v>46940</v>
      </c>
      <c r="O126" s="65">
        <v>39113</v>
      </c>
      <c r="P126" s="65">
        <v>31044</v>
      </c>
      <c r="Q126" s="65">
        <v>12268</v>
      </c>
      <c r="R126" s="65">
        <v>-3701</v>
      </c>
      <c r="S126" s="65">
        <v>55193</v>
      </c>
      <c r="T126" s="65">
        <v>65935</v>
      </c>
      <c r="U126" s="65">
        <v>15833</v>
      </c>
      <c r="V126" s="65">
        <f t="shared" si="5"/>
        <v>18631.418750000001</v>
      </c>
      <c r="W126" s="72">
        <f t="shared" si="6"/>
        <v>23525.945833333331</v>
      </c>
    </row>
    <row r="127" spans="1:23" ht="27" customHeight="1">
      <c r="A127" s="10" t="s">
        <v>474</v>
      </c>
      <c r="B127" s="10" t="s">
        <v>273</v>
      </c>
      <c r="C127" s="10"/>
      <c r="D127" s="10" t="s">
        <v>272</v>
      </c>
      <c r="E127" s="10" t="s">
        <v>3101</v>
      </c>
      <c r="F127" s="10" t="s">
        <v>2648</v>
      </c>
      <c r="G127" s="10"/>
      <c r="H127" s="70">
        <v>11.5</v>
      </c>
      <c r="I127" s="70"/>
      <c r="J127" s="70">
        <v>6540.07</v>
      </c>
      <c r="K127" s="65">
        <v>15517</v>
      </c>
      <c r="L127" s="71">
        <v>22130</v>
      </c>
      <c r="M127" s="65">
        <v>30522.199999999997</v>
      </c>
      <c r="N127" s="65">
        <v>20722.480000000003</v>
      </c>
      <c r="O127" s="65">
        <v>22725.480000000003</v>
      </c>
      <c r="P127" s="65">
        <v>52460</v>
      </c>
      <c r="Q127" s="65">
        <v>36680</v>
      </c>
      <c r="R127" s="65">
        <v>44649</v>
      </c>
      <c r="S127" s="65">
        <v>50871</v>
      </c>
      <c r="T127" s="65">
        <v>55946</v>
      </c>
      <c r="U127" s="65">
        <v>55484</v>
      </c>
      <c r="V127" s="65">
        <f t="shared" si="5"/>
        <v>25912.153750000001</v>
      </c>
      <c r="W127" s="72">
        <f t="shared" si="6"/>
        <v>34520.602500000001</v>
      </c>
    </row>
    <row r="128" spans="1:23" ht="27" customHeight="1">
      <c r="A128" s="10" t="s">
        <v>475</v>
      </c>
      <c r="B128" s="10" t="s">
        <v>275</v>
      </c>
      <c r="C128" s="10"/>
      <c r="D128" s="10" t="s">
        <v>274</v>
      </c>
      <c r="E128" s="10" t="s">
        <v>3102</v>
      </c>
      <c r="F128" s="10" t="s">
        <v>2473</v>
      </c>
      <c r="G128" s="10"/>
      <c r="H128" s="70">
        <v>24.8</v>
      </c>
      <c r="I128" s="70"/>
      <c r="J128" s="70">
        <v>79277</v>
      </c>
      <c r="K128" s="65">
        <v>101689</v>
      </c>
      <c r="L128" s="71">
        <v>61306</v>
      </c>
      <c r="M128" s="65">
        <v>161215</v>
      </c>
      <c r="N128" s="65">
        <v>203242</v>
      </c>
      <c r="O128" s="65">
        <v>48415.05</v>
      </c>
      <c r="P128" s="65">
        <v>51261.040000000008</v>
      </c>
      <c r="Q128" s="65">
        <v>44255</v>
      </c>
      <c r="R128" s="65">
        <v>102739</v>
      </c>
      <c r="S128" s="65">
        <v>100904</v>
      </c>
      <c r="T128" s="65">
        <v>98825</v>
      </c>
      <c r="U128" s="65">
        <v>120834</v>
      </c>
      <c r="V128" s="65">
        <f t="shared" si="5"/>
        <v>93832.51125000001</v>
      </c>
      <c r="W128" s="72">
        <f t="shared" si="6"/>
        <v>97830.174166666679</v>
      </c>
    </row>
    <row r="129" spans="1:23" ht="27" customHeight="1">
      <c r="A129" s="10" t="s">
        <v>474</v>
      </c>
      <c r="B129" s="10" t="s">
        <v>277</v>
      </c>
      <c r="C129" s="10"/>
      <c r="D129" s="10" t="s">
        <v>276</v>
      </c>
      <c r="E129" s="10" t="s">
        <v>3103</v>
      </c>
      <c r="F129" s="10" t="s">
        <v>2668</v>
      </c>
      <c r="G129" s="10"/>
      <c r="H129" s="70">
        <v>3</v>
      </c>
      <c r="I129" s="70"/>
      <c r="J129" s="70">
        <v>6200</v>
      </c>
      <c r="K129" s="65">
        <v>9984</v>
      </c>
      <c r="L129" s="71">
        <v>0</v>
      </c>
      <c r="M129" s="65">
        <v>14916</v>
      </c>
      <c r="N129" s="65">
        <v>17393</v>
      </c>
      <c r="O129" s="65">
        <v>16820</v>
      </c>
      <c r="P129" s="65">
        <v>11329</v>
      </c>
      <c r="Q129" s="65">
        <v>12877</v>
      </c>
      <c r="R129" s="65">
        <v>16050</v>
      </c>
      <c r="S129" s="65">
        <v>21422</v>
      </c>
      <c r="T129" s="65">
        <v>18551</v>
      </c>
      <c r="U129" s="65">
        <v>17840</v>
      </c>
      <c r="V129" s="65">
        <f t="shared" si="5"/>
        <v>11189.875</v>
      </c>
      <c r="W129" s="72">
        <f t="shared" si="6"/>
        <v>13615.166666666666</v>
      </c>
    </row>
    <row r="130" spans="1:23" ht="27" customHeight="1">
      <c r="A130" s="10"/>
      <c r="B130" s="10" t="s">
        <v>2229</v>
      </c>
      <c r="C130" s="10"/>
      <c r="D130" s="10" t="s">
        <v>3263</v>
      </c>
      <c r="E130" s="10" t="s">
        <v>2233</v>
      </c>
      <c r="F130" s="10" t="s">
        <v>2232</v>
      </c>
      <c r="G130" s="10">
        <v>56239</v>
      </c>
      <c r="H130" s="70">
        <v>1</v>
      </c>
      <c r="I130" s="70" t="s">
        <v>2946</v>
      </c>
      <c r="J130" s="70">
        <v>0</v>
      </c>
      <c r="K130" s="65">
        <v>16.972999999999999</v>
      </c>
      <c r="L130" s="71"/>
      <c r="M130" s="65"/>
      <c r="N130" s="65"/>
      <c r="O130" s="65"/>
      <c r="P130" s="65"/>
      <c r="Q130" s="65"/>
      <c r="R130" s="65"/>
      <c r="S130" s="65"/>
      <c r="T130" s="65"/>
      <c r="U130" s="65"/>
      <c r="V130" s="65">
        <f t="shared" si="5"/>
        <v>8.4864999999999995</v>
      </c>
      <c r="W130" s="72">
        <f t="shared" si="6"/>
        <v>8.4864999999999995</v>
      </c>
    </row>
    <row r="131" spans="1:23" ht="27" customHeight="1">
      <c r="A131" s="69" t="s">
        <v>1183</v>
      </c>
      <c r="B131" s="69" t="s">
        <v>1185</v>
      </c>
      <c r="C131" s="69"/>
      <c r="D131" s="10" t="s">
        <v>1184</v>
      </c>
      <c r="E131" s="10" t="s">
        <v>3104</v>
      </c>
      <c r="F131" s="69"/>
      <c r="G131" s="69"/>
      <c r="H131" s="70">
        <v>118.2</v>
      </c>
      <c r="I131" s="70"/>
      <c r="J131" s="70">
        <v>85802</v>
      </c>
      <c r="K131" s="65">
        <v>312936</v>
      </c>
      <c r="L131" s="71">
        <v>435446</v>
      </c>
      <c r="M131" s="65">
        <v>396619</v>
      </c>
      <c r="N131" s="65">
        <v>673129</v>
      </c>
      <c r="O131" s="65">
        <v>557408</v>
      </c>
      <c r="P131" s="65">
        <v>439296</v>
      </c>
      <c r="Q131" s="65">
        <v>465355</v>
      </c>
      <c r="R131" s="139">
        <v>402260</v>
      </c>
      <c r="S131" s="139">
        <v>675767</v>
      </c>
      <c r="T131" s="139">
        <v>667129</v>
      </c>
      <c r="U131" s="139">
        <v>569794</v>
      </c>
      <c r="V131" s="65">
        <f t="shared" si="5"/>
        <v>420748.875</v>
      </c>
      <c r="W131" s="72">
        <f t="shared" si="6"/>
        <v>473411.75</v>
      </c>
    </row>
    <row r="132" spans="1:23" ht="27" customHeight="1">
      <c r="A132" s="10" t="s">
        <v>592</v>
      </c>
      <c r="B132" s="10" t="s">
        <v>279</v>
      </c>
      <c r="C132" s="10"/>
      <c r="D132" s="10" t="s">
        <v>278</v>
      </c>
      <c r="E132" s="10" t="s">
        <v>2075</v>
      </c>
      <c r="F132" s="10" t="s">
        <v>5184</v>
      </c>
      <c r="G132" s="10"/>
      <c r="H132" s="70">
        <v>4.2</v>
      </c>
      <c r="I132" s="70"/>
      <c r="J132" s="70">
        <v>7560</v>
      </c>
      <c r="K132" s="65">
        <v>7656</v>
      </c>
      <c r="L132" s="71">
        <v>9502</v>
      </c>
      <c r="M132" s="65">
        <v>15050.1</v>
      </c>
      <c r="N132" s="65">
        <v>35849</v>
      </c>
      <c r="O132" s="65">
        <v>23250</v>
      </c>
      <c r="P132" s="65">
        <v>9384</v>
      </c>
      <c r="Q132" s="65">
        <v>10025</v>
      </c>
      <c r="R132" s="65">
        <v>15622</v>
      </c>
      <c r="S132" s="65">
        <v>34546</v>
      </c>
      <c r="T132" s="65">
        <v>30325</v>
      </c>
      <c r="U132" s="65">
        <v>15406</v>
      </c>
      <c r="V132" s="65">
        <f t="shared" ref="V132:V195" si="7">AVERAGE(J132:Q132)</f>
        <v>14784.512500000001</v>
      </c>
      <c r="W132" s="72">
        <f t="shared" si="6"/>
        <v>17847.924999999999</v>
      </c>
    </row>
    <row r="133" spans="1:23" ht="27" customHeight="1">
      <c r="A133" s="10" t="s">
        <v>597</v>
      </c>
      <c r="B133" s="10" t="s">
        <v>283</v>
      </c>
      <c r="C133" s="10"/>
      <c r="D133" s="10" t="s">
        <v>282</v>
      </c>
      <c r="E133" s="10" t="s">
        <v>2080</v>
      </c>
      <c r="F133" s="10"/>
      <c r="G133" s="10"/>
      <c r="H133" s="70">
        <v>3.5</v>
      </c>
      <c r="I133" s="70"/>
      <c r="J133" s="70">
        <v>0.01</v>
      </c>
      <c r="K133" s="65">
        <v>5007</v>
      </c>
      <c r="L133" s="71">
        <v>1693</v>
      </c>
      <c r="M133" s="65">
        <v>1693</v>
      </c>
      <c r="N133" s="65">
        <v>10198</v>
      </c>
      <c r="O133" s="65">
        <v>4477</v>
      </c>
      <c r="P133" s="65">
        <v>5498</v>
      </c>
      <c r="Q133" s="65">
        <v>8913</v>
      </c>
      <c r="R133" s="65">
        <v>3251</v>
      </c>
      <c r="S133" s="65" t="s">
        <v>115</v>
      </c>
      <c r="T133" s="65" t="s">
        <v>115</v>
      </c>
      <c r="U133" s="65" t="s">
        <v>115</v>
      </c>
      <c r="V133" s="65">
        <f t="shared" si="7"/>
        <v>4684.8762500000003</v>
      </c>
      <c r="W133" s="72">
        <f t="shared" si="6"/>
        <v>4525.5566666666673</v>
      </c>
    </row>
    <row r="134" spans="1:23" ht="27" customHeight="1">
      <c r="A134" s="10"/>
      <c r="B134" s="10" t="s">
        <v>2239</v>
      </c>
      <c r="C134" s="10"/>
      <c r="D134" s="10" t="s">
        <v>3264</v>
      </c>
      <c r="E134" s="10" t="s">
        <v>2240</v>
      </c>
      <c r="F134" s="10"/>
      <c r="G134" s="10"/>
      <c r="H134" s="70">
        <v>0.99</v>
      </c>
      <c r="I134" s="70" t="s">
        <v>2946</v>
      </c>
      <c r="J134" s="70">
        <v>2508.7939154278201</v>
      </c>
      <c r="K134" s="65">
        <v>2481.9430000000002</v>
      </c>
      <c r="L134" s="71"/>
      <c r="M134" s="65"/>
      <c r="N134" s="65"/>
      <c r="O134" s="65"/>
      <c r="P134" s="65"/>
      <c r="Q134" s="65"/>
      <c r="R134" s="65"/>
      <c r="S134" s="65"/>
      <c r="T134" s="65"/>
      <c r="U134" s="65"/>
      <c r="V134" s="65">
        <f t="shared" si="7"/>
        <v>2495.3684577139102</v>
      </c>
      <c r="W134" s="72">
        <f t="shared" si="6"/>
        <v>2495.3684577139102</v>
      </c>
    </row>
    <row r="135" spans="1:23" ht="27" customHeight="1">
      <c r="A135" s="10" t="s">
        <v>576</v>
      </c>
      <c r="B135" s="10" t="s">
        <v>287</v>
      </c>
      <c r="C135" s="10"/>
      <c r="D135" s="10" t="s">
        <v>286</v>
      </c>
      <c r="E135" s="10" t="s">
        <v>3105</v>
      </c>
      <c r="F135" s="10" t="s">
        <v>5149</v>
      </c>
      <c r="G135" s="10"/>
      <c r="H135" s="70">
        <v>0.35</v>
      </c>
      <c r="I135" s="70"/>
      <c r="J135" s="70">
        <v>0.01</v>
      </c>
      <c r="K135" s="65">
        <v>40</v>
      </c>
      <c r="L135" s="71">
        <v>3</v>
      </c>
      <c r="M135" s="65">
        <v>1982</v>
      </c>
      <c r="N135" s="65">
        <v>3353</v>
      </c>
      <c r="O135" s="65">
        <v>3247</v>
      </c>
      <c r="P135" s="65">
        <v>1923.2080000000001</v>
      </c>
      <c r="Q135" s="65">
        <v>3287</v>
      </c>
      <c r="R135" s="65">
        <v>2671</v>
      </c>
      <c r="S135" s="65">
        <v>3188</v>
      </c>
      <c r="T135" s="65">
        <v>2733</v>
      </c>
      <c r="U135" s="65">
        <v>0</v>
      </c>
      <c r="V135" s="65">
        <f t="shared" si="7"/>
        <v>1729.4022500000001</v>
      </c>
      <c r="W135" s="72">
        <f t="shared" si="6"/>
        <v>1868.9348333333335</v>
      </c>
    </row>
    <row r="136" spans="1:23" ht="27" customHeight="1">
      <c r="A136" s="10" t="s">
        <v>474</v>
      </c>
      <c r="B136" s="10" t="s">
        <v>289</v>
      </c>
      <c r="C136" s="10"/>
      <c r="D136" s="10" t="s">
        <v>288</v>
      </c>
      <c r="E136" s="10" t="s">
        <v>3106</v>
      </c>
      <c r="F136" s="10" t="s">
        <v>2672</v>
      </c>
      <c r="G136" s="10"/>
      <c r="H136" s="70">
        <v>2</v>
      </c>
      <c r="I136" s="70"/>
      <c r="J136" s="70">
        <v>1745</v>
      </c>
      <c r="K136" s="65">
        <v>4225</v>
      </c>
      <c r="L136" s="71">
        <v>5496</v>
      </c>
      <c r="M136" s="65">
        <v>4455</v>
      </c>
      <c r="N136" s="65">
        <v>5875</v>
      </c>
      <c r="O136" s="65">
        <v>4913</v>
      </c>
      <c r="P136" s="65">
        <v>5039</v>
      </c>
      <c r="Q136" s="65">
        <v>4809</v>
      </c>
      <c r="R136" s="65">
        <v>5287</v>
      </c>
      <c r="S136" s="65">
        <v>6258</v>
      </c>
      <c r="T136" s="65">
        <v>5442</v>
      </c>
      <c r="U136" s="65">
        <v>5916</v>
      </c>
      <c r="V136" s="65">
        <f t="shared" si="7"/>
        <v>4569.625</v>
      </c>
      <c r="W136" s="72">
        <f t="shared" si="6"/>
        <v>4955</v>
      </c>
    </row>
    <row r="137" spans="1:23" ht="27" customHeight="1">
      <c r="A137" s="10" t="s">
        <v>589</v>
      </c>
      <c r="B137" s="10" t="s">
        <v>4861</v>
      </c>
      <c r="C137" s="10"/>
      <c r="D137" s="10"/>
      <c r="E137" s="10" t="s">
        <v>4863</v>
      </c>
      <c r="F137" s="10" t="s">
        <v>4862</v>
      </c>
      <c r="G137" s="10"/>
      <c r="H137" s="70">
        <v>0.32</v>
      </c>
      <c r="I137" s="70" t="s">
        <v>2946</v>
      </c>
      <c r="J137" s="70">
        <v>139.67599999999999</v>
      </c>
      <c r="K137" s="65"/>
      <c r="L137" s="71"/>
      <c r="M137" s="65"/>
      <c r="N137" s="65"/>
      <c r="O137" s="65"/>
      <c r="P137" s="65"/>
      <c r="Q137" s="65"/>
      <c r="R137" s="65"/>
      <c r="S137" s="65"/>
      <c r="T137" s="65"/>
      <c r="U137" s="65"/>
      <c r="V137" s="65">
        <f t="shared" si="7"/>
        <v>139.67599999999999</v>
      </c>
      <c r="W137" s="72">
        <f t="shared" si="6"/>
        <v>139.67599999999999</v>
      </c>
    </row>
    <row r="138" spans="1:23" ht="27" customHeight="1">
      <c r="A138" s="10"/>
      <c r="B138" s="10" t="s">
        <v>4864</v>
      </c>
      <c r="C138" s="10"/>
      <c r="D138" s="10"/>
      <c r="E138" s="10" t="s">
        <v>4866</v>
      </c>
      <c r="F138" s="10" t="s">
        <v>4865</v>
      </c>
      <c r="G138" s="10"/>
      <c r="H138" s="70"/>
      <c r="I138" s="70"/>
      <c r="J138" s="70">
        <v>0</v>
      </c>
      <c r="K138" s="65"/>
      <c r="L138" s="71"/>
      <c r="M138" s="65"/>
      <c r="N138" s="65"/>
      <c r="O138" s="65"/>
      <c r="P138" s="65"/>
      <c r="Q138" s="65"/>
      <c r="R138" s="65"/>
      <c r="S138" s="65"/>
      <c r="T138" s="65"/>
      <c r="U138" s="65"/>
      <c r="V138" s="65">
        <f t="shared" si="7"/>
        <v>0</v>
      </c>
      <c r="W138" s="72">
        <f t="shared" si="6"/>
        <v>0</v>
      </c>
    </row>
    <row r="139" spans="1:23" ht="27" customHeight="1">
      <c r="A139" s="10" t="s">
        <v>2147</v>
      </c>
      <c r="B139" s="10" t="s">
        <v>557</v>
      </c>
      <c r="C139" s="10"/>
      <c r="D139" s="10" t="s">
        <v>249</v>
      </c>
      <c r="E139" s="10" t="s">
        <v>2243</v>
      </c>
      <c r="F139" s="10" t="s">
        <v>2241</v>
      </c>
      <c r="G139" s="10"/>
      <c r="H139" s="70">
        <v>1.1000000000000001</v>
      </c>
      <c r="I139" s="70"/>
      <c r="J139" s="70">
        <v>4285</v>
      </c>
      <c r="K139" s="65">
        <v>4773</v>
      </c>
      <c r="L139" s="71">
        <v>4894</v>
      </c>
      <c r="M139" s="65">
        <v>4559</v>
      </c>
      <c r="N139" s="65">
        <v>4826</v>
      </c>
      <c r="O139" s="65">
        <v>4646</v>
      </c>
      <c r="P139" s="65">
        <v>5262</v>
      </c>
      <c r="Q139" s="65">
        <v>5975</v>
      </c>
      <c r="R139" s="65">
        <v>6355</v>
      </c>
      <c r="S139" s="65">
        <v>6512</v>
      </c>
      <c r="T139" s="65">
        <v>5650</v>
      </c>
      <c r="U139" s="65">
        <v>5727</v>
      </c>
      <c r="V139" s="65">
        <f t="shared" si="7"/>
        <v>4902.5</v>
      </c>
      <c r="W139" s="72">
        <f t="shared" si="6"/>
        <v>5288.666666666667</v>
      </c>
    </row>
    <row r="140" spans="1:23" ht="27" customHeight="1">
      <c r="A140" s="10" t="s">
        <v>2148</v>
      </c>
      <c r="B140" s="10" t="s">
        <v>2184</v>
      </c>
      <c r="C140" s="10"/>
      <c r="D140" s="10" t="s">
        <v>3265</v>
      </c>
      <c r="E140" s="10" t="s">
        <v>2244</v>
      </c>
      <c r="F140" s="10" t="s">
        <v>2242</v>
      </c>
      <c r="G140" s="10"/>
      <c r="H140" s="70">
        <v>0.5</v>
      </c>
      <c r="I140" s="70" t="s">
        <v>2946</v>
      </c>
      <c r="J140" s="70">
        <v>2175.8130000000001</v>
      </c>
      <c r="K140" s="65">
        <v>2302.835</v>
      </c>
      <c r="L140" s="71"/>
      <c r="M140" s="65"/>
      <c r="N140" s="65"/>
      <c r="O140" s="65"/>
      <c r="P140" s="65"/>
      <c r="Q140" s="65"/>
      <c r="R140" s="65"/>
      <c r="S140" s="65"/>
      <c r="T140" s="65"/>
      <c r="U140" s="65"/>
      <c r="V140" s="65">
        <f t="shared" si="7"/>
        <v>2239.3240000000001</v>
      </c>
      <c r="W140" s="72">
        <f t="shared" si="6"/>
        <v>2239.3240000000001</v>
      </c>
    </row>
    <row r="141" spans="1:23" ht="27" customHeight="1">
      <c r="A141" s="10" t="s">
        <v>475</v>
      </c>
      <c r="B141" s="10" t="s">
        <v>291</v>
      </c>
      <c r="C141" s="10"/>
      <c r="D141" s="10" t="s">
        <v>290</v>
      </c>
      <c r="E141" s="10" t="s">
        <v>3107</v>
      </c>
      <c r="F141" s="10" t="s">
        <v>2485</v>
      </c>
      <c r="G141" s="10"/>
      <c r="H141" s="70">
        <v>3</v>
      </c>
      <c r="I141" s="70"/>
      <c r="J141" s="70">
        <v>4285</v>
      </c>
      <c r="K141" s="65">
        <v>4324</v>
      </c>
      <c r="L141" s="71">
        <v>4838</v>
      </c>
      <c r="M141" s="65">
        <v>2230</v>
      </c>
      <c r="N141" s="65">
        <v>13051</v>
      </c>
      <c r="O141" s="65">
        <v>9190</v>
      </c>
      <c r="P141" s="65">
        <v>3642</v>
      </c>
      <c r="Q141" s="65">
        <v>4894</v>
      </c>
      <c r="R141" s="65">
        <v>4417</v>
      </c>
      <c r="S141" s="65">
        <v>13458</v>
      </c>
      <c r="T141" s="65">
        <v>12669</v>
      </c>
      <c r="U141" s="65">
        <v>8684</v>
      </c>
      <c r="V141" s="65">
        <f t="shared" si="7"/>
        <v>5806.75</v>
      </c>
      <c r="W141" s="72">
        <f t="shared" si="6"/>
        <v>7140.166666666667</v>
      </c>
    </row>
    <row r="142" spans="1:23" ht="27" customHeight="1">
      <c r="A142" s="10" t="s">
        <v>475</v>
      </c>
      <c r="B142" s="10" t="s">
        <v>293</v>
      </c>
      <c r="C142" s="10"/>
      <c r="D142" s="10" t="s">
        <v>292</v>
      </c>
      <c r="E142" s="10" t="s">
        <v>3108</v>
      </c>
      <c r="F142" s="10" t="s">
        <v>2486</v>
      </c>
      <c r="G142" s="10"/>
      <c r="H142" s="70">
        <v>0.5</v>
      </c>
      <c r="I142" s="70"/>
      <c r="J142" s="70">
        <v>619</v>
      </c>
      <c r="K142" s="65">
        <v>576</v>
      </c>
      <c r="L142" s="71">
        <v>1217</v>
      </c>
      <c r="M142" s="65">
        <v>2665</v>
      </c>
      <c r="N142" s="65">
        <v>2967</v>
      </c>
      <c r="O142" s="65">
        <v>3206</v>
      </c>
      <c r="P142" s="65">
        <v>2387</v>
      </c>
      <c r="Q142" s="65">
        <v>3080</v>
      </c>
      <c r="R142" s="65">
        <v>2510</v>
      </c>
      <c r="S142" s="65">
        <v>3269</v>
      </c>
      <c r="T142" s="65">
        <v>1802</v>
      </c>
      <c r="U142" s="65">
        <v>1622</v>
      </c>
      <c r="V142" s="65">
        <f t="shared" si="7"/>
        <v>2089.625</v>
      </c>
      <c r="W142" s="72">
        <f t="shared" si="6"/>
        <v>2160</v>
      </c>
    </row>
    <row r="143" spans="1:23" ht="27" customHeight="1">
      <c r="A143" s="10" t="s">
        <v>599</v>
      </c>
      <c r="B143" s="10" t="s">
        <v>295</v>
      </c>
      <c r="C143" s="10"/>
      <c r="D143" s="10" t="s">
        <v>294</v>
      </c>
      <c r="E143" s="10" t="s">
        <v>3166</v>
      </c>
      <c r="F143" s="10" t="s">
        <v>4895</v>
      </c>
      <c r="G143" s="10"/>
      <c r="H143" s="70">
        <v>3.71</v>
      </c>
      <c r="I143" s="70"/>
      <c r="J143" s="70">
        <v>0.01</v>
      </c>
      <c r="K143" s="65">
        <v>2</v>
      </c>
      <c r="L143" s="71">
        <v>2986</v>
      </c>
      <c r="M143" s="65">
        <v>5186</v>
      </c>
      <c r="N143" s="65">
        <v>10966</v>
      </c>
      <c r="O143" s="65">
        <v>11704</v>
      </c>
      <c r="P143" s="65">
        <v>9021</v>
      </c>
      <c r="Q143" s="65">
        <v>6650</v>
      </c>
      <c r="R143" s="65">
        <v>5081</v>
      </c>
      <c r="S143" s="65">
        <v>12300</v>
      </c>
      <c r="T143" s="65">
        <v>11734</v>
      </c>
      <c r="U143" s="65">
        <v>6505</v>
      </c>
      <c r="V143" s="65">
        <f t="shared" si="7"/>
        <v>5814.3762500000003</v>
      </c>
      <c r="W143" s="72">
        <f t="shared" si="6"/>
        <v>6844.5841666666674</v>
      </c>
    </row>
    <row r="144" spans="1:23" ht="27" customHeight="1">
      <c r="A144" s="10"/>
      <c r="B144" s="10" t="s">
        <v>4867</v>
      </c>
      <c r="C144" s="10"/>
      <c r="D144" s="10"/>
      <c r="E144" s="10" t="s">
        <v>3119</v>
      </c>
      <c r="F144" s="10" t="s">
        <v>2245</v>
      </c>
      <c r="G144" s="10"/>
      <c r="H144" s="70"/>
      <c r="I144" s="70"/>
      <c r="J144" s="70">
        <v>0</v>
      </c>
      <c r="K144" s="65"/>
      <c r="L144" s="71"/>
      <c r="M144" s="65"/>
      <c r="N144" s="65"/>
      <c r="O144" s="65"/>
      <c r="P144" s="65"/>
      <c r="Q144" s="65"/>
      <c r="R144" s="65"/>
      <c r="S144" s="65"/>
      <c r="T144" s="65"/>
      <c r="U144" s="65"/>
      <c r="V144" s="65">
        <f t="shared" si="7"/>
        <v>0</v>
      </c>
      <c r="W144" s="72">
        <f t="shared" si="6"/>
        <v>0</v>
      </c>
    </row>
    <row r="145" spans="1:23" ht="27" customHeight="1">
      <c r="A145" s="10" t="s">
        <v>475</v>
      </c>
      <c r="B145" s="10" t="s">
        <v>2491</v>
      </c>
      <c r="C145" s="10"/>
      <c r="D145" s="10" t="s">
        <v>3266</v>
      </c>
      <c r="E145" s="10" t="s">
        <v>3207</v>
      </c>
      <c r="F145" s="10" t="s">
        <v>2492</v>
      </c>
      <c r="G145" s="10"/>
      <c r="H145" s="70">
        <v>0.9</v>
      </c>
      <c r="I145" s="70" t="s">
        <v>2946</v>
      </c>
      <c r="J145" s="70">
        <v>666.96</v>
      </c>
      <c r="K145" s="65">
        <v>640.69200000000001</v>
      </c>
      <c r="L145" s="71"/>
      <c r="M145" s="65"/>
      <c r="N145" s="65"/>
      <c r="O145" s="65"/>
      <c r="P145" s="65"/>
      <c r="Q145" s="65"/>
      <c r="R145" s="65"/>
      <c r="S145" s="65"/>
      <c r="T145" s="65"/>
      <c r="U145" s="65"/>
      <c r="V145" s="65">
        <f t="shared" si="7"/>
        <v>653.82600000000002</v>
      </c>
      <c r="W145" s="72">
        <f t="shared" si="6"/>
        <v>653.82600000000002</v>
      </c>
    </row>
    <row r="146" spans="1:23" ht="27" customHeight="1">
      <c r="A146" s="10" t="s">
        <v>575</v>
      </c>
      <c r="B146" s="10" t="s">
        <v>299</v>
      </c>
      <c r="C146" s="10"/>
      <c r="D146" s="10" t="s">
        <v>298</v>
      </c>
      <c r="E146" s="10" t="s">
        <v>3109</v>
      </c>
      <c r="F146" s="10"/>
      <c r="G146" s="10"/>
      <c r="H146" s="70">
        <v>9</v>
      </c>
      <c r="I146" s="70"/>
      <c r="J146" s="70">
        <v>905</v>
      </c>
      <c r="K146" s="65">
        <v>10985</v>
      </c>
      <c r="L146" s="71">
        <v>19973</v>
      </c>
      <c r="M146" s="65">
        <v>24798</v>
      </c>
      <c r="N146" s="65">
        <v>54221</v>
      </c>
      <c r="O146" s="65">
        <v>32500</v>
      </c>
      <c r="P146" s="65">
        <v>105396</v>
      </c>
      <c r="Q146" s="65">
        <v>20250</v>
      </c>
      <c r="R146" s="65">
        <v>28664</v>
      </c>
      <c r="S146" s="65">
        <v>50979</v>
      </c>
      <c r="T146" s="65">
        <v>41232</v>
      </c>
      <c r="U146" s="65">
        <v>26132</v>
      </c>
      <c r="V146" s="65">
        <f t="shared" si="7"/>
        <v>33628.5</v>
      </c>
      <c r="W146" s="72">
        <f t="shared" si="6"/>
        <v>34669.583333333336</v>
      </c>
    </row>
    <row r="147" spans="1:23" ht="27" customHeight="1">
      <c r="A147" s="10" t="s">
        <v>5507</v>
      </c>
      <c r="B147" s="69" t="s">
        <v>5508</v>
      </c>
      <c r="C147" s="69"/>
      <c r="D147" s="69" t="s">
        <v>793</v>
      </c>
      <c r="E147" s="69" t="s">
        <v>3110</v>
      </c>
      <c r="F147" s="10"/>
      <c r="G147" s="10"/>
      <c r="H147" s="380">
        <v>0.9</v>
      </c>
      <c r="I147" s="380" t="s">
        <v>2946</v>
      </c>
      <c r="J147" s="70">
        <v>1502.42967</v>
      </c>
      <c r="K147" s="381">
        <v>2183.8000000000002</v>
      </c>
      <c r="L147" s="382">
        <v>3000</v>
      </c>
      <c r="M147" s="382">
        <v>3000</v>
      </c>
      <c r="N147" s="382">
        <v>3000</v>
      </c>
      <c r="O147" s="382">
        <v>3000</v>
      </c>
      <c r="P147" s="382">
        <v>3000</v>
      </c>
      <c r="Q147" s="382">
        <v>3000</v>
      </c>
      <c r="R147" s="382">
        <v>3000</v>
      </c>
      <c r="S147" s="382">
        <v>3000</v>
      </c>
      <c r="T147" s="382">
        <v>3000</v>
      </c>
      <c r="U147" s="382">
        <v>3000</v>
      </c>
      <c r="V147" s="65">
        <f t="shared" si="7"/>
        <v>2710.7787087500001</v>
      </c>
      <c r="W147" s="72">
        <f t="shared" si="6"/>
        <v>2807.1858058333332</v>
      </c>
    </row>
    <row r="148" spans="1:23" ht="27" customHeight="1">
      <c r="A148" s="10" t="s">
        <v>474</v>
      </c>
      <c r="B148" s="10" t="s">
        <v>307</v>
      </c>
      <c r="C148" s="10"/>
      <c r="D148" s="10" t="s">
        <v>306</v>
      </c>
      <c r="E148" s="10" t="s">
        <v>3111</v>
      </c>
      <c r="F148" s="10" t="s">
        <v>2667</v>
      </c>
      <c r="G148" s="10"/>
      <c r="H148" s="70">
        <v>9.99</v>
      </c>
      <c r="I148" s="70"/>
      <c r="J148" s="70">
        <v>0</v>
      </c>
      <c r="K148" s="65">
        <v>3726</v>
      </c>
      <c r="L148" s="71">
        <v>7140</v>
      </c>
      <c r="M148" s="65">
        <v>10249</v>
      </c>
      <c r="N148" s="65">
        <v>16721</v>
      </c>
      <c r="O148" s="65">
        <v>12495</v>
      </c>
      <c r="P148" s="65">
        <v>10890</v>
      </c>
      <c r="Q148" s="65">
        <v>8926</v>
      </c>
      <c r="R148" s="65">
        <v>11388</v>
      </c>
      <c r="S148" s="65">
        <v>14337</v>
      </c>
      <c r="T148" s="65">
        <v>13879</v>
      </c>
      <c r="U148" s="65">
        <v>11356</v>
      </c>
      <c r="V148" s="65">
        <f t="shared" si="7"/>
        <v>8768.375</v>
      </c>
      <c r="W148" s="72">
        <f t="shared" si="6"/>
        <v>10092.25</v>
      </c>
    </row>
    <row r="149" spans="1:23" ht="27" customHeight="1">
      <c r="A149" s="10" t="s">
        <v>575</v>
      </c>
      <c r="B149" s="10" t="s">
        <v>309</v>
      </c>
      <c r="C149" s="10"/>
      <c r="D149" s="10" t="s">
        <v>308</v>
      </c>
      <c r="E149" s="10" t="s">
        <v>3112</v>
      </c>
      <c r="F149" s="10"/>
      <c r="G149" s="10"/>
      <c r="H149" s="70">
        <v>2.7</v>
      </c>
      <c r="I149" s="70"/>
      <c r="J149" s="70">
        <v>0</v>
      </c>
      <c r="K149" s="65">
        <v>3047</v>
      </c>
      <c r="L149" s="71">
        <v>5597</v>
      </c>
      <c r="M149" s="65">
        <v>6667</v>
      </c>
      <c r="N149" s="65">
        <v>7908</v>
      </c>
      <c r="O149" s="65">
        <v>5293</v>
      </c>
      <c r="P149" s="65">
        <v>5816</v>
      </c>
      <c r="Q149" s="65">
        <v>4580</v>
      </c>
      <c r="R149" s="65">
        <v>6323</v>
      </c>
      <c r="S149" s="65">
        <v>6966</v>
      </c>
      <c r="T149" s="65">
        <v>6485</v>
      </c>
      <c r="U149" s="65">
        <v>6577</v>
      </c>
      <c r="V149" s="65">
        <f t="shared" si="7"/>
        <v>4863.5</v>
      </c>
      <c r="W149" s="72">
        <f t="shared" si="6"/>
        <v>5438.25</v>
      </c>
    </row>
    <row r="150" spans="1:23" ht="27" customHeight="1">
      <c r="A150" s="10" t="s">
        <v>480</v>
      </c>
      <c r="B150" s="10" t="s">
        <v>559</v>
      </c>
      <c r="C150" s="10"/>
      <c r="D150" s="10" t="s">
        <v>558</v>
      </c>
      <c r="E150" s="10" t="s">
        <v>3113</v>
      </c>
      <c r="F150" s="10"/>
      <c r="G150" s="10"/>
      <c r="H150" s="70">
        <v>37.5</v>
      </c>
      <c r="I150" s="70"/>
      <c r="J150" s="70">
        <v>278</v>
      </c>
      <c r="K150" s="65">
        <v>22147.1</v>
      </c>
      <c r="L150" s="71">
        <v>37344</v>
      </c>
      <c r="M150" s="65">
        <v>79440</v>
      </c>
      <c r="N150" s="65">
        <v>99135</v>
      </c>
      <c r="O150" s="65">
        <v>101499</v>
      </c>
      <c r="P150" s="65">
        <v>52094</v>
      </c>
      <c r="Q150" s="65">
        <v>69943</v>
      </c>
      <c r="R150" s="65">
        <v>68683</v>
      </c>
      <c r="S150" s="65">
        <v>139861</v>
      </c>
      <c r="T150" s="65">
        <v>112774</v>
      </c>
      <c r="U150" s="65">
        <v>52163</v>
      </c>
      <c r="V150" s="65">
        <f t="shared" si="7"/>
        <v>57735.012499999997</v>
      </c>
      <c r="W150" s="72">
        <f t="shared" si="6"/>
        <v>69613.425000000003</v>
      </c>
    </row>
    <row r="151" spans="1:23" ht="27" customHeight="1">
      <c r="A151" s="10"/>
      <c r="B151" s="69" t="s">
        <v>2570</v>
      </c>
      <c r="C151" s="69"/>
      <c r="D151" s="69" t="s">
        <v>3249</v>
      </c>
      <c r="E151" s="69" t="s">
        <v>3116</v>
      </c>
      <c r="F151" s="10" t="s">
        <v>2623</v>
      </c>
      <c r="G151" s="10"/>
      <c r="H151" s="384">
        <v>0.995</v>
      </c>
      <c r="I151" s="380" t="s">
        <v>2946</v>
      </c>
      <c r="J151" s="70">
        <v>631.41683999999998</v>
      </c>
      <c r="K151" s="381">
        <v>1214.2619999999999</v>
      </c>
      <c r="L151" s="382"/>
      <c r="M151" s="65"/>
      <c r="N151" s="65"/>
      <c r="O151" s="65"/>
      <c r="P151" s="65"/>
      <c r="Q151" s="65"/>
      <c r="R151" s="65"/>
      <c r="S151" s="65"/>
      <c r="T151" s="65"/>
      <c r="U151" s="65"/>
      <c r="V151" s="65">
        <f t="shared" si="7"/>
        <v>922.83942000000002</v>
      </c>
      <c r="W151" s="72">
        <f t="shared" si="6"/>
        <v>922.83942000000002</v>
      </c>
    </row>
    <row r="152" spans="1:23" ht="27" customHeight="1">
      <c r="A152" s="10" t="s">
        <v>475</v>
      </c>
      <c r="B152" s="10" t="s">
        <v>311</v>
      </c>
      <c r="C152" s="10"/>
      <c r="D152" s="10" t="s">
        <v>310</v>
      </c>
      <c r="E152" s="10" t="s">
        <v>3114</v>
      </c>
      <c r="F152" s="10" t="s">
        <v>2495</v>
      </c>
      <c r="G152" s="10"/>
      <c r="H152" s="70">
        <v>0.8</v>
      </c>
      <c r="I152" s="70"/>
      <c r="J152" s="70">
        <v>1585</v>
      </c>
      <c r="K152" s="65">
        <v>1950</v>
      </c>
      <c r="L152" s="71">
        <v>2908</v>
      </c>
      <c r="M152" s="65">
        <v>4199</v>
      </c>
      <c r="N152" s="65">
        <v>5116</v>
      </c>
      <c r="O152" s="65">
        <v>973</v>
      </c>
      <c r="P152" s="65">
        <v>0</v>
      </c>
      <c r="Q152" s="65">
        <v>1900</v>
      </c>
      <c r="R152" s="65">
        <v>3102</v>
      </c>
      <c r="S152" s="65">
        <v>5721</v>
      </c>
      <c r="T152" s="65">
        <v>4726</v>
      </c>
      <c r="U152" s="65">
        <v>3883</v>
      </c>
      <c r="V152" s="65">
        <f t="shared" si="7"/>
        <v>2328.875</v>
      </c>
      <c r="W152" s="72">
        <f t="shared" si="6"/>
        <v>3005.25</v>
      </c>
    </row>
    <row r="153" spans="1:23" ht="26.25" customHeight="1">
      <c r="A153" s="10" t="s">
        <v>475</v>
      </c>
      <c r="B153" s="10" t="s">
        <v>313</v>
      </c>
      <c r="C153" s="10"/>
      <c r="D153" s="10" t="s">
        <v>312</v>
      </c>
      <c r="E153" s="10"/>
      <c r="F153" s="10"/>
      <c r="G153" s="10"/>
      <c r="H153" s="70">
        <v>0.25</v>
      </c>
      <c r="I153" s="70"/>
      <c r="J153" s="70">
        <v>382</v>
      </c>
      <c r="K153" s="65">
        <v>377</v>
      </c>
      <c r="L153" s="71">
        <v>387</v>
      </c>
      <c r="M153" s="65">
        <v>352</v>
      </c>
      <c r="N153" s="65">
        <v>12607</v>
      </c>
      <c r="O153" s="65">
        <v>10960</v>
      </c>
      <c r="P153" s="65">
        <v>7461</v>
      </c>
      <c r="Q153" s="65">
        <v>10731</v>
      </c>
      <c r="R153" s="65">
        <v>1057</v>
      </c>
      <c r="S153" s="65">
        <v>1040</v>
      </c>
      <c r="T153" s="65">
        <v>978</v>
      </c>
      <c r="U153" s="65">
        <v>702</v>
      </c>
      <c r="V153" s="65">
        <f t="shared" si="7"/>
        <v>5407.125</v>
      </c>
      <c r="W153" s="72">
        <f t="shared" si="6"/>
        <v>3919.5</v>
      </c>
    </row>
    <row r="154" spans="1:23" ht="27" customHeight="1">
      <c r="A154" s="10" t="s">
        <v>475</v>
      </c>
      <c r="B154" s="69" t="s">
        <v>785</v>
      </c>
      <c r="C154" s="69"/>
      <c r="D154" s="69" t="s">
        <v>673</v>
      </c>
      <c r="E154" s="69" t="s">
        <v>3115</v>
      </c>
      <c r="F154" s="10" t="s">
        <v>2496</v>
      </c>
      <c r="G154" s="10"/>
      <c r="H154" s="380">
        <v>3</v>
      </c>
      <c r="I154" s="380"/>
      <c r="J154" s="70">
        <v>1528</v>
      </c>
      <c r="K154" s="381">
        <v>4527</v>
      </c>
      <c r="L154" s="382">
        <v>4647</v>
      </c>
      <c r="M154" s="65">
        <v>7394</v>
      </c>
      <c r="N154" s="65">
        <v>0</v>
      </c>
      <c r="O154" s="65">
        <v>0</v>
      </c>
      <c r="P154" s="65">
        <v>0</v>
      </c>
      <c r="Q154" s="65">
        <v>0</v>
      </c>
      <c r="R154" s="65">
        <f>4224.8*3</f>
        <v>12674.400000000001</v>
      </c>
      <c r="S154" s="65">
        <f>4155*3</f>
        <v>12465</v>
      </c>
      <c r="T154" s="65">
        <f>3906*3</f>
        <v>11718</v>
      </c>
      <c r="U154" s="65">
        <f>2805*3</f>
        <v>8415</v>
      </c>
      <c r="V154" s="65">
        <f t="shared" si="7"/>
        <v>2262</v>
      </c>
      <c r="W154" s="72">
        <f t="shared" si="6"/>
        <v>5280.7</v>
      </c>
    </row>
    <row r="155" spans="1:23" ht="27" customHeight="1">
      <c r="A155" s="10" t="s">
        <v>4975</v>
      </c>
      <c r="B155" s="69" t="s">
        <v>4974</v>
      </c>
      <c r="C155" s="69"/>
      <c r="D155" s="69"/>
      <c r="E155" s="69" t="s">
        <v>4977</v>
      </c>
      <c r="F155" s="10" t="s">
        <v>4976</v>
      </c>
      <c r="G155" s="10"/>
      <c r="H155" s="380">
        <v>0.25</v>
      </c>
      <c r="I155" s="380" t="s">
        <v>2946</v>
      </c>
      <c r="J155" s="70">
        <v>703</v>
      </c>
      <c r="K155" s="381"/>
      <c r="L155" s="382"/>
      <c r="M155" s="65"/>
      <c r="N155" s="65"/>
      <c r="O155" s="65"/>
      <c r="P155" s="65"/>
      <c r="Q155" s="65"/>
      <c r="R155" s="65"/>
      <c r="S155" s="65"/>
      <c r="T155" s="65"/>
      <c r="U155" s="65"/>
      <c r="V155" s="65">
        <f t="shared" si="7"/>
        <v>703</v>
      </c>
      <c r="W155" s="72">
        <f t="shared" si="6"/>
        <v>703</v>
      </c>
    </row>
    <row r="156" spans="1:23" ht="27" customHeight="1">
      <c r="A156" s="10" t="s">
        <v>516</v>
      </c>
      <c r="B156" s="10" t="s">
        <v>315</v>
      </c>
      <c r="C156" s="10"/>
      <c r="D156" s="10" t="s">
        <v>314</v>
      </c>
      <c r="E156" s="10" t="s">
        <v>3117</v>
      </c>
      <c r="F156" s="10"/>
      <c r="G156" s="10"/>
      <c r="H156" s="70">
        <v>2.9</v>
      </c>
      <c r="I156" s="70" t="s">
        <v>2946</v>
      </c>
      <c r="J156" s="70">
        <v>0</v>
      </c>
      <c r="K156" s="65">
        <v>1708</v>
      </c>
      <c r="L156" s="71">
        <v>2707</v>
      </c>
      <c r="M156" s="65">
        <v>1648</v>
      </c>
      <c r="N156" s="65">
        <v>10858</v>
      </c>
      <c r="O156" s="65">
        <v>8708</v>
      </c>
      <c r="P156" s="65">
        <v>4334</v>
      </c>
      <c r="Q156" s="65">
        <v>2760</v>
      </c>
      <c r="R156" s="65"/>
      <c r="S156" s="65">
        <v>6783</v>
      </c>
      <c r="T156" s="65">
        <v>6889</v>
      </c>
      <c r="U156" s="65">
        <v>3746</v>
      </c>
      <c r="V156" s="65">
        <f t="shared" si="7"/>
        <v>4090.375</v>
      </c>
      <c r="W156" s="72">
        <f t="shared" si="6"/>
        <v>4558.272727272727</v>
      </c>
    </row>
    <row r="157" spans="1:23" ht="27" customHeight="1">
      <c r="A157" s="69"/>
      <c r="B157" s="69" t="s">
        <v>5031</v>
      </c>
      <c r="C157" s="69"/>
      <c r="D157" s="69"/>
      <c r="E157" s="69" t="s">
        <v>5030</v>
      </c>
      <c r="F157" s="69" t="s">
        <v>5032</v>
      </c>
      <c r="G157" s="69"/>
      <c r="H157" s="70">
        <v>0.86499999999999999</v>
      </c>
      <c r="I157" s="70" t="s">
        <v>5250</v>
      </c>
      <c r="J157" s="70">
        <v>49.781999999999996</v>
      </c>
      <c r="K157" s="65"/>
      <c r="L157" s="382"/>
      <c r="M157" s="65"/>
      <c r="N157" s="65"/>
      <c r="O157" s="65"/>
      <c r="P157" s="65"/>
      <c r="Q157" s="65"/>
      <c r="R157" s="65"/>
      <c r="S157" s="65"/>
      <c r="T157" s="65"/>
      <c r="U157" s="65"/>
      <c r="V157" s="65">
        <f t="shared" si="7"/>
        <v>49.781999999999996</v>
      </c>
      <c r="W157" s="72">
        <f t="shared" si="6"/>
        <v>49.781999999999996</v>
      </c>
    </row>
    <row r="158" spans="1:23" ht="27" customHeight="1">
      <c r="A158" s="10" t="s">
        <v>5509</v>
      </c>
      <c r="B158" s="10" t="s">
        <v>206</v>
      </c>
      <c r="C158" s="10"/>
      <c r="D158" s="10" t="s">
        <v>205</v>
      </c>
      <c r="E158" s="10" t="s">
        <v>3118</v>
      </c>
      <c r="F158" s="10" t="s">
        <v>2671</v>
      </c>
      <c r="G158" s="10"/>
      <c r="H158" s="70">
        <v>2.6</v>
      </c>
      <c r="I158" s="70"/>
      <c r="J158" s="70">
        <v>1879</v>
      </c>
      <c r="K158" s="65">
        <v>4312</v>
      </c>
      <c r="L158" s="71">
        <v>4945</v>
      </c>
      <c r="M158" s="65">
        <v>6540</v>
      </c>
      <c r="N158" s="65">
        <v>12380</v>
      </c>
      <c r="O158" s="65">
        <v>12380</v>
      </c>
      <c r="P158" s="65">
        <v>6427</v>
      </c>
      <c r="Q158" s="65">
        <v>6296</v>
      </c>
      <c r="R158" s="65">
        <v>5854</v>
      </c>
      <c r="S158" s="65">
        <v>11634</v>
      </c>
      <c r="T158" s="65">
        <v>10538</v>
      </c>
      <c r="U158" s="65">
        <v>9284</v>
      </c>
      <c r="V158" s="65">
        <f t="shared" si="7"/>
        <v>6894.875</v>
      </c>
      <c r="W158" s="72">
        <f t="shared" si="6"/>
        <v>7705.75</v>
      </c>
    </row>
    <row r="159" spans="1:23" ht="27" customHeight="1">
      <c r="A159" s="10" t="s">
        <v>603</v>
      </c>
      <c r="B159" s="10" t="s">
        <v>319</v>
      </c>
      <c r="C159" s="10"/>
      <c r="D159" s="10" t="s">
        <v>318</v>
      </c>
      <c r="E159" s="10" t="s">
        <v>2302</v>
      </c>
      <c r="F159" s="10" t="s">
        <v>2303</v>
      </c>
      <c r="G159" s="10"/>
      <c r="H159" s="70">
        <v>11.5</v>
      </c>
      <c r="I159" s="70"/>
      <c r="J159" s="70">
        <v>16303.03</v>
      </c>
      <c r="K159" s="65">
        <v>39712.11</v>
      </c>
      <c r="L159" s="71">
        <v>43667</v>
      </c>
      <c r="M159" s="65">
        <v>38502.1</v>
      </c>
      <c r="N159" s="65">
        <v>27069.16</v>
      </c>
      <c r="O159" s="65">
        <v>36208.120000000003</v>
      </c>
      <c r="P159" s="65">
        <v>38726</v>
      </c>
      <c r="Q159" s="65">
        <v>40235</v>
      </c>
      <c r="R159" s="65">
        <v>43985</v>
      </c>
      <c r="S159" s="65">
        <v>67719</v>
      </c>
      <c r="T159" s="65">
        <v>44002</v>
      </c>
      <c r="U159" s="65">
        <v>54657</v>
      </c>
      <c r="V159" s="65">
        <f t="shared" si="7"/>
        <v>35052.815000000002</v>
      </c>
      <c r="W159" s="72">
        <f t="shared" si="6"/>
        <v>40898.793333333335</v>
      </c>
    </row>
    <row r="160" spans="1:23" ht="27" customHeight="1">
      <c r="A160" s="10" t="s">
        <v>600</v>
      </c>
      <c r="B160" s="10" t="s">
        <v>297</v>
      </c>
      <c r="C160" s="10"/>
      <c r="D160" s="10" t="s">
        <v>296</v>
      </c>
      <c r="E160" s="10" t="s">
        <v>3119</v>
      </c>
      <c r="F160" s="173" t="s">
        <v>2245</v>
      </c>
      <c r="G160" s="173"/>
      <c r="H160" s="70">
        <v>29.9</v>
      </c>
      <c r="I160" s="70"/>
      <c r="J160" s="70">
        <v>17189.41</v>
      </c>
      <c r="K160" s="65">
        <v>10295</v>
      </c>
      <c r="L160" s="71">
        <v>39318</v>
      </c>
      <c r="M160" s="65">
        <v>29905.129999999994</v>
      </c>
      <c r="N160" s="65">
        <v>104594.01</v>
      </c>
      <c r="O160" s="65">
        <v>30560.010000000002</v>
      </c>
      <c r="P160" s="65">
        <v>32065</v>
      </c>
      <c r="Q160" s="65">
        <v>42392</v>
      </c>
      <c r="R160" s="65">
        <v>22345</v>
      </c>
      <c r="S160" s="65">
        <v>111580</v>
      </c>
      <c r="T160" s="65">
        <v>70965</v>
      </c>
      <c r="U160" s="65">
        <v>66647</v>
      </c>
      <c r="V160" s="65">
        <f t="shared" si="7"/>
        <v>38289.82</v>
      </c>
      <c r="W160" s="72">
        <f t="shared" si="6"/>
        <v>48154.630000000005</v>
      </c>
    </row>
    <row r="161" spans="1:23" ht="27" customHeight="1">
      <c r="A161" s="10" t="s">
        <v>577</v>
      </c>
      <c r="B161" s="10" t="s">
        <v>321</v>
      </c>
      <c r="C161" s="10"/>
      <c r="D161" s="10" t="s">
        <v>320</v>
      </c>
      <c r="E161" s="10" t="s">
        <v>3120</v>
      </c>
      <c r="F161" s="10"/>
      <c r="G161" s="10"/>
      <c r="H161" s="70">
        <v>4.5</v>
      </c>
      <c r="I161" s="70"/>
      <c r="J161" s="70">
        <v>6187</v>
      </c>
      <c r="K161" s="65">
        <v>11545</v>
      </c>
      <c r="L161" s="71">
        <v>12227</v>
      </c>
      <c r="M161" s="65">
        <v>14123</v>
      </c>
      <c r="N161" s="65">
        <v>17873</v>
      </c>
      <c r="O161" s="65">
        <v>16327</v>
      </c>
      <c r="P161" s="65">
        <v>15479</v>
      </c>
      <c r="Q161" s="65">
        <v>12868</v>
      </c>
      <c r="R161" s="65">
        <v>10543</v>
      </c>
      <c r="S161" s="65">
        <v>16653</v>
      </c>
      <c r="T161" s="65">
        <v>15784.79</v>
      </c>
      <c r="U161" s="65">
        <v>15000</v>
      </c>
      <c r="V161" s="65">
        <f t="shared" si="7"/>
        <v>13328.625</v>
      </c>
      <c r="W161" s="72">
        <f t="shared" si="6"/>
        <v>13717.4825</v>
      </c>
    </row>
    <row r="162" spans="1:23" ht="27" customHeight="1">
      <c r="A162" s="10" t="s">
        <v>602</v>
      </c>
      <c r="B162" s="10" t="s">
        <v>317</v>
      </c>
      <c r="C162" s="10"/>
      <c r="D162" s="10" t="s">
        <v>316</v>
      </c>
      <c r="E162" s="10" t="s">
        <v>3121</v>
      </c>
      <c r="F162" s="10"/>
      <c r="G162" s="10"/>
      <c r="H162" s="70">
        <v>4.3600000000000003</v>
      </c>
      <c r="I162" s="70"/>
      <c r="J162" s="70">
        <v>677</v>
      </c>
      <c r="K162" s="65">
        <v>992.01</v>
      </c>
      <c r="L162" s="71">
        <v>3108</v>
      </c>
      <c r="M162" s="65">
        <v>9150</v>
      </c>
      <c r="N162" s="65">
        <v>17886</v>
      </c>
      <c r="O162" s="65">
        <v>12352</v>
      </c>
      <c r="P162" s="65">
        <v>9956</v>
      </c>
      <c r="Q162" s="65">
        <v>14452</v>
      </c>
      <c r="R162" s="65">
        <v>14927</v>
      </c>
      <c r="S162" s="65">
        <v>20051</v>
      </c>
      <c r="T162" s="65">
        <v>20051</v>
      </c>
      <c r="U162" s="65">
        <v>6702</v>
      </c>
      <c r="V162" s="65">
        <f t="shared" si="7"/>
        <v>8571.6262500000012</v>
      </c>
      <c r="W162" s="72">
        <f t="shared" si="6"/>
        <v>10858.667500000001</v>
      </c>
    </row>
    <row r="163" spans="1:23" ht="27" customHeight="1">
      <c r="A163" s="10" t="s">
        <v>474</v>
      </c>
      <c r="B163" s="10" t="s">
        <v>324</v>
      </c>
      <c r="C163" s="10"/>
      <c r="D163" s="10" t="s">
        <v>323</v>
      </c>
      <c r="E163" s="10" t="s">
        <v>3122</v>
      </c>
      <c r="F163" s="10" t="s">
        <v>2647</v>
      </c>
      <c r="G163" s="10"/>
      <c r="H163" s="70">
        <v>12</v>
      </c>
      <c r="I163" s="70"/>
      <c r="J163" s="70">
        <v>36315</v>
      </c>
      <c r="K163" s="65">
        <v>25185</v>
      </c>
      <c r="L163" s="71">
        <v>58746</v>
      </c>
      <c r="M163" s="65">
        <v>86096</v>
      </c>
      <c r="N163" s="65">
        <v>71594.83</v>
      </c>
      <c r="O163" s="65">
        <v>55947.19</v>
      </c>
      <c r="P163" s="65">
        <v>77128</v>
      </c>
      <c r="Q163" s="65">
        <v>41813</v>
      </c>
      <c r="R163" s="65">
        <v>18932</v>
      </c>
      <c r="S163" s="65">
        <v>76881</v>
      </c>
      <c r="T163" s="65">
        <v>27528</v>
      </c>
      <c r="U163" s="65">
        <v>15180</v>
      </c>
      <c r="V163" s="65">
        <f t="shared" si="7"/>
        <v>56603.127500000002</v>
      </c>
      <c r="W163" s="72">
        <f t="shared" si="6"/>
        <v>49278.834999999999</v>
      </c>
    </row>
    <row r="164" spans="1:23" ht="27" customHeight="1">
      <c r="A164" s="10"/>
      <c r="B164" s="10" t="s">
        <v>326</v>
      </c>
      <c r="C164" s="10"/>
      <c r="D164" s="10" t="s">
        <v>325</v>
      </c>
      <c r="E164" s="10" t="s">
        <v>3123</v>
      </c>
      <c r="F164" s="10" t="s">
        <v>2568</v>
      </c>
      <c r="G164" s="10"/>
      <c r="H164" s="70">
        <v>1.2</v>
      </c>
      <c r="I164" s="70"/>
      <c r="J164" s="70">
        <v>407</v>
      </c>
      <c r="K164" s="65">
        <v>1498</v>
      </c>
      <c r="L164" s="71">
        <v>1611</v>
      </c>
      <c r="M164" s="65">
        <v>2074</v>
      </c>
      <c r="N164" s="65">
        <v>4014</v>
      </c>
      <c r="O164" s="65">
        <v>4074</v>
      </c>
      <c r="P164" s="65">
        <v>2203</v>
      </c>
      <c r="Q164" s="65">
        <v>2444</v>
      </c>
      <c r="R164" s="65">
        <v>1647</v>
      </c>
      <c r="S164" s="65">
        <v>4376</v>
      </c>
      <c r="T164" s="65">
        <v>3618</v>
      </c>
      <c r="U164" s="65">
        <v>2631</v>
      </c>
      <c r="V164" s="65">
        <f t="shared" si="7"/>
        <v>2290.625</v>
      </c>
      <c r="W164" s="72">
        <f t="shared" si="6"/>
        <v>2549.75</v>
      </c>
    </row>
    <row r="165" spans="1:23" ht="27" customHeight="1">
      <c r="A165" s="10" t="s">
        <v>2000</v>
      </c>
      <c r="B165" s="10" t="s">
        <v>2001</v>
      </c>
      <c r="C165" s="10"/>
      <c r="D165" s="10" t="s">
        <v>147</v>
      </c>
      <c r="E165" s="10" t="s">
        <v>2002</v>
      </c>
      <c r="F165" s="10"/>
      <c r="G165" s="10"/>
      <c r="H165" s="70">
        <v>2.8</v>
      </c>
      <c r="I165" s="70" t="s">
        <v>2946</v>
      </c>
      <c r="J165" s="70">
        <v>989</v>
      </c>
      <c r="K165" s="65">
        <v>3150</v>
      </c>
      <c r="L165" s="71"/>
      <c r="M165" s="65"/>
      <c r="N165" s="65"/>
      <c r="O165" s="65"/>
      <c r="P165" s="65"/>
      <c r="Q165" s="65"/>
      <c r="R165" s="65"/>
      <c r="S165" s="65"/>
      <c r="T165" s="65"/>
      <c r="U165" s="65"/>
      <c r="V165" s="65">
        <f t="shared" si="7"/>
        <v>2069.5</v>
      </c>
      <c r="W165" s="72">
        <f t="shared" si="6"/>
        <v>2069.5</v>
      </c>
    </row>
    <row r="166" spans="1:23" ht="27" customHeight="1">
      <c r="A166" s="10" t="s">
        <v>474</v>
      </c>
      <c r="B166" s="10" t="s">
        <v>332</v>
      </c>
      <c r="C166" s="10"/>
      <c r="D166" s="10" t="s">
        <v>331</v>
      </c>
      <c r="E166" s="10" t="s">
        <v>3124</v>
      </c>
      <c r="F166" s="10" t="s">
        <v>2649</v>
      </c>
      <c r="G166" s="10"/>
      <c r="H166" s="70">
        <v>11.5</v>
      </c>
      <c r="I166" s="70"/>
      <c r="J166" s="70">
        <v>10111</v>
      </c>
      <c r="K166" s="65">
        <v>7374.07</v>
      </c>
      <c r="L166" s="71">
        <v>13800</v>
      </c>
      <c r="M166" s="65">
        <v>9007.6000000000022</v>
      </c>
      <c r="N166" s="65">
        <v>19397.699999999997</v>
      </c>
      <c r="O166" s="65">
        <v>32337.919999999995</v>
      </c>
      <c r="P166" s="65">
        <v>21839.03</v>
      </c>
      <c r="Q166" s="65">
        <v>17731</v>
      </c>
      <c r="R166" s="65">
        <v>24258</v>
      </c>
      <c r="S166" s="65">
        <v>37032</v>
      </c>
      <c r="T166" s="65">
        <v>36586</v>
      </c>
      <c r="U166" s="65">
        <v>32931</v>
      </c>
      <c r="V166" s="65">
        <f t="shared" si="7"/>
        <v>16449.79</v>
      </c>
      <c r="W166" s="72">
        <f t="shared" si="6"/>
        <v>21867.11</v>
      </c>
    </row>
    <row r="167" spans="1:23" ht="27" customHeight="1">
      <c r="A167" s="10" t="s">
        <v>576</v>
      </c>
      <c r="B167" s="10" t="s">
        <v>334</v>
      </c>
      <c r="C167" s="10"/>
      <c r="D167" s="10" t="s">
        <v>333</v>
      </c>
      <c r="E167" s="10" t="s">
        <v>3125</v>
      </c>
      <c r="F167" s="10" t="s">
        <v>5149</v>
      </c>
      <c r="G167" s="10"/>
      <c r="H167" s="70">
        <v>13.5</v>
      </c>
      <c r="I167" s="70"/>
      <c r="J167" s="70">
        <v>13829</v>
      </c>
      <c r="K167" s="65">
        <v>26150</v>
      </c>
      <c r="L167" s="71">
        <v>45658</v>
      </c>
      <c r="M167" s="65">
        <v>57048</v>
      </c>
      <c r="N167" s="65">
        <v>81004</v>
      </c>
      <c r="O167" s="65">
        <v>59704</v>
      </c>
      <c r="P167" s="65">
        <v>58754</v>
      </c>
      <c r="Q167" s="65">
        <v>34412</v>
      </c>
      <c r="R167" s="65">
        <v>43808</v>
      </c>
      <c r="S167" s="65">
        <v>77729</v>
      </c>
      <c r="T167" s="65">
        <v>72318</v>
      </c>
      <c r="U167" s="65">
        <v>51984</v>
      </c>
      <c r="V167" s="65">
        <f t="shared" si="7"/>
        <v>47069.875</v>
      </c>
      <c r="W167" s="72">
        <f t="shared" ref="W167:W230" si="8">AVERAGE(J167:U167)</f>
        <v>51866.5</v>
      </c>
    </row>
    <row r="168" spans="1:23" ht="27" customHeight="1">
      <c r="A168" s="10" t="s">
        <v>480</v>
      </c>
      <c r="B168" s="10" t="s">
        <v>780</v>
      </c>
      <c r="C168" s="10"/>
      <c r="D168" s="10" t="s">
        <v>675</v>
      </c>
      <c r="E168" s="10" t="s">
        <v>3126</v>
      </c>
      <c r="F168" s="10"/>
      <c r="G168" s="10"/>
      <c r="H168" s="70">
        <v>9</v>
      </c>
      <c r="I168" s="70" t="s">
        <v>2946</v>
      </c>
      <c r="J168" s="70">
        <v>0</v>
      </c>
      <c r="K168" s="212">
        <v>0.23699999999999999</v>
      </c>
      <c r="L168" s="71">
        <v>2920</v>
      </c>
      <c r="M168" s="65">
        <v>5188</v>
      </c>
      <c r="N168" s="65">
        <v>7102.2</v>
      </c>
      <c r="O168" s="65">
        <v>4635.8</v>
      </c>
      <c r="P168" s="65"/>
      <c r="Q168" s="65"/>
      <c r="R168" s="65"/>
      <c r="S168" s="65"/>
      <c r="T168" s="65"/>
      <c r="U168" s="65"/>
      <c r="V168" s="65">
        <f t="shared" si="7"/>
        <v>3307.7061666666668</v>
      </c>
      <c r="W168" s="72">
        <f t="shared" si="8"/>
        <v>3307.7061666666668</v>
      </c>
    </row>
    <row r="169" spans="1:23" ht="27" customHeight="1">
      <c r="A169" s="10" t="s">
        <v>474</v>
      </c>
      <c r="B169" s="10" t="s">
        <v>337</v>
      </c>
      <c r="C169" s="10"/>
      <c r="D169" s="10" t="s">
        <v>336</v>
      </c>
      <c r="E169" s="10" t="s">
        <v>3127</v>
      </c>
      <c r="F169" s="10" t="s">
        <v>2676</v>
      </c>
      <c r="G169" s="10"/>
      <c r="H169" s="70">
        <v>1.3</v>
      </c>
      <c r="I169" s="70"/>
      <c r="J169" s="70">
        <v>5489</v>
      </c>
      <c r="K169" s="65">
        <v>5796</v>
      </c>
      <c r="L169" s="71">
        <v>5465</v>
      </c>
      <c r="M169" s="65">
        <v>2925</v>
      </c>
      <c r="N169" s="65">
        <v>6682</v>
      </c>
      <c r="O169" s="65">
        <v>5545</v>
      </c>
      <c r="P169" s="65">
        <v>6203</v>
      </c>
      <c r="Q169" s="65">
        <v>4868</v>
      </c>
      <c r="R169" s="65">
        <v>5332</v>
      </c>
      <c r="S169" s="65">
        <v>5188</v>
      </c>
      <c r="T169" s="65">
        <v>3806</v>
      </c>
      <c r="U169" s="65" t="s">
        <v>115</v>
      </c>
      <c r="V169" s="65">
        <f t="shared" si="7"/>
        <v>5371.625</v>
      </c>
      <c r="W169" s="72">
        <f t="shared" si="8"/>
        <v>5209</v>
      </c>
    </row>
    <row r="170" spans="1:23" ht="27" customHeight="1">
      <c r="A170" s="10" t="s">
        <v>606</v>
      </c>
      <c r="B170" s="10" t="s">
        <v>340</v>
      </c>
      <c r="C170" s="10"/>
      <c r="D170" s="10" t="s">
        <v>339</v>
      </c>
      <c r="E170" s="10" t="s">
        <v>3129</v>
      </c>
      <c r="F170" s="10" t="s">
        <v>2258</v>
      </c>
      <c r="G170" s="10"/>
      <c r="H170" s="70">
        <v>5</v>
      </c>
      <c r="I170" s="70"/>
      <c r="J170" s="70">
        <v>1314</v>
      </c>
      <c r="K170" s="65">
        <v>3881</v>
      </c>
      <c r="L170" s="71">
        <v>4961</v>
      </c>
      <c r="M170" s="65">
        <v>936</v>
      </c>
      <c r="N170" s="65">
        <v>16017</v>
      </c>
      <c r="O170" s="65">
        <v>9421</v>
      </c>
      <c r="P170" s="65">
        <v>5061</v>
      </c>
      <c r="Q170" s="65">
        <v>4175</v>
      </c>
      <c r="R170" s="65">
        <v>4652</v>
      </c>
      <c r="S170" s="65">
        <v>17651</v>
      </c>
      <c r="T170" s="65">
        <v>9220</v>
      </c>
      <c r="U170" s="65">
        <v>11489</v>
      </c>
      <c r="V170" s="65">
        <f t="shared" si="7"/>
        <v>5720.75</v>
      </c>
      <c r="W170" s="72">
        <f t="shared" si="8"/>
        <v>7398.166666666667</v>
      </c>
    </row>
    <row r="171" spans="1:23" ht="27" customHeight="1">
      <c r="A171" s="10" t="s">
        <v>475</v>
      </c>
      <c r="B171" s="10" t="s">
        <v>342</v>
      </c>
      <c r="C171" s="10"/>
      <c r="D171" s="10" t="s">
        <v>341</v>
      </c>
      <c r="E171" s="10" t="s">
        <v>3130</v>
      </c>
      <c r="F171" s="10" t="s">
        <v>2523</v>
      </c>
      <c r="G171" s="10"/>
      <c r="H171" s="70">
        <v>0.6</v>
      </c>
      <c r="I171" s="70"/>
      <c r="J171" s="70">
        <v>1224</v>
      </c>
      <c r="K171" s="65">
        <v>967</v>
      </c>
      <c r="L171" s="71">
        <v>765</v>
      </c>
      <c r="M171" s="65">
        <v>1901</v>
      </c>
      <c r="N171" s="65">
        <v>2776</v>
      </c>
      <c r="O171" s="65">
        <v>3402</v>
      </c>
      <c r="P171" s="65">
        <v>3174</v>
      </c>
      <c r="Q171" s="65">
        <v>4478</v>
      </c>
      <c r="R171" s="65">
        <v>2074</v>
      </c>
      <c r="S171" s="65">
        <v>5184</v>
      </c>
      <c r="T171" s="65">
        <v>5244</v>
      </c>
      <c r="U171" s="65">
        <v>1024</v>
      </c>
      <c r="V171" s="65">
        <f t="shared" si="7"/>
        <v>2335.875</v>
      </c>
      <c r="W171" s="72">
        <f t="shared" si="8"/>
        <v>2684.4166666666665</v>
      </c>
    </row>
    <row r="172" spans="1:23" ht="27" customHeight="1">
      <c r="A172" s="10" t="s">
        <v>475</v>
      </c>
      <c r="B172" s="10" t="s">
        <v>344</v>
      </c>
      <c r="C172" s="10"/>
      <c r="D172" s="10" t="s">
        <v>343</v>
      </c>
      <c r="E172" s="10" t="s">
        <v>3131</v>
      </c>
      <c r="F172" s="10" t="s">
        <v>2524</v>
      </c>
      <c r="G172" s="10"/>
      <c r="H172" s="70">
        <v>0.32</v>
      </c>
      <c r="I172" s="70"/>
      <c r="J172" s="70">
        <v>308</v>
      </c>
      <c r="K172" s="65">
        <v>258</v>
      </c>
      <c r="L172" s="71">
        <v>10</v>
      </c>
      <c r="M172" s="65">
        <v>129</v>
      </c>
      <c r="N172" s="65">
        <v>1698</v>
      </c>
      <c r="O172" s="65">
        <v>1854</v>
      </c>
      <c r="P172" s="65">
        <v>1383</v>
      </c>
      <c r="Q172" s="65">
        <v>1067</v>
      </c>
      <c r="R172" s="65">
        <v>415</v>
      </c>
      <c r="S172" s="65">
        <v>1929</v>
      </c>
      <c r="T172" s="65">
        <v>1603</v>
      </c>
      <c r="U172" s="65">
        <v>1258</v>
      </c>
      <c r="V172" s="65">
        <f t="shared" si="7"/>
        <v>838.375</v>
      </c>
      <c r="W172" s="72">
        <f t="shared" si="8"/>
        <v>992.66666666666663</v>
      </c>
    </row>
    <row r="173" spans="1:23" ht="27" customHeight="1">
      <c r="A173" s="69" t="s">
        <v>5008</v>
      </c>
      <c r="B173" s="69" t="s">
        <v>5007</v>
      </c>
      <c r="C173" s="69"/>
      <c r="D173" s="69"/>
      <c r="E173" s="69" t="s">
        <v>5006</v>
      </c>
      <c r="F173" s="69" t="s">
        <v>5009</v>
      </c>
      <c r="G173" s="69"/>
      <c r="H173" s="70">
        <v>0.22500000000000001</v>
      </c>
      <c r="I173" s="70" t="s">
        <v>5251</v>
      </c>
      <c r="J173" s="70">
        <v>0</v>
      </c>
      <c r="K173" s="65"/>
      <c r="L173" s="382"/>
      <c r="M173" s="65"/>
      <c r="N173" s="65"/>
      <c r="O173" s="65"/>
      <c r="P173" s="65"/>
      <c r="Q173" s="65"/>
      <c r="R173" s="65"/>
      <c r="S173" s="65"/>
      <c r="T173" s="65"/>
      <c r="U173" s="65"/>
      <c r="V173" s="65">
        <f t="shared" si="7"/>
        <v>0</v>
      </c>
      <c r="W173" s="72">
        <f t="shared" si="8"/>
        <v>0</v>
      </c>
    </row>
    <row r="174" spans="1:23" ht="27" customHeight="1">
      <c r="A174" s="10" t="s">
        <v>589</v>
      </c>
      <c r="B174" s="10" t="s">
        <v>346</v>
      </c>
      <c r="C174" s="10"/>
      <c r="D174" s="10" t="s">
        <v>345</v>
      </c>
      <c r="E174" s="10" t="s">
        <v>3132</v>
      </c>
      <c r="F174" s="10" t="s">
        <v>2266</v>
      </c>
      <c r="G174" s="10"/>
      <c r="H174" s="70">
        <v>6</v>
      </c>
      <c r="I174" s="70"/>
      <c r="J174" s="70">
        <v>8859</v>
      </c>
      <c r="K174" s="65">
        <v>14408</v>
      </c>
      <c r="L174" s="71">
        <v>16784</v>
      </c>
      <c r="M174" s="65">
        <v>25781</v>
      </c>
      <c r="N174" s="65">
        <v>36508</v>
      </c>
      <c r="O174" s="65">
        <v>31724</v>
      </c>
      <c r="P174" s="65">
        <v>26668</v>
      </c>
      <c r="Q174" s="65">
        <v>15911</v>
      </c>
      <c r="R174" s="65">
        <v>15864</v>
      </c>
      <c r="S174" s="65">
        <v>35605</v>
      </c>
      <c r="T174" s="65">
        <v>35002</v>
      </c>
      <c r="U174" s="65">
        <v>28912</v>
      </c>
      <c r="V174" s="65">
        <f t="shared" si="7"/>
        <v>22080.375</v>
      </c>
      <c r="W174" s="72">
        <f t="shared" si="8"/>
        <v>24335.5</v>
      </c>
    </row>
    <row r="175" spans="1:23" ht="27" customHeight="1">
      <c r="A175" s="10" t="s">
        <v>512</v>
      </c>
      <c r="B175" s="69" t="s">
        <v>787</v>
      </c>
      <c r="C175" s="69"/>
      <c r="D175" s="69" t="s">
        <v>786</v>
      </c>
      <c r="E175" s="69" t="s">
        <v>3133</v>
      </c>
      <c r="F175" s="10"/>
      <c r="G175" s="10"/>
      <c r="H175" s="380">
        <v>23.6</v>
      </c>
      <c r="I175" s="380"/>
      <c r="J175" s="70">
        <v>37400.03</v>
      </c>
      <c r="K175" s="381">
        <v>25634</v>
      </c>
      <c r="L175" s="382">
        <v>46736</v>
      </c>
      <c r="M175" s="65">
        <v>68820</v>
      </c>
      <c r="N175" s="65">
        <v>180858</v>
      </c>
      <c r="O175" s="65">
        <v>130964</v>
      </c>
      <c r="P175" s="65">
        <v>105289</v>
      </c>
      <c r="Q175" s="65">
        <v>37963</v>
      </c>
      <c r="R175" s="65">
        <v>31718</v>
      </c>
      <c r="S175" s="65">
        <v>178492</v>
      </c>
      <c r="T175" s="65">
        <v>174862</v>
      </c>
      <c r="U175" s="65">
        <v>67237</v>
      </c>
      <c r="V175" s="65">
        <f t="shared" si="7"/>
        <v>79208.003750000003</v>
      </c>
      <c r="W175" s="72">
        <f t="shared" si="8"/>
        <v>90497.752500000002</v>
      </c>
    </row>
    <row r="176" spans="1:23" ht="27" customHeight="1">
      <c r="A176" s="10"/>
      <c r="B176" s="10" t="s">
        <v>5326</v>
      </c>
      <c r="C176" s="10"/>
      <c r="D176" s="10"/>
      <c r="E176" s="10" t="s">
        <v>5327</v>
      </c>
      <c r="F176" s="10"/>
      <c r="G176" s="10"/>
      <c r="H176" s="70">
        <v>0.05</v>
      </c>
      <c r="I176" s="70" t="s">
        <v>2946</v>
      </c>
      <c r="J176" s="70">
        <v>136</v>
      </c>
      <c r="K176" s="65"/>
      <c r="L176" s="71"/>
      <c r="M176" s="65"/>
      <c r="N176" s="65"/>
      <c r="O176" s="65"/>
      <c r="P176" s="65"/>
      <c r="Q176" s="65"/>
      <c r="R176" s="65"/>
      <c r="S176" s="65"/>
      <c r="T176" s="65"/>
      <c r="U176" s="65"/>
      <c r="V176" s="65">
        <f t="shared" si="7"/>
        <v>136</v>
      </c>
      <c r="W176" s="72">
        <f t="shared" si="8"/>
        <v>136</v>
      </c>
    </row>
    <row r="177" spans="1:43" ht="27" customHeight="1">
      <c r="A177" s="10" t="s">
        <v>585</v>
      </c>
      <c r="B177" s="10" t="s">
        <v>348</v>
      </c>
      <c r="C177" s="10"/>
      <c r="D177" s="10" t="s">
        <v>347</v>
      </c>
      <c r="E177" s="10" t="s">
        <v>3134</v>
      </c>
      <c r="F177" s="10"/>
      <c r="G177" s="10"/>
      <c r="H177" s="70">
        <v>7.94</v>
      </c>
      <c r="I177" s="70"/>
      <c r="J177" s="70">
        <v>32</v>
      </c>
      <c r="K177" s="213">
        <v>0.01</v>
      </c>
      <c r="L177" s="71">
        <v>1</v>
      </c>
      <c r="M177" s="65">
        <v>4712</v>
      </c>
      <c r="N177" s="65">
        <v>22977</v>
      </c>
      <c r="O177" s="65">
        <v>14846</v>
      </c>
      <c r="P177" s="65">
        <v>13244</v>
      </c>
      <c r="Q177" s="65">
        <v>13103</v>
      </c>
      <c r="R177" s="65">
        <v>26860</v>
      </c>
      <c r="S177" s="65">
        <v>34389</v>
      </c>
      <c r="T177" s="65">
        <v>21432</v>
      </c>
      <c r="U177" s="65">
        <v>38448</v>
      </c>
      <c r="V177" s="65">
        <f t="shared" si="7"/>
        <v>8614.3762500000012</v>
      </c>
      <c r="W177" s="72">
        <f t="shared" si="8"/>
        <v>15837.000833333334</v>
      </c>
      <c r="AQ177" s="226"/>
    </row>
    <row r="178" spans="1:43" ht="27" customHeight="1">
      <c r="A178" s="10" t="s">
        <v>474</v>
      </c>
      <c r="B178" s="10" t="s">
        <v>350</v>
      </c>
      <c r="C178" s="10"/>
      <c r="D178" s="10" t="s">
        <v>349</v>
      </c>
      <c r="E178" s="10" t="s">
        <v>3135</v>
      </c>
      <c r="F178" s="10" t="s">
        <v>2673</v>
      </c>
      <c r="G178" s="10"/>
      <c r="H178" s="70">
        <v>2</v>
      </c>
      <c r="I178" s="70"/>
      <c r="J178" s="70">
        <v>4842</v>
      </c>
      <c r="K178" s="65">
        <v>5092</v>
      </c>
      <c r="L178" s="71">
        <v>9560</v>
      </c>
      <c r="M178" s="65">
        <v>8483</v>
      </c>
      <c r="N178" s="65">
        <v>11202</v>
      </c>
      <c r="O178" s="65">
        <v>10078</v>
      </c>
      <c r="P178" s="65">
        <v>9416</v>
      </c>
      <c r="Q178" s="65">
        <v>10412</v>
      </c>
      <c r="R178" s="65">
        <v>6334</v>
      </c>
      <c r="S178" s="65"/>
      <c r="T178" s="65">
        <v>9406</v>
      </c>
      <c r="U178" s="65">
        <v>10351</v>
      </c>
      <c r="V178" s="65">
        <f t="shared" si="7"/>
        <v>8635.625</v>
      </c>
      <c r="W178" s="72">
        <f t="shared" si="8"/>
        <v>8652.363636363636</v>
      </c>
      <c r="AP178" s="227"/>
    </row>
    <row r="179" spans="1:43" ht="27" customHeight="1">
      <c r="A179" s="10" t="s">
        <v>574</v>
      </c>
      <c r="B179" s="10" t="s">
        <v>563</v>
      </c>
      <c r="C179" s="10"/>
      <c r="D179" s="10" t="s">
        <v>562</v>
      </c>
      <c r="E179" s="10" t="s">
        <v>3136</v>
      </c>
      <c r="F179" s="10"/>
      <c r="G179" s="10"/>
      <c r="H179" s="70">
        <v>33</v>
      </c>
      <c r="I179" s="70"/>
      <c r="J179" s="70">
        <v>15863</v>
      </c>
      <c r="K179" s="65">
        <v>22149.02</v>
      </c>
      <c r="L179" s="71">
        <v>20832</v>
      </c>
      <c r="M179" s="65">
        <v>23718.400000000001</v>
      </c>
      <c r="N179" s="65">
        <v>23921.100000000002</v>
      </c>
      <c r="O179" s="65">
        <v>25161.120000000003</v>
      </c>
      <c r="P179" s="65">
        <v>27890.129999999997</v>
      </c>
      <c r="Q179" s="65">
        <v>27607</v>
      </c>
      <c r="R179" s="65">
        <v>12612</v>
      </c>
      <c r="S179" s="65">
        <v>13727</v>
      </c>
      <c r="T179" s="65">
        <v>5374</v>
      </c>
      <c r="U179" s="65">
        <v>16822</v>
      </c>
      <c r="V179" s="65">
        <f t="shared" si="7"/>
        <v>23392.721250000002</v>
      </c>
      <c r="W179" s="72">
        <f t="shared" si="8"/>
        <v>19639.730833333335</v>
      </c>
      <c r="AP179" s="227"/>
    </row>
    <row r="180" spans="1:43" ht="27" customHeight="1">
      <c r="A180" s="10" t="s">
        <v>480</v>
      </c>
      <c r="B180" s="10" t="s">
        <v>14</v>
      </c>
      <c r="C180" s="10"/>
      <c r="D180" s="10" t="s">
        <v>351</v>
      </c>
      <c r="E180" s="10" t="s">
        <v>3137</v>
      </c>
      <c r="F180" s="10"/>
      <c r="G180" s="10"/>
      <c r="H180" s="70">
        <v>3.2</v>
      </c>
      <c r="I180" s="70"/>
      <c r="J180" s="70">
        <v>475</v>
      </c>
      <c r="K180" s="65">
        <v>2722</v>
      </c>
      <c r="L180" s="71">
        <v>3815</v>
      </c>
      <c r="M180" s="65">
        <v>6835</v>
      </c>
      <c r="N180" s="65">
        <v>6907</v>
      </c>
      <c r="O180" s="65">
        <v>7951.2</v>
      </c>
      <c r="P180" s="65">
        <v>4101</v>
      </c>
      <c r="Q180" s="65">
        <v>6194</v>
      </c>
      <c r="R180" s="65">
        <v>5618</v>
      </c>
      <c r="S180" s="65">
        <v>11971</v>
      </c>
      <c r="T180" s="65">
        <v>9715</v>
      </c>
      <c r="U180" s="65">
        <v>4055</v>
      </c>
      <c r="V180" s="65">
        <f t="shared" si="7"/>
        <v>4875.0249999999996</v>
      </c>
      <c r="W180" s="72">
        <f t="shared" si="8"/>
        <v>5863.2666666666664</v>
      </c>
      <c r="AP180" s="227"/>
    </row>
    <row r="181" spans="1:43" ht="27" customHeight="1">
      <c r="A181" s="69" t="s">
        <v>796</v>
      </c>
      <c r="B181" s="69" t="s">
        <v>795</v>
      </c>
      <c r="C181" s="69"/>
      <c r="D181" s="69" t="s">
        <v>794</v>
      </c>
      <c r="E181" s="69" t="s">
        <v>3138</v>
      </c>
      <c r="F181" s="69"/>
      <c r="G181" s="69"/>
      <c r="H181" s="380">
        <v>1.5</v>
      </c>
      <c r="I181" s="380"/>
      <c r="J181" s="70">
        <v>0</v>
      </c>
      <c r="K181" s="385">
        <v>0</v>
      </c>
      <c r="L181" s="65">
        <v>0</v>
      </c>
      <c r="M181" s="65">
        <v>2281</v>
      </c>
      <c r="N181" s="65">
        <v>2700</v>
      </c>
      <c r="O181" s="65">
        <v>4734</v>
      </c>
      <c r="P181" s="65">
        <v>4734</v>
      </c>
      <c r="Q181" s="139">
        <v>4734</v>
      </c>
      <c r="R181" s="139"/>
      <c r="S181" s="139">
        <v>13388</v>
      </c>
      <c r="T181" s="65"/>
      <c r="U181" s="139">
        <v>5422</v>
      </c>
      <c r="V181" s="65">
        <f t="shared" si="7"/>
        <v>2397.875</v>
      </c>
      <c r="W181" s="72">
        <f t="shared" si="8"/>
        <v>3799.3</v>
      </c>
      <c r="AP181" s="227"/>
    </row>
    <row r="182" spans="1:43" ht="27" customHeight="1">
      <c r="A182" s="10" t="s">
        <v>593</v>
      </c>
      <c r="B182" s="10" t="s">
        <v>556</v>
      </c>
      <c r="C182" s="10"/>
      <c r="D182" s="10" t="s">
        <v>248</v>
      </c>
      <c r="E182" s="10" t="s">
        <v>2300</v>
      </c>
      <c r="F182" s="10" t="s">
        <v>2301</v>
      </c>
      <c r="G182" s="10"/>
      <c r="H182" s="70">
        <v>1.1000000000000001</v>
      </c>
      <c r="I182" s="70"/>
      <c r="J182" s="70">
        <v>318</v>
      </c>
      <c r="K182" s="65">
        <v>633</v>
      </c>
      <c r="L182" s="71">
        <v>801</v>
      </c>
      <c r="M182" s="65">
        <v>1613</v>
      </c>
      <c r="N182" s="65">
        <v>3704</v>
      </c>
      <c r="O182" s="65">
        <v>1980</v>
      </c>
      <c r="P182" s="65">
        <v>1211</v>
      </c>
      <c r="Q182" s="65">
        <v>573</v>
      </c>
      <c r="R182" s="65">
        <v>827</v>
      </c>
      <c r="S182" s="65">
        <v>5723</v>
      </c>
      <c r="T182" s="65">
        <v>2378</v>
      </c>
      <c r="U182" s="65">
        <v>2168</v>
      </c>
      <c r="V182" s="65">
        <f t="shared" si="7"/>
        <v>1354.125</v>
      </c>
      <c r="W182" s="72">
        <f t="shared" si="8"/>
        <v>1827.4166666666667</v>
      </c>
      <c r="AP182" s="227"/>
    </row>
    <row r="183" spans="1:43" ht="27" customHeight="1">
      <c r="A183" s="10" t="s">
        <v>475</v>
      </c>
      <c r="B183" s="10" t="s">
        <v>353</v>
      </c>
      <c r="C183" s="10"/>
      <c r="D183" s="10" t="s">
        <v>352</v>
      </c>
      <c r="E183" s="10" t="s">
        <v>3139</v>
      </c>
      <c r="F183" s="10" t="s">
        <v>2528</v>
      </c>
      <c r="G183" s="10"/>
      <c r="H183" s="70">
        <v>10</v>
      </c>
      <c r="I183" s="70"/>
      <c r="J183" s="70">
        <v>17637</v>
      </c>
      <c r="K183" s="65">
        <v>21226</v>
      </c>
      <c r="L183" s="71">
        <v>8150</v>
      </c>
      <c r="M183" s="65">
        <v>7873.2000000000007</v>
      </c>
      <c r="N183" s="65">
        <v>37309</v>
      </c>
      <c r="O183" s="65">
        <v>32334</v>
      </c>
      <c r="P183" s="65">
        <v>29078</v>
      </c>
      <c r="Q183" s="65">
        <v>22113</v>
      </c>
      <c r="R183" s="65">
        <v>18694</v>
      </c>
      <c r="S183" s="65">
        <v>43948</v>
      </c>
      <c r="T183" s="65">
        <v>38216</v>
      </c>
      <c r="U183" s="65">
        <v>29942</v>
      </c>
      <c r="V183" s="65">
        <f t="shared" si="7"/>
        <v>21965.025000000001</v>
      </c>
      <c r="W183" s="72">
        <f t="shared" si="8"/>
        <v>25543.350000000002</v>
      </c>
      <c r="AP183" s="227"/>
    </row>
    <row r="184" spans="1:43" ht="27" customHeight="1">
      <c r="A184" s="10" t="s">
        <v>475</v>
      </c>
      <c r="B184" s="10" t="s">
        <v>419</v>
      </c>
      <c r="C184" s="10"/>
      <c r="D184" s="10" t="s">
        <v>418</v>
      </c>
      <c r="E184" s="10" t="s">
        <v>3140</v>
      </c>
      <c r="F184" s="10" t="s">
        <v>2529</v>
      </c>
      <c r="G184" s="10"/>
      <c r="H184" s="70">
        <v>10</v>
      </c>
      <c r="I184" s="70"/>
      <c r="J184" s="70">
        <v>9696</v>
      </c>
      <c r="K184" s="65">
        <v>22880</v>
      </c>
      <c r="L184" s="71">
        <v>15953</v>
      </c>
      <c r="M184" s="65">
        <v>14961</v>
      </c>
      <c r="N184" s="65">
        <v>8795.01</v>
      </c>
      <c r="O184" s="65">
        <v>23730.010000000002</v>
      </c>
      <c r="P184" s="65">
        <v>25425.029999999995</v>
      </c>
      <c r="Q184" s="65">
        <v>20733</v>
      </c>
      <c r="R184" s="65">
        <v>39228</v>
      </c>
      <c r="S184" s="65">
        <v>25040</v>
      </c>
      <c r="T184" s="65">
        <v>35022</v>
      </c>
      <c r="U184" s="65">
        <v>36295</v>
      </c>
      <c r="V184" s="65">
        <f t="shared" si="7"/>
        <v>17771.631249999999</v>
      </c>
      <c r="W184" s="72">
        <f t="shared" si="8"/>
        <v>23146.504166666666</v>
      </c>
      <c r="AP184" s="227"/>
    </row>
    <row r="185" spans="1:43" ht="27" customHeight="1">
      <c r="A185" s="10" t="s">
        <v>474</v>
      </c>
      <c r="B185" s="10" t="s">
        <v>355</v>
      </c>
      <c r="C185" s="10"/>
      <c r="D185" s="10" t="s">
        <v>354</v>
      </c>
      <c r="E185" s="10" t="s">
        <v>3141</v>
      </c>
      <c r="F185" s="10" t="s">
        <v>2651</v>
      </c>
      <c r="G185" s="10"/>
      <c r="H185" s="70">
        <v>9.3000000000000007</v>
      </c>
      <c r="I185" s="70"/>
      <c r="J185" s="70">
        <v>3171</v>
      </c>
      <c r="K185" s="65">
        <v>11393</v>
      </c>
      <c r="L185" s="71">
        <v>19523</v>
      </c>
      <c r="M185" s="65">
        <v>21203</v>
      </c>
      <c r="N185" s="65">
        <v>32921</v>
      </c>
      <c r="O185" s="65">
        <v>27310</v>
      </c>
      <c r="P185" s="65">
        <v>19712</v>
      </c>
      <c r="Q185" s="65">
        <v>23083</v>
      </c>
      <c r="R185" s="65">
        <v>20851</v>
      </c>
      <c r="S185" s="65">
        <v>38255</v>
      </c>
      <c r="T185" s="65">
        <v>41369</v>
      </c>
      <c r="U185" s="65">
        <v>43710</v>
      </c>
      <c r="V185" s="65">
        <f t="shared" si="7"/>
        <v>19789.5</v>
      </c>
      <c r="W185" s="72">
        <f t="shared" si="8"/>
        <v>25208.416666666668</v>
      </c>
      <c r="AP185" s="227"/>
    </row>
    <row r="186" spans="1:43" ht="27" customHeight="1">
      <c r="A186" s="10" t="s">
        <v>613</v>
      </c>
      <c r="B186" s="10" t="s">
        <v>464</v>
      </c>
      <c r="C186" s="10"/>
      <c r="D186" s="10" t="s">
        <v>572</v>
      </c>
      <c r="E186" s="10" t="s">
        <v>3142</v>
      </c>
      <c r="F186" s="10" t="s">
        <v>2382</v>
      </c>
      <c r="G186" s="10"/>
      <c r="H186" s="70">
        <v>4.6500000000000004</v>
      </c>
      <c r="I186" s="70"/>
      <c r="J186" s="70">
        <v>2294</v>
      </c>
      <c r="K186" s="65">
        <v>18717</v>
      </c>
      <c r="L186" s="71">
        <v>17504</v>
      </c>
      <c r="M186" s="65">
        <v>18463</v>
      </c>
      <c r="N186" s="65">
        <v>15084</v>
      </c>
      <c r="O186" s="65">
        <v>20206</v>
      </c>
      <c r="P186" s="65">
        <v>20349</v>
      </c>
      <c r="Q186" s="65">
        <v>22893</v>
      </c>
      <c r="R186" s="65">
        <v>13357</v>
      </c>
      <c r="S186" s="65" t="s">
        <v>115</v>
      </c>
      <c r="T186" s="65" t="s">
        <v>115</v>
      </c>
      <c r="U186" s="65" t="s">
        <v>115</v>
      </c>
      <c r="V186" s="65">
        <f t="shared" si="7"/>
        <v>16938.75</v>
      </c>
      <c r="W186" s="72">
        <f t="shared" si="8"/>
        <v>16540.777777777777</v>
      </c>
      <c r="AP186" s="227"/>
    </row>
    <row r="187" spans="1:43" ht="27" customHeight="1">
      <c r="A187" s="10" t="s">
        <v>585</v>
      </c>
      <c r="B187" s="10" t="s">
        <v>357</v>
      </c>
      <c r="C187" s="10"/>
      <c r="D187" s="10" t="s">
        <v>356</v>
      </c>
      <c r="E187" s="10" t="s">
        <v>3143</v>
      </c>
      <c r="F187" s="10"/>
      <c r="G187" s="10"/>
      <c r="H187" s="70">
        <v>5.9</v>
      </c>
      <c r="I187" s="70"/>
      <c r="J187" s="70">
        <v>16747</v>
      </c>
      <c r="K187" s="65">
        <v>11651</v>
      </c>
      <c r="L187" s="71">
        <v>28287</v>
      </c>
      <c r="M187" s="65">
        <v>25843</v>
      </c>
      <c r="N187" s="65">
        <v>32851</v>
      </c>
      <c r="O187" s="65">
        <v>31394</v>
      </c>
      <c r="P187" s="65">
        <v>15499</v>
      </c>
      <c r="Q187" s="65">
        <v>20981</v>
      </c>
      <c r="R187" s="65">
        <v>14927</v>
      </c>
      <c r="S187" s="65">
        <v>31050</v>
      </c>
      <c r="T187" s="65">
        <v>22265</v>
      </c>
      <c r="U187" s="65">
        <v>20610</v>
      </c>
      <c r="V187" s="65">
        <f t="shared" si="7"/>
        <v>22906.625</v>
      </c>
      <c r="W187" s="72">
        <f t="shared" si="8"/>
        <v>22675.416666666668</v>
      </c>
      <c r="AP187" s="227"/>
    </row>
    <row r="188" spans="1:43" ht="27" customHeight="1">
      <c r="A188" s="10" t="s">
        <v>605</v>
      </c>
      <c r="B188" s="10" t="s">
        <v>561</v>
      </c>
      <c r="C188" s="10"/>
      <c r="D188" s="10" t="s">
        <v>338</v>
      </c>
      <c r="E188" s="10" t="s">
        <v>2231</v>
      </c>
      <c r="F188" s="10" t="s">
        <v>2230</v>
      </c>
      <c r="G188" s="10"/>
      <c r="H188" s="70">
        <v>14</v>
      </c>
      <c r="I188" s="70"/>
      <c r="J188" s="70">
        <v>1800.08</v>
      </c>
      <c r="K188" s="65">
        <v>5422.07</v>
      </c>
      <c r="L188" s="71">
        <v>6448</v>
      </c>
      <c r="M188" s="65">
        <v>92152.300000000017</v>
      </c>
      <c r="N188" s="65">
        <v>51190</v>
      </c>
      <c r="O188" s="65">
        <v>34111.01</v>
      </c>
      <c r="P188" s="65">
        <v>32203</v>
      </c>
      <c r="Q188" s="65">
        <v>31915</v>
      </c>
      <c r="R188" s="65">
        <v>21868</v>
      </c>
      <c r="S188" s="65">
        <v>51609</v>
      </c>
      <c r="T188" s="65">
        <v>54559</v>
      </c>
      <c r="U188" s="65">
        <v>31017</v>
      </c>
      <c r="V188" s="65">
        <f t="shared" si="7"/>
        <v>31905.182500000003</v>
      </c>
      <c r="W188" s="72">
        <f t="shared" si="8"/>
        <v>34524.538333333338</v>
      </c>
      <c r="AP188" s="227"/>
    </row>
    <row r="189" spans="1:43" ht="27" customHeight="1">
      <c r="A189" s="69" t="s">
        <v>789</v>
      </c>
      <c r="B189" s="69" t="s">
        <v>788</v>
      </c>
      <c r="C189" s="69"/>
      <c r="D189" s="36" t="s">
        <v>674</v>
      </c>
      <c r="E189" s="36" t="s">
        <v>3144</v>
      </c>
      <c r="F189" s="69"/>
      <c r="G189" s="69"/>
      <c r="H189" s="380">
        <v>1.91</v>
      </c>
      <c r="I189" s="380"/>
      <c r="J189" s="70">
        <v>169</v>
      </c>
      <c r="K189" s="381">
        <v>1003</v>
      </c>
      <c r="L189" s="382">
        <v>1347</v>
      </c>
      <c r="M189" s="65">
        <v>3746</v>
      </c>
      <c r="N189" s="65">
        <v>1951</v>
      </c>
      <c r="O189" s="65">
        <v>2288</v>
      </c>
      <c r="P189" s="65">
        <v>2422</v>
      </c>
      <c r="Q189" s="65">
        <v>6153</v>
      </c>
      <c r="R189" s="65">
        <v>8563</v>
      </c>
      <c r="S189" s="65">
        <v>8207</v>
      </c>
      <c r="T189" s="65">
        <v>5158</v>
      </c>
      <c r="U189" s="65">
        <v>2840</v>
      </c>
      <c r="V189" s="65">
        <f t="shared" si="7"/>
        <v>2384.875</v>
      </c>
      <c r="W189" s="72">
        <f t="shared" si="8"/>
        <v>3653.9166666666665</v>
      </c>
      <c r="AP189" s="227"/>
    </row>
    <row r="190" spans="1:43" ht="27" customHeight="1">
      <c r="A190" s="10" t="s">
        <v>5507</v>
      </c>
      <c r="B190" s="10" t="s">
        <v>303</v>
      </c>
      <c r="C190" s="10"/>
      <c r="D190" s="10" t="s">
        <v>302</v>
      </c>
      <c r="E190" s="10" t="s">
        <v>3145</v>
      </c>
      <c r="F190" s="10" t="s">
        <v>2270</v>
      </c>
      <c r="G190" s="10"/>
      <c r="H190" s="70">
        <v>2</v>
      </c>
      <c r="I190" s="70"/>
      <c r="J190" s="70">
        <v>2001</v>
      </c>
      <c r="K190" s="65">
        <v>3026</v>
      </c>
      <c r="L190" s="71">
        <v>5291</v>
      </c>
      <c r="M190" s="65">
        <v>4165</v>
      </c>
      <c r="N190" s="65">
        <v>8461</v>
      </c>
      <c r="O190" s="65">
        <v>8461</v>
      </c>
      <c r="P190" s="65">
        <v>3691</v>
      </c>
      <c r="Q190" s="65">
        <v>5274</v>
      </c>
      <c r="R190" s="65">
        <v>5274</v>
      </c>
      <c r="S190" s="65">
        <v>8090</v>
      </c>
      <c r="T190" s="65">
        <v>7752</v>
      </c>
      <c r="U190" s="65">
        <v>5458</v>
      </c>
      <c r="V190" s="65">
        <f t="shared" si="7"/>
        <v>5046.25</v>
      </c>
      <c r="W190" s="72">
        <f t="shared" si="8"/>
        <v>5578.666666666667</v>
      </c>
      <c r="AO190" s="1"/>
    </row>
    <row r="191" spans="1:43" ht="27" customHeight="1">
      <c r="A191" s="10" t="s">
        <v>65</v>
      </c>
      <c r="B191" s="10" t="s">
        <v>359</v>
      </c>
      <c r="C191" s="10"/>
      <c r="D191" s="10" t="s">
        <v>358</v>
      </c>
      <c r="E191" s="10" t="s">
        <v>3146</v>
      </c>
      <c r="F191" s="10"/>
      <c r="G191" s="10"/>
      <c r="H191" s="70">
        <v>25.5</v>
      </c>
      <c r="I191" s="70"/>
      <c r="J191" s="70">
        <v>13754.02</v>
      </c>
      <c r="K191" s="65">
        <v>24230</v>
      </c>
      <c r="L191" s="71">
        <v>21651</v>
      </c>
      <c r="M191" s="65">
        <v>44151</v>
      </c>
      <c r="N191" s="65">
        <v>76733</v>
      </c>
      <c r="O191" s="65">
        <v>61112</v>
      </c>
      <c r="P191" s="65">
        <v>38904.01</v>
      </c>
      <c r="Q191" s="65">
        <v>24638</v>
      </c>
      <c r="R191" s="65">
        <v>26565</v>
      </c>
      <c r="S191" s="65">
        <v>75561</v>
      </c>
      <c r="T191" s="65">
        <v>64037</v>
      </c>
      <c r="U191" s="65">
        <v>35867</v>
      </c>
      <c r="V191" s="65">
        <f t="shared" si="7"/>
        <v>38146.628750000003</v>
      </c>
      <c r="W191" s="72">
        <f t="shared" si="8"/>
        <v>42266.919166666667</v>
      </c>
      <c r="AO191" s="1"/>
    </row>
    <row r="192" spans="1:43" ht="27" customHeight="1">
      <c r="A192" s="10" t="s">
        <v>588</v>
      </c>
      <c r="B192" s="10" t="s">
        <v>361</v>
      </c>
      <c r="C192" s="10"/>
      <c r="D192" s="10" t="s">
        <v>360</v>
      </c>
      <c r="E192" s="10" t="s">
        <v>2273</v>
      </c>
      <c r="F192" s="10" t="s">
        <v>4896</v>
      </c>
      <c r="G192" s="10"/>
      <c r="H192" s="70">
        <v>3.6</v>
      </c>
      <c r="I192" s="70"/>
      <c r="J192" s="70">
        <v>109.509</v>
      </c>
      <c r="K192" s="65">
        <v>614</v>
      </c>
      <c r="L192" s="71">
        <v>5536</v>
      </c>
      <c r="M192" s="65">
        <v>5244</v>
      </c>
      <c r="N192" s="65">
        <v>5876</v>
      </c>
      <c r="O192" s="65">
        <v>3850</v>
      </c>
      <c r="P192" s="65">
        <v>1289</v>
      </c>
      <c r="Q192" s="65">
        <v>0</v>
      </c>
      <c r="R192" s="65">
        <v>0</v>
      </c>
      <c r="S192" s="65">
        <v>6994</v>
      </c>
      <c r="T192" s="65">
        <v>4112</v>
      </c>
      <c r="U192" s="65">
        <v>1031</v>
      </c>
      <c r="V192" s="65">
        <f t="shared" si="7"/>
        <v>2814.8136249999998</v>
      </c>
      <c r="W192" s="72">
        <f t="shared" si="8"/>
        <v>2887.9590833333332</v>
      </c>
      <c r="AO192" s="1"/>
    </row>
    <row r="193" spans="1:41" ht="27" customHeight="1">
      <c r="A193" s="10" t="s">
        <v>966</v>
      </c>
      <c r="B193" s="10" t="s">
        <v>3209</v>
      </c>
      <c r="C193" s="10"/>
      <c r="D193" s="10" t="s">
        <v>2943</v>
      </c>
      <c r="E193" s="10" t="s">
        <v>3208</v>
      </c>
      <c r="F193" s="10"/>
      <c r="G193" s="10"/>
      <c r="H193" s="70" t="s">
        <v>2933</v>
      </c>
      <c r="I193" s="70" t="s">
        <v>3241</v>
      </c>
      <c r="J193" s="70">
        <v>60693.06</v>
      </c>
      <c r="K193" s="65">
        <v>0</v>
      </c>
      <c r="L193" s="71">
        <v>0</v>
      </c>
      <c r="M193" s="65">
        <v>246.9</v>
      </c>
      <c r="N193" s="65">
        <v>58794.1</v>
      </c>
      <c r="O193" s="65">
        <v>41830.400000000001</v>
      </c>
      <c r="P193" s="65">
        <v>17440.900000000001</v>
      </c>
      <c r="Q193" s="65">
        <v>0</v>
      </c>
      <c r="R193" s="65">
        <v>0</v>
      </c>
      <c r="S193" s="65">
        <v>209469.2</v>
      </c>
      <c r="T193" s="65">
        <v>81987.399999999994</v>
      </c>
      <c r="U193" s="65">
        <v>59510.6</v>
      </c>
      <c r="V193" s="65">
        <f t="shared" si="7"/>
        <v>22375.67</v>
      </c>
      <c r="W193" s="72">
        <f t="shared" si="8"/>
        <v>44164.38</v>
      </c>
      <c r="AO193" s="1"/>
    </row>
    <row r="194" spans="1:41" ht="27" customHeight="1">
      <c r="A194" s="10" t="s">
        <v>2271</v>
      </c>
      <c r="B194" s="10" t="s">
        <v>2271</v>
      </c>
      <c r="C194" s="10"/>
      <c r="D194" s="10" t="s">
        <v>3269</v>
      </c>
      <c r="E194" s="10" t="s">
        <v>2274</v>
      </c>
      <c r="F194" s="10" t="s">
        <v>2272</v>
      </c>
      <c r="G194" s="10"/>
      <c r="H194" s="70">
        <v>0.7</v>
      </c>
      <c r="I194" s="70" t="s">
        <v>2946</v>
      </c>
      <c r="J194" s="70">
        <v>580.8934999999999</v>
      </c>
      <c r="K194" s="65">
        <v>549.27700000000004</v>
      </c>
      <c r="L194" s="71"/>
      <c r="M194" s="65"/>
      <c r="N194" s="65"/>
      <c r="O194" s="65"/>
      <c r="P194" s="65"/>
      <c r="Q194" s="65"/>
      <c r="R194" s="65"/>
      <c r="S194" s="65"/>
      <c r="T194" s="65"/>
      <c r="U194" s="65"/>
      <c r="V194" s="65">
        <f t="shared" si="7"/>
        <v>565.08524999999997</v>
      </c>
      <c r="W194" s="72">
        <f t="shared" si="8"/>
        <v>565.08524999999997</v>
      </c>
      <c r="AO194" s="1"/>
    </row>
    <row r="195" spans="1:41" ht="27" customHeight="1">
      <c r="A195" s="10" t="s">
        <v>1918</v>
      </c>
      <c r="B195" s="10" t="s">
        <v>3267</v>
      </c>
      <c r="C195" s="10"/>
      <c r="D195" s="10" t="s">
        <v>3268</v>
      </c>
      <c r="E195" s="10" t="s">
        <v>3128</v>
      </c>
      <c r="F195" s="10" t="s">
        <v>2375</v>
      </c>
      <c r="G195" s="10"/>
      <c r="H195" s="10">
        <v>0.45</v>
      </c>
      <c r="I195" s="10" t="s">
        <v>2946</v>
      </c>
      <c r="J195" s="70">
        <v>937.84999999999991</v>
      </c>
      <c r="K195" s="211">
        <v>294.68</v>
      </c>
      <c r="L195" s="10">
        <v>296</v>
      </c>
      <c r="M195" s="65"/>
      <c r="N195" s="65"/>
      <c r="O195" s="65"/>
      <c r="P195" s="65"/>
      <c r="Q195" s="65"/>
      <c r="R195" s="65"/>
      <c r="S195" s="65"/>
      <c r="T195" s="65"/>
      <c r="U195" s="65"/>
      <c r="V195" s="65">
        <f t="shared" si="7"/>
        <v>509.51</v>
      </c>
      <c r="W195" s="72">
        <f t="shared" si="8"/>
        <v>509.51</v>
      </c>
    </row>
    <row r="196" spans="1:41" ht="27" customHeight="1">
      <c r="A196" s="10" t="s">
        <v>573</v>
      </c>
      <c r="B196" s="10" t="s">
        <v>363</v>
      </c>
      <c r="C196" s="10"/>
      <c r="D196" s="10" t="s">
        <v>362</v>
      </c>
      <c r="E196" s="10" t="s">
        <v>3147</v>
      </c>
      <c r="F196" s="10" t="s">
        <v>2254</v>
      </c>
      <c r="G196" s="10"/>
      <c r="H196" s="70">
        <v>13.5</v>
      </c>
      <c r="I196" s="70"/>
      <c r="J196" s="70">
        <v>28588</v>
      </c>
      <c r="K196" s="65">
        <v>27008</v>
      </c>
      <c r="L196" s="71">
        <v>52338</v>
      </c>
      <c r="M196" s="65">
        <v>56325</v>
      </c>
      <c r="N196" s="65">
        <v>76258</v>
      </c>
      <c r="O196" s="65">
        <v>68535</v>
      </c>
      <c r="P196" s="65">
        <v>66721</v>
      </c>
      <c r="Q196" s="65">
        <v>57824</v>
      </c>
      <c r="R196" s="65">
        <v>53576</v>
      </c>
      <c r="S196" s="65">
        <v>83230</v>
      </c>
      <c r="T196" s="65">
        <v>85611</v>
      </c>
      <c r="U196" s="65">
        <v>46247</v>
      </c>
      <c r="V196" s="65">
        <f t="shared" ref="V196:V259" si="9">AVERAGE(J196:Q196)</f>
        <v>54199.625</v>
      </c>
      <c r="W196" s="72">
        <f t="shared" si="8"/>
        <v>58521.75</v>
      </c>
      <c r="AO196" s="1"/>
    </row>
    <row r="197" spans="1:41" ht="27" customHeight="1">
      <c r="A197" s="10" t="s">
        <v>475</v>
      </c>
      <c r="B197" s="10" t="s">
        <v>365</v>
      </c>
      <c r="C197" s="10"/>
      <c r="D197" s="10" t="s">
        <v>364</v>
      </c>
      <c r="E197" s="10" t="s">
        <v>3148</v>
      </c>
      <c r="F197" s="10" t="s">
        <v>2546</v>
      </c>
      <c r="G197" s="10"/>
      <c r="H197" s="70">
        <v>8.4</v>
      </c>
      <c r="I197" s="70"/>
      <c r="J197" s="70">
        <v>9024</v>
      </c>
      <c r="K197" s="65">
        <v>22177</v>
      </c>
      <c r="L197" s="71">
        <v>40023</v>
      </c>
      <c r="M197" s="65">
        <v>17919</v>
      </c>
      <c r="N197" s="65">
        <v>48387</v>
      </c>
      <c r="O197" s="65">
        <v>54054</v>
      </c>
      <c r="P197" s="65">
        <v>56088</v>
      </c>
      <c r="Q197" s="65">
        <v>16070</v>
      </c>
      <c r="R197" s="65">
        <v>22599</v>
      </c>
      <c r="S197" s="65">
        <v>63317</v>
      </c>
      <c r="T197" s="65">
        <v>42107</v>
      </c>
      <c r="U197" s="65">
        <v>11304</v>
      </c>
      <c r="V197" s="65">
        <f t="shared" si="9"/>
        <v>32967.75</v>
      </c>
      <c r="W197" s="72">
        <f t="shared" si="8"/>
        <v>33589.083333333336</v>
      </c>
      <c r="AO197" s="1"/>
    </row>
    <row r="198" spans="1:41" ht="27" customHeight="1">
      <c r="A198" s="10"/>
      <c r="B198" s="10" t="s">
        <v>2276</v>
      </c>
      <c r="C198" s="10"/>
      <c r="D198" s="10" t="s">
        <v>3270</v>
      </c>
      <c r="E198" s="10" t="s">
        <v>2277</v>
      </c>
      <c r="F198" s="10" t="s">
        <v>2278</v>
      </c>
      <c r="G198" s="10"/>
      <c r="H198" s="70">
        <v>0.52</v>
      </c>
      <c r="I198" s="70" t="s">
        <v>2946</v>
      </c>
      <c r="J198" s="70">
        <v>1112.6339929999999</v>
      </c>
      <c r="K198" s="65">
        <v>1593.489</v>
      </c>
      <c r="L198" s="71"/>
      <c r="M198" s="65"/>
      <c r="N198" s="65"/>
      <c r="O198" s="65"/>
      <c r="P198" s="65"/>
      <c r="Q198" s="65"/>
      <c r="R198" s="65"/>
      <c r="S198" s="65"/>
      <c r="T198" s="65"/>
      <c r="U198" s="65"/>
      <c r="V198" s="65">
        <f t="shared" si="9"/>
        <v>1353.0614965</v>
      </c>
      <c r="W198" s="72">
        <f t="shared" si="8"/>
        <v>1353.0614965</v>
      </c>
      <c r="AO198" s="1"/>
    </row>
    <row r="199" spans="1:41" ht="27" customHeight="1">
      <c r="A199" s="69" t="s">
        <v>5017</v>
      </c>
      <c r="B199" s="69" t="s">
        <v>5016</v>
      </c>
      <c r="C199" s="69"/>
      <c r="D199" s="69"/>
      <c r="E199" s="69" t="s">
        <v>5015</v>
      </c>
      <c r="F199" s="69" t="s">
        <v>5018</v>
      </c>
      <c r="G199" s="69"/>
      <c r="H199" s="70">
        <v>0.17799999999999999</v>
      </c>
      <c r="I199" s="70" t="s">
        <v>5019</v>
      </c>
      <c r="J199" s="70">
        <v>139.56099999999998</v>
      </c>
      <c r="K199" s="65"/>
      <c r="L199" s="382"/>
      <c r="M199" s="65"/>
      <c r="N199" s="65"/>
      <c r="O199" s="65"/>
      <c r="P199" s="65"/>
      <c r="Q199" s="65"/>
      <c r="R199" s="65"/>
      <c r="S199" s="65"/>
      <c r="T199" s="65"/>
      <c r="U199" s="65"/>
      <c r="V199" s="65">
        <f t="shared" si="9"/>
        <v>139.56099999999998</v>
      </c>
      <c r="W199" s="72">
        <f t="shared" si="8"/>
        <v>139.56099999999998</v>
      </c>
    </row>
    <row r="200" spans="1:41" ht="27" customHeight="1">
      <c r="A200" s="10" t="s">
        <v>608</v>
      </c>
      <c r="B200" s="10" t="s">
        <v>377</v>
      </c>
      <c r="C200" s="10"/>
      <c r="D200" s="10" t="s">
        <v>376</v>
      </c>
      <c r="E200" s="10" t="s">
        <v>3149</v>
      </c>
      <c r="F200" s="10"/>
      <c r="G200" s="10"/>
      <c r="H200" s="70">
        <v>1.05</v>
      </c>
      <c r="I200" s="70"/>
      <c r="J200" s="70">
        <v>0.01</v>
      </c>
      <c r="K200" s="213">
        <v>0.01</v>
      </c>
      <c r="L200" s="71">
        <v>0</v>
      </c>
      <c r="M200" s="65">
        <v>2961</v>
      </c>
      <c r="N200" s="65">
        <v>2278</v>
      </c>
      <c r="O200" s="65">
        <v>3236</v>
      </c>
      <c r="P200" s="65"/>
      <c r="Q200" s="65"/>
      <c r="R200" s="65"/>
      <c r="S200" s="65"/>
      <c r="T200" s="65">
        <v>2621</v>
      </c>
      <c r="U200" s="65">
        <v>3241</v>
      </c>
      <c r="V200" s="65">
        <f t="shared" si="9"/>
        <v>1412.5033333333333</v>
      </c>
      <c r="W200" s="72">
        <f t="shared" si="8"/>
        <v>1792.1275000000001</v>
      </c>
      <c r="AO200" s="1"/>
    </row>
    <row r="201" spans="1:41" ht="27" customHeight="1">
      <c r="A201" s="10" t="s">
        <v>480</v>
      </c>
      <c r="B201" s="10" t="s">
        <v>373</v>
      </c>
      <c r="C201" s="10"/>
      <c r="D201" s="10" t="s">
        <v>372</v>
      </c>
      <c r="E201" s="10" t="s">
        <v>3152</v>
      </c>
      <c r="F201" s="10"/>
      <c r="G201" s="10"/>
      <c r="H201" s="70">
        <v>6.4</v>
      </c>
      <c r="I201" s="65">
        <v>-25</v>
      </c>
      <c r="J201" s="70">
        <v>0</v>
      </c>
      <c r="K201" s="65">
        <v>0</v>
      </c>
      <c r="L201" s="71">
        <v>646</v>
      </c>
      <c r="M201" s="65">
        <v>7884</v>
      </c>
      <c r="N201" s="65">
        <v>23630.9</v>
      </c>
      <c r="O201" s="65">
        <v>6714</v>
      </c>
      <c r="P201" s="65"/>
      <c r="Q201" s="65">
        <v>11738</v>
      </c>
      <c r="R201" s="65">
        <v>8197</v>
      </c>
      <c r="S201" s="65">
        <v>31180</v>
      </c>
      <c r="T201" s="65">
        <v>39679</v>
      </c>
      <c r="U201" s="65">
        <v>24180</v>
      </c>
      <c r="V201" s="65">
        <f t="shared" si="9"/>
        <v>7230.4142857142861</v>
      </c>
      <c r="W201" s="72">
        <f t="shared" si="8"/>
        <v>13986.263636363636</v>
      </c>
      <c r="AO201" s="1"/>
    </row>
    <row r="202" spans="1:41" ht="27" customHeight="1">
      <c r="A202" s="10" t="s">
        <v>480</v>
      </c>
      <c r="B202" s="10" t="s">
        <v>567</v>
      </c>
      <c r="C202" s="10"/>
      <c r="D202" s="10" t="s">
        <v>566</v>
      </c>
      <c r="E202" s="10" t="s">
        <v>3150</v>
      </c>
      <c r="F202" s="10"/>
      <c r="G202" s="10"/>
      <c r="H202" s="70">
        <v>69.38</v>
      </c>
      <c r="I202" s="70"/>
      <c r="J202" s="70">
        <v>0</v>
      </c>
      <c r="K202" s="65">
        <v>39737.07</v>
      </c>
      <c r="L202" s="71">
        <v>47258</v>
      </c>
      <c r="M202" s="65">
        <v>110372.5</v>
      </c>
      <c r="N202" s="65">
        <v>268773.05000000005</v>
      </c>
      <c r="O202" s="65">
        <v>181747.09</v>
      </c>
      <c r="P202" s="65">
        <v>111091.02</v>
      </c>
      <c r="Q202" s="65">
        <v>94694</v>
      </c>
      <c r="R202" s="65">
        <v>57901</v>
      </c>
      <c r="S202" s="65">
        <v>232774</v>
      </c>
      <c r="T202" s="65">
        <v>279756</v>
      </c>
      <c r="U202" s="65">
        <v>153389</v>
      </c>
      <c r="V202" s="65">
        <f t="shared" si="9"/>
        <v>106709.09125000001</v>
      </c>
      <c r="W202" s="72">
        <f t="shared" si="8"/>
        <v>131457.72750000001</v>
      </c>
      <c r="AO202" s="1"/>
    </row>
    <row r="203" spans="1:41" ht="27" customHeight="1">
      <c r="A203" s="10" t="s">
        <v>480</v>
      </c>
      <c r="B203" s="10" t="s">
        <v>565</v>
      </c>
      <c r="C203" s="10"/>
      <c r="D203" s="10" t="s">
        <v>564</v>
      </c>
      <c r="E203" s="10" t="s">
        <v>3151</v>
      </c>
      <c r="F203" s="10"/>
      <c r="G203" s="10"/>
      <c r="H203" s="70">
        <v>28</v>
      </c>
      <c r="I203" s="70"/>
      <c r="J203" s="70">
        <v>0.12</v>
      </c>
      <c r="K203" s="65">
        <v>3315.01</v>
      </c>
      <c r="L203" s="71">
        <v>1657</v>
      </c>
      <c r="M203" s="65">
        <v>30409.1</v>
      </c>
      <c r="N203" s="65">
        <v>103827.02</v>
      </c>
      <c r="O203" s="65">
        <v>51953.08</v>
      </c>
      <c r="P203" s="65">
        <v>5987</v>
      </c>
      <c r="Q203" s="65">
        <v>36473</v>
      </c>
      <c r="R203" s="65">
        <v>17839</v>
      </c>
      <c r="S203" s="65">
        <v>50135</v>
      </c>
      <c r="T203" s="65">
        <v>101540</v>
      </c>
      <c r="U203" s="65">
        <v>58306</v>
      </c>
      <c r="V203" s="65">
        <f t="shared" si="9"/>
        <v>29202.666250000002</v>
      </c>
      <c r="W203" s="72">
        <f t="shared" si="8"/>
        <v>38453.444166666668</v>
      </c>
    </row>
    <row r="204" spans="1:41" ht="27" customHeight="1">
      <c r="A204" s="10" t="s">
        <v>607</v>
      </c>
      <c r="B204" s="10" t="s">
        <v>375</v>
      </c>
      <c r="C204" s="10"/>
      <c r="D204" s="10" t="s">
        <v>374</v>
      </c>
      <c r="E204" s="10" t="s">
        <v>3157</v>
      </c>
      <c r="F204" s="10" t="s">
        <v>2483</v>
      </c>
      <c r="G204" s="10"/>
      <c r="H204" s="70">
        <v>4.9800000000000004</v>
      </c>
      <c r="I204" s="70"/>
      <c r="J204" s="70">
        <v>185</v>
      </c>
      <c r="K204" s="65">
        <v>610</v>
      </c>
      <c r="L204" s="71">
        <v>458</v>
      </c>
      <c r="M204" s="65">
        <v>2497</v>
      </c>
      <c r="N204" s="65">
        <v>22337</v>
      </c>
      <c r="O204" s="65">
        <v>22782</v>
      </c>
      <c r="P204" s="65">
        <v>4434.01</v>
      </c>
      <c r="Q204" s="65">
        <v>13199</v>
      </c>
      <c r="R204" s="65"/>
      <c r="S204" s="65">
        <v>8154</v>
      </c>
      <c r="T204" s="65">
        <v>10889</v>
      </c>
      <c r="U204" s="65">
        <v>5349</v>
      </c>
      <c r="V204" s="65">
        <f t="shared" si="9"/>
        <v>8312.7512500000012</v>
      </c>
      <c r="W204" s="72">
        <f t="shared" si="8"/>
        <v>8263.0918181818197</v>
      </c>
    </row>
    <row r="205" spans="1:41" ht="27" customHeight="1">
      <c r="A205" s="10" t="s">
        <v>474</v>
      </c>
      <c r="B205" s="10" t="s">
        <v>379</v>
      </c>
      <c r="C205" s="10"/>
      <c r="D205" s="10" t="s">
        <v>378</v>
      </c>
      <c r="E205" s="10" t="s">
        <v>3153</v>
      </c>
      <c r="F205" s="10" t="s">
        <v>2680</v>
      </c>
      <c r="G205" s="10"/>
      <c r="H205" s="70">
        <v>0.43</v>
      </c>
      <c r="I205" s="70"/>
      <c r="J205" s="70">
        <v>0.01</v>
      </c>
      <c r="K205" s="65">
        <v>82</v>
      </c>
      <c r="L205" s="71">
        <v>326</v>
      </c>
      <c r="M205" s="65">
        <v>458</v>
      </c>
      <c r="N205" s="65">
        <v>1931</v>
      </c>
      <c r="O205" s="65" t="s">
        <v>115</v>
      </c>
      <c r="P205" s="65" t="s">
        <v>115</v>
      </c>
      <c r="Q205" s="65" t="s">
        <v>115</v>
      </c>
      <c r="R205" s="65" t="s">
        <v>115</v>
      </c>
      <c r="S205" s="65" t="s">
        <v>115</v>
      </c>
      <c r="T205" s="65" t="s">
        <v>115</v>
      </c>
      <c r="U205" s="65" t="s">
        <v>115</v>
      </c>
      <c r="V205" s="65">
        <f t="shared" si="9"/>
        <v>559.40200000000004</v>
      </c>
      <c r="W205" s="72">
        <f t="shared" si="8"/>
        <v>559.40200000000004</v>
      </c>
    </row>
    <row r="206" spans="1:41" ht="27" customHeight="1">
      <c r="A206" s="10" t="s">
        <v>474</v>
      </c>
      <c r="B206" s="10" t="s">
        <v>381</v>
      </c>
      <c r="C206" s="10"/>
      <c r="D206" s="10" t="s">
        <v>380</v>
      </c>
      <c r="E206" s="10" t="s">
        <v>3154</v>
      </c>
      <c r="F206" s="10" t="s">
        <v>2669</v>
      </c>
      <c r="G206" s="10"/>
      <c r="H206" s="70">
        <v>3.2</v>
      </c>
      <c r="I206" s="70"/>
      <c r="J206" s="70">
        <v>0.01</v>
      </c>
      <c r="K206" s="65">
        <v>913</v>
      </c>
      <c r="L206" s="71">
        <v>2556</v>
      </c>
      <c r="M206" s="65">
        <v>3951</v>
      </c>
      <c r="N206" s="65">
        <v>15359</v>
      </c>
      <c r="O206" s="65">
        <v>13691</v>
      </c>
      <c r="P206" s="65">
        <v>8810</v>
      </c>
      <c r="Q206" s="65">
        <v>6337</v>
      </c>
      <c r="R206" s="65">
        <v>2650</v>
      </c>
      <c r="S206" s="65">
        <v>13235</v>
      </c>
      <c r="T206" s="65">
        <v>16804</v>
      </c>
      <c r="U206" s="65">
        <v>8710</v>
      </c>
      <c r="V206" s="65">
        <f t="shared" si="9"/>
        <v>6452.1262500000003</v>
      </c>
      <c r="W206" s="72">
        <f t="shared" si="8"/>
        <v>7751.3341666666674</v>
      </c>
    </row>
    <row r="207" spans="1:41" ht="27" customHeight="1">
      <c r="A207" s="10" t="s">
        <v>474</v>
      </c>
      <c r="B207" s="10" t="s">
        <v>383</v>
      </c>
      <c r="C207" s="10"/>
      <c r="D207" s="10" t="s">
        <v>382</v>
      </c>
      <c r="E207" s="10" t="s">
        <v>3155</v>
      </c>
      <c r="F207" s="10" t="s">
        <v>2666</v>
      </c>
      <c r="G207" s="10"/>
      <c r="H207" s="70">
        <v>4</v>
      </c>
      <c r="I207" s="70"/>
      <c r="J207" s="70">
        <v>0.01</v>
      </c>
      <c r="K207" s="65">
        <v>1185</v>
      </c>
      <c r="L207" s="71">
        <v>3394</v>
      </c>
      <c r="M207" s="65">
        <v>5235</v>
      </c>
      <c r="N207" s="65">
        <v>16144</v>
      </c>
      <c r="O207" s="65">
        <v>18652</v>
      </c>
      <c r="P207" s="65">
        <v>11097</v>
      </c>
      <c r="Q207" s="65">
        <v>9175</v>
      </c>
      <c r="R207" s="65">
        <v>3605</v>
      </c>
      <c r="S207" s="65">
        <v>19764</v>
      </c>
      <c r="T207" s="65">
        <v>16948</v>
      </c>
      <c r="U207" s="65">
        <v>11458</v>
      </c>
      <c r="V207" s="65">
        <f t="shared" si="9"/>
        <v>8110.2512500000003</v>
      </c>
      <c r="W207" s="72">
        <f t="shared" si="8"/>
        <v>9721.4175000000014</v>
      </c>
    </row>
    <row r="208" spans="1:41" ht="27" customHeight="1">
      <c r="A208" s="10"/>
      <c r="B208" s="10" t="s">
        <v>2626</v>
      </c>
      <c r="C208" s="10"/>
      <c r="D208" s="10" t="s">
        <v>2686</v>
      </c>
      <c r="E208" s="10" t="s">
        <v>3156</v>
      </c>
      <c r="F208" s="10" t="s">
        <v>2627</v>
      </c>
      <c r="G208" s="10"/>
      <c r="H208" s="70">
        <v>0.6</v>
      </c>
      <c r="I208" s="70" t="s">
        <v>2688</v>
      </c>
      <c r="J208" s="70">
        <v>0</v>
      </c>
      <c r="K208" s="65">
        <v>1665.345</v>
      </c>
      <c r="L208" s="71"/>
      <c r="M208" s="65"/>
      <c r="N208" s="65"/>
      <c r="O208" s="65"/>
      <c r="P208" s="65"/>
      <c r="Q208" s="65"/>
      <c r="R208" s="65"/>
      <c r="S208" s="65"/>
      <c r="T208" s="65"/>
      <c r="U208" s="65"/>
      <c r="V208" s="65">
        <f t="shared" si="9"/>
        <v>832.67250000000001</v>
      </c>
      <c r="W208" s="72">
        <f t="shared" si="8"/>
        <v>832.67250000000001</v>
      </c>
    </row>
    <row r="209" spans="1:23" ht="27" customHeight="1">
      <c r="A209" s="10" t="s">
        <v>580</v>
      </c>
      <c r="B209" s="10" t="s">
        <v>435</v>
      </c>
      <c r="C209" s="10"/>
      <c r="D209" s="10" t="s">
        <v>434</v>
      </c>
      <c r="E209" s="10" t="s">
        <v>3158</v>
      </c>
      <c r="F209" s="10" t="s">
        <v>2316</v>
      </c>
      <c r="G209" s="10"/>
      <c r="H209" s="70">
        <v>16.2</v>
      </c>
      <c r="I209" s="70"/>
      <c r="J209" s="70">
        <v>28329.05</v>
      </c>
      <c r="K209" s="65">
        <v>20034</v>
      </c>
      <c r="L209" s="71">
        <v>54772</v>
      </c>
      <c r="M209" s="65">
        <v>55855.1</v>
      </c>
      <c r="N209" s="65">
        <v>131637</v>
      </c>
      <c r="O209" s="65">
        <v>78623</v>
      </c>
      <c r="P209" s="65">
        <v>89972</v>
      </c>
      <c r="Q209" s="65">
        <v>51961</v>
      </c>
      <c r="R209" s="65">
        <v>50103</v>
      </c>
      <c r="S209" s="65">
        <v>114472</v>
      </c>
      <c r="T209" s="65">
        <v>94781</v>
      </c>
      <c r="U209" s="65">
        <v>88503</v>
      </c>
      <c r="V209" s="65">
        <f t="shared" si="9"/>
        <v>63897.893750000003</v>
      </c>
      <c r="W209" s="72">
        <f t="shared" si="8"/>
        <v>71586.84583333334</v>
      </c>
    </row>
    <row r="210" spans="1:23" ht="27" customHeight="1">
      <c r="A210" s="10" t="s">
        <v>475</v>
      </c>
      <c r="B210" s="10" t="s">
        <v>385</v>
      </c>
      <c r="C210" s="10"/>
      <c r="D210" s="10" t="s">
        <v>384</v>
      </c>
      <c r="E210" s="10" t="s">
        <v>3159</v>
      </c>
      <c r="F210" s="10" t="s">
        <v>2553</v>
      </c>
      <c r="G210" s="10"/>
      <c r="H210" s="70">
        <v>3.2</v>
      </c>
      <c r="I210" s="70"/>
      <c r="J210" s="70">
        <v>283</v>
      </c>
      <c r="K210" s="65">
        <v>513</v>
      </c>
      <c r="L210" s="71">
        <v>2136</v>
      </c>
      <c r="M210" s="65">
        <v>1088</v>
      </c>
      <c r="N210" s="65">
        <v>3464</v>
      </c>
      <c r="O210" s="65">
        <v>6861</v>
      </c>
      <c r="P210" s="65">
        <v>3747</v>
      </c>
      <c r="Q210" s="65">
        <v>5160</v>
      </c>
      <c r="R210" s="65">
        <v>4580</v>
      </c>
      <c r="S210" s="65">
        <v>9145</v>
      </c>
      <c r="T210" s="65">
        <v>8098</v>
      </c>
      <c r="U210" s="65">
        <v>1958</v>
      </c>
      <c r="V210" s="65">
        <f t="shared" si="9"/>
        <v>2906.5</v>
      </c>
      <c r="W210" s="72">
        <f t="shared" si="8"/>
        <v>3919.4166666666665</v>
      </c>
    </row>
    <row r="211" spans="1:23" ht="27" customHeight="1">
      <c r="A211" s="10" t="s">
        <v>475</v>
      </c>
      <c r="B211" s="10" t="s">
        <v>387</v>
      </c>
      <c r="C211" s="10"/>
      <c r="D211" s="10" t="s">
        <v>386</v>
      </c>
      <c r="E211" s="10" t="s">
        <v>3160</v>
      </c>
      <c r="F211" s="10" t="s">
        <v>2554</v>
      </c>
      <c r="G211" s="10"/>
      <c r="H211" s="70">
        <v>3.1</v>
      </c>
      <c r="I211" s="70"/>
      <c r="J211" s="70">
        <v>2975</v>
      </c>
      <c r="K211" s="65">
        <v>1777</v>
      </c>
      <c r="L211" s="71">
        <v>3737</v>
      </c>
      <c r="M211" s="65">
        <v>5200</v>
      </c>
      <c r="N211" s="65">
        <v>7168</v>
      </c>
      <c r="O211" s="65">
        <v>4985</v>
      </c>
      <c r="P211" s="65">
        <v>3117</v>
      </c>
      <c r="Q211" s="65">
        <v>2701</v>
      </c>
      <c r="R211" s="65">
        <v>2363</v>
      </c>
      <c r="S211" s="65">
        <v>12401</v>
      </c>
      <c r="T211" s="65">
        <v>9892</v>
      </c>
      <c r="U211" s="65">
        <v>4093</v>
      </c>
      <c r="V211" s="65">
        <f t="shared" si="9"/>
        <v>3957.5</v>
      </c>
      <c r="W211" s="72">
        <f t="shared" si="8"/>
        <v>5034.083333333333</v>
      </c>
    </row>
    <row r="212" spans="1:23" ht="27" customHeight="1">
      <c r="A212" s="10"/>
      <c r="B212" s="10" t="s">
        <v>2281</v>
      </c>
      <c r="C212" s="10"/>
      <c r="D212" s="10" t="s">
        <v>3271</v>
      </c>
      <c r="E212" s="10" t="s">
        <v>2282</v>
      </c>
      <c r="F212" s="10" t="s">
        <v>2283</v>
      </c>
      <c r="G212" s="10"/>
      <c r="H212" s="70">
        <v>0.8</v>
      </c>
      <c r="I212" s="70" t="s">
        <v>2946</v>
      </c>
      <c r="J212" s="70">
        <v>0</v>
      </c>
      <c r="K212" s="65">
        <v>120.756</v>
      </c>
      <c r="L212" s="71"/>
      <c r="M212" s="65"/>
      <c r="N212" s="65"/>
      <c r="O212" s="65"/>
      <c r="P212" s="65"/>
      <c r="Q212" s="65"/>
      <c r="R212" s="65"/>
      <c r="S212" s="65"/>
      <c r="T212" s="65"/>
      <c r="U212" s="65"/>
      <c r="V212" s="65">
        <f t="shared" si="9"/>
        <v>60.378</v>
      </c>
      <c r="W212" s="72">
        <f t="shared" si="8"/>
        <v>60.378</v>
      </c>
    </row>
    <row r="213" spans="1:23" ht="27" customHeight="1">
      <c r="A213" s="10" t="s">
        <v>4989</v>
      </c>
      <c r="B213" s="10" t="s">
        <v>4987</v>
      </c>
      <c r="C213" s="10"/>
      <c r="D213" s="10"/>
      <c r="E213" s="10" t="s">
        <v>4990</v>
      </c>
      <c r="F213" s="10" t="s">
        <v>4988</v>
      </c>
      <c r="G213" s="10"/>
      <c r="H213" s="70">
        <v>0.25</v>
      </c>
      <c r="I213" s="380" t="s">
        <v>2946</v>
      </c>
      <c r="J213" s="70">
        <v>234.464</v>
      </c>
      <c r="K213" s="65"/>
      <c r="L213" s="71"/>
      <c r="M213" s="65"/>
      <c r="N213" s="65"/>
      <c r="O213" s="65"/>
      <c r="P213" s="65"/>
      <c r="Q213" s="65"/>
      <c r="R213" s="65"/>
      <c r="S213" s="65"/>
      <c r="T213" s="65"/>
      <c r="U213" s="65"/>
      <c r="V213" s="65">
        <f t="shared" si="9"/>
        <v>234.464</v>
      </c>
      <c r="W213" s="72">
        <f t="shared" si="8"/>
        <v>234.464</v>
      </c>
    </row>
    <row r="214" spans="1:23" ht="27" customHeight="1">
      <c r="A214" s="10" t="s">
        <v>480</v>
      </c>
      <c r="B214" s="10" t="s">
        <v>389</v>
      </c>
      <c r="C214" s="10"/>
      <c r="D214" s="10" t="s">
        <v>388</v>
      </c>
      <c r="E214" s="10" t="s">
        <v>3161</v>
      </c>
      <c r="F214" s="10"/>
      <c r="G214" s="10"/>
      <c r="H214" s="70">
        <v>0.64</v>
      </c>
      <c r="I214" s="70"/>
      <c r="J214" s="70">
        <v>0</v>
      </c>
      <c r="K214" s="65">
        <v>2392</v>
      </c>
      <c r="L214" s="71">
        <v>3776</v>
      </c>
      <c r="M214" s="65">
        <v>1791</v>
      </c>
      <c r="N214" s="65">
        <v>1081.9000000000001</v>
      </c>
      <c r="O214" s="65">
        <v>1890.6</v>
      </c>
      <c r="P214" s="65">
        <v>1980</v>
      </c>
      <c r="Q214" s="65">
        <v>1419</v>
      </c>
      <c r="R214" s="65"/>
      <c r="S214" s="65"/>
      <c r="T214" s="65"/>
      <c r="U214" s="65">
        <v>1608</v>
      </c>
      <c r="V214" s="65">
        <f t="shared" si="9"/>
        <v>1791.3125</v>
      </c>
      <c r="W214" s="72">
        <f t="shared" si="8"/>
        <v>1770.9444444444443</v>
      </c>
    </row>
    <row r="215" spans="1:23" ht="27" customHeight="1">
      <c r="A215" s="10"/>
      <c r="B215" s="10" t="s">
        <v>4869</v>
      </c>
      <c r="C215" s="10"/>
      <c r="D215" s="10"/>
      <c r="E215" s="10" t="s">
        <v>4871</v>
      </c>
      <c r="F215" s="10" t="s">
        <v>4870</v>
      </c>
      <c r="G215" s="10"/>
      <c r="H215" s="70"/>
      <c r="I215" s="70"/>
      <c r="J215" s="70">
        <v>0</v>
      </c>
      <c r="K215" s="213"/>
      <c r="L215" s="71"/>
      <c r="M215" s="65"/>
      <c r="N215" s="65"/>
      <c r="O215" s="65"/>
      <c r="P215" s="65"/>
      <c r="Q215" s="65"/>
      <c r="R215" s="65"/>
      <c r="S215" s="65"/>
      <c r="T215" s="65"/>
      <c r="U215" s="65"/>
      <c r="V215" s="65">
        <f t="shared" si="9"/>
        <v>0</v>
      </c>
      <c r="W215" s="72">
        <f t="shared" si="8"/>
        <v>0</v>
      </c>
    </row>
    <row r="216" spans="1:23" ht="27" customHeight="1">
      <c r="A216" s="10" t="s">
        <v>573</v>
      </c>
      <c r="B216" s="10" t="s">
        <v>4872</v>
      </c>
      <c r="C216" s="10"/>
      <c r="D216" s="10" t="s">
        <v>322</v>
      </c>
      <c r="E216" s="10" t="s">
        <v>3162</v>
      </c>
      <c r="F216" s="10" t="s">
        <v>2566</v>
      </c>
      <c r="G216" s="10"/>
      <c r="H216" s="70">
        <v>0.86</v>
      </c>
      <c r="I216" s="70" t="s">
        <v>2946</v>
      </c>
      <c r="J216" s="70">
        <v>3463</v>
      </c>
      <c r="K216" s="65">
        <v>2884.5529999999999</v>
      </c>
      <c r="L216" s="71">
        <v>0</v>
      </c>
      <c r="M216" s="65">
        <v>0</v>
      </c>
      <c r="N216" s="65">
        <v>3785</v>
      </c>
      <c r="O216" s="65">
        <v>4085</v>
      </c>
      <c r="P216" s="65">
        <v>4042</v>
      </c>
      <c r="Q216" s="65">
        <v>3762</v>
      </c>
      <c r="R216" s="65">
        <v>5246</v>
      </c>
      <c r="S216" s="65">
        <v>3190</v>
      </c>
      <c r="T216" s="65">
        <v>3143</v>
      </c>
      <c r="U216" s="65">
        <v>3289</v>
      </c>
      <c r="V216" s="65">
        <f t="shared" si="9"/>
        <v>2752.694125</v>
      </c>
      <c r="W216" s="72">
        <f t="shared" si="8"/>
        <v>3074.1294166666667</v>
      </c>
    </row>
    <row r="217" spans="1:23" ht="27" customHeight="1">
      <c r="A217" s="10" t="s">
        <v>585</v>
      </c>
      <c r="B217" s="10" t="s">
        <v>391</v>
      </c>
      <c r="C217" s="10"/>
      <c r="D217" s="10" t="s">
        <v>390</v>
      </c>
      <c r="E217" s="10" t="s">
        <v>3163</v>
      </c>
      <c r="F217" s="10"/>
      <c r="G217" s="10"/>
      <c r="H217" s="70">
        <v>8.5399999999999991</v>
      </c>
      <c r="I217" s="70"/>
      <c r="J217" s="70">
        <v>0</v>
      </c>
      <c r="K217" s="213">
        <v>0.01</v>
      </c>
      <c r="L217" s="71">
        <v>0</v>
      </c>
      <c r="M217" s="65">
        <v>30976</v>
      </c>
      <c r="N217" s="65">
        <v>35748</v>
      </c>
      <c r="O217" s="65">
        <v>20863</v>
      </c>
      <c r="P217" s="65">
        <v>17830</v>
      </c>
      <c r="Q217" s="65">
        <v>7945</v>
      </c>
      <c r="R217" s="65">
        <v>41502</v>
      </c>
      <c r="S217" s="65">
        <v>60480</v>
      </c>
      <c r="T217" s="65">
        <v>59424</v>
      </c>
      <c r="U217" s="65">
        <v>61704</v>
      </c>
      <c r="V217" s="65">
        <f t="shared" si="9"/>
        <v>14170.251249999999</v>
      </c>
      <c r="W217" s="72">
        <f t="shared" si="8"/>
        <v>28039.334166666667</v>
      </c>
    </row>
    <row r="218" spans="1:23" ht="27" customHeight="1">
      <c r="A218" s="10" t="s">
        <v>4875</v>
      </c>
      <c r="B218" s="10" t="s">
        <v>4873</v>
      </c>
      <c r="C218" s="10"/>
      <c r="D218" s="10"/>
      <c r="E218" s="10" t="s">
        <v>4874</v>
      </c>
      <c r="F218" s="10" t="s">
        <v>4876</v>
      </c>
      <c r="G218" s="10"/>
      <c r="H218" s="70"/>
      <c r="I218" s="70"/>
      <c r="J218" s="70">
        <v>0</v>
      </c>
      <c r="K218" s="213"/>
      <c r="L218" s="71"/>
      <c r="M218" s="65"/>
      <c r="N218" s="65"/>
      <c r="O218" s="65"/>
      <c r="P218" s="65"/>
      <c r="Q218" s="65"/>
      <c r="R218" s="65"/>
      <c r="S218" s="65"/>
      <c r="T218" s="65"/>
      <c r="U218" s="65"/>
      <c r="V218" s="65">
        <f t="shared" si="9"/>
        <v>0</v>
      </c>
      <c r="W218" s="72">
        <f t="shared" si="8"/>
        <v>0</v>
      </c>
    </row>
    <row r="219" spans="1:23" ht="27" customHeight="1">
      <c r="A219" s="10" t="s">
        <v>475</v>
      </c>
      <c r="B219" s="10" t="s">
        <v>393</v>
      </c>
      <c r="C219" s="10"/>
      <c r="D219" s="10" t="s">
        <v>392</v>
      </c>
      <c r="E219" s="10" t="s">
        <v>3164</v>
      </c>
      <c r="F219" s="10" t="s">
        <v>2565</v>
      </c>
      <c r="G219" s="10"/>
      <c r="H219" s="70">
        <v>0.48</v>
      </c>
      <c r="I219" s="70"/>
      <c r="J219" s="70">
        <v>297</v>
      </c>
      <c r="K219" s="65">
        <v>448</v>
      </c>
      <c r="L219" s="71">
        <v>806</v>
      </c>
      <c r="M219" s="65">
        <v>1634</v>
      </c>
      <c r="N219" s="65">
        <v>3741</v>
      </c>
      <c r="O219" s="65">
        <v>3813</v>
      </c>
      <c r="P219" s="65">
        <v>2603</v>
      </c>
      <c r="Q219" s="65">
        <v>3442</v>
      </c>
      <c r="R219" s="65">
        <v>1388</v>
      </c>
      <c r="S219" s="65">
        <v>3654</v>
      </c>
      <c r="T219" s="65">
        <v>2929</v>
      </c>
      <c r="U219" s="65">
        <v>2214</v>
      </c>
      <c r="V219" s="65">
        <f t="shared" si="9"/>
        <v>2098</v>
      </c>
      <c r="W219" s="72">
        <f t="shared" si="8"/>
        <v>2247.4166666666665</v>
      </c>
    </row>
    <row r="220" spans="1:23" ht="27" customHeight="1">
      <c r="A220" s="10" t="s">
        <v>601</v>
      </c>
      <c r="B220" s="10" t="s">
        <v>2295</v>
      </c>
      <c r="C220" s="10"/>
      <c r="D220" s="10" t="s">
        <v>3272</v>
      </c>
      <c r="E220" s="10" t="s">
        <v>2296</v>
      </c>
      <c r="F220" s="10" t="s">
        <v>2297</v>
      </c>
      <c r="G220" s="10"/>
      <c r="H220" s="70">
        <v>0.6</v>
      </c>
      <c r="I220" s="70" t="s">
        <v>2946</v>
      </c>
      <c r="J220" s="70">
        <v>1260.7864999999999</v>
      </c>
      <c r="K220" s="65">
        <v>1363.9949999999999</v>
      </c>
      <c r="L220" s="71"/>
      <c r="M220" s="65"/>
      <c r="N220" s="65"/>
      <c r="O220" s="65"/>
      <c r="P220" s="65"/>
      <c r="Q220" s="65"/>
      <c r="R220" s="65"/>
      <c r="S220" s="65"/>
      <c r="T220" s="65"/>
      <c r="U220" s="65"/>
      <c r="V220" s="65">
        <f t="shared" si="9"/>
        <v>1312.39075</v>
      </c>
      <c r="W220" s="72">
        <f t="shared" si="8"/>
        <v>1312.39075</v>
      </c>
    </row>
    <row r="221" spans="1:23" ht="27" customHeight="1">
      <c r="A221" s="69" t="s">
        <v>792</v>
      </c>
      <c r="B221" s="69" t="s">
        <v>791</v>
      </c>
      <c r="C221" s="69"/>
      <c r="D221" s="69" t="s">
        <v>790</v>
      </c>
      <c r="E221" s="69" t="s">
        <v>3165</v>
      </c>
      <c r="F221" s="69"/>
      <c r="G221" s="69"/>
      <c r="H221" s="380">
        <v>4.4000000000000004</v>
      </c>
      <c r="I221" s="380"/>
      <c r="J221" s="70">
        <v>0</v>
      </c>
      <c r="K221" s="385">
        <v>0</v>
      </c>
      <c r="L221" s="382">
        <v>0</v>
      </c>
      <c r="M221" s="65">
        <v>15138</v>
      </c>
      <c r="N221" s="65">
        <v>12776</v>
      </c>
      <c r="O221" s="65">
        <v>22898</v>
      </c>
      <c r="P221" s="65"/>
      <c r="Q221" s="65"/>
      <c r="R221" s="65"/>
      <c r="S221" s="65"/>
      <c r="T221" s="65"/>
      <c r="U221" s="65"/>
      <c r="V221" s="65">
        <f t="shared" si="9"/>
        <v>8468.6666666666661</v>
      </c>
      <c r="W221" s="72">
        <f t="shared" si="8"/>
        <v>8468.6666666666661</v>
      </c>
    </row>
    <row r="222" spans="1:23" ht="27" customHeight="1">
      <c r="A222" s="10" t="s">
        <v>65</v>
      </c>
      <c r="B222" s="10" t="s">
        <v>395</v>
      </c>
      <c r="C222" s="10"/>
      <c r="D222" s="10" t="s">
        <v>394</v>
      </c>
      <c r="E222" s="10" t="s">
        <v>3167</v>
      </c>
      <c r="F222" s="10"/>
      <c r="G222" s="10"/>
      <c r="H222" s="70">
        <v>0.48</v>
      </c>
      <c r="I222" s="70"/>
      <c r="J222" s="70">
        <v>2418</v>
      </c>
      <c r="K222" s="65">
        <v>2301</v>
      </c>
      <c r="L222" s="71">
        <v>3046</v>
      </c>
      <c r="M222" s="65">
        <v>1932</v>
      </c>
      <c r="N222" s="65">
        <v>1767</v>
      </c>
      <c r="O222" s="65">
        <v>2079</v>
      </c>
      <c r="P222" s="65">
        <v>2380</v>
      </c>
      <c r="Q222" s="65">
        <v>1037</v>
      </c>
      <c r="R222" s="65">
        <v>1015</v>
      </c>
      <c r="S222" s="65">
        <v>1071</v>
      </c>
      <c r="T222" s="65" t="s">
        <v>115</v>
      </c>
      <c r="U222" s="65" t="s">
        <v>115</v>
      </c>
      <c r="V222" s="65">
        <f t="shared" si="9"/>
        <v>2120</v>
      </c>
      <c r="W222" s="72">
        <f t="shared" si="8"/>
        <v>1904.6</v>
      </c>
    </row>
    <row r="223" spans="1:23" ht="27" customHeight="1">
      <c r="A223" s="10" t="s">
        <v>588</v>
      </c>
      <c r="B223" s="10" t="s">
        <v>397</v>
      </c>
      <c r="C223" s="10"/>
      <c r="D223" s="10" t="s">
        <v>396</v>
      </c>
      <c r="E223" s="10" t="s">
        <v>3168</v>
      </c>
      <c r="F223" s="10" t="s">
        <v>4831</v>
      </c>
      <c r="G223" s="10"/>
      <c r="H223" s="70">
        <v>4.2</v>
      </c>
      <c r="I223" s="70"/>
      <c r="J223" s="70">
        <v>3285</v>
      </c>
      <c r="K223" s="65">
        <v>4377</v>
      </c>
      <c r="L223" s="71">
        <v>5483</v>
      </c>
      <c r="M223" s="65">
        <v>8038</v>
      </c>
      <c r="N223" s="65">
        <v>14808</v>
      </c>
      <c r="O223" s="65">
        <v>15766</v>
      </c>
      <c r="P223" s="65">
        <v>7857</v>
      </c>
      <c r="Q223" s="65">
        <v>8657</v>
      </c>
      <c r="R223" s="65">
        <v>0</v>
      </c>
      <c r="S223" s="65">
        <v>14601</v>
      </c>
      <c r="T223" s="65">
        <v>15253</v>
      </c>
      <c r="U223" s="65">
        <v>11117</v>
      </c>
      <c r="V223" s="65">
        <f t="shared" si="9"/>
        <v>8533.875</v>
      </c>
      <c r="W223" s="72">
        <f t="shared" si="8"/>
        <v>9103.5</v>
      </c>
    </row>
    <row r="224" spans="1:23" ht="27" customHeight="1">
      <c r="A224" s="10" t="s">
        <v>596</v>
      </c>
      <c r="B224" s="10" t="s">
        <v>399</v>
      </c>
      <c r="C224" s="10"/>
      <c r="D224" s="10" t="s">
        <v>398</v>
      </c>
      <c r="E224" s="10" t="s">
        <v>3169</v>
      </c>
      <c r="F224" s="10" t="s">
        <v>2228</v>
      </c>
      <c r="G224" s="10"/>
      <c r="H224" s="70">
        <v>12.1</v>
      </c>
      <c r="I224" s="70"/>
      <c r="J224" s="70">
        <v>15091.01</v>
      </c>
      <c r="K224" s="65">
        <v>13087</v>
      </c>
      <c r="L224" s="71">
        <v>18320</v>
      </c>
      <c r="M224" s="65">
        <v>28304.1</v>
      </c>
      <c r="N224" s="65">
        <v>53532</v>
      </c>
      <c r="O224" s="65">
        <v>37010</v>
      </c>
      <c r="P224" s="65">
        <v>32209</v>
      </c>
      <c r="Q224" s="65">
        <v>21193</v>
      </c>
      <c r="R224" s="65">
        <v>17547</v>
      </c>
      <c r="S224" s="65">
        <v>52732</v>
      </c>
      <c r="T224" s="65">
        <v>36207.100000000006</v>
      </c>
      <c r="U224" s="65">
        <v>33965</v>
      </c>
      <c r="V224" s="65">
        <f t="shared" si="9"/>
        <v>27343.263749999998</v>
      </c>
      <c r="W224" s="72">
        <f t="shared" si="8"/>
        <v>29933.10083333333</v>
      </c>
    </row>
    <row r="225" spans="1:23" ht="27" customHeight="1">
      <c r="A225" s="69" t="s">
        <v>586</v>
      </c>
      <c r="B225" s="69" t="s">
        <v>5022</v>
      </c>
      <c r="C225" s="69"/>
      <c r="D225" s="69" t="s">
        <v>5255</v>
      </c>
      <c r="E225" s="69" t="s">
        <v>5021</v>
      </c>
      <c r="F225" s="69" t="s">
        <v>5024</v>
      </c>
      <c r="G225" s="69"/>
      <c r="H225" s="70" t="s">
        <v>5023</v>
      </c>
      <c r="I225" s="70" t="s">
        <v>5256</v>
      </c>
      <c r="J225" s="70">
        <v>371.42099999999999</v>
      </c>
      <c r="K225" s="65"/>
      <c r="L225" s="382"/>
      <c r="M225" s="65"/>
      <c r="N225" s="65"/>
      <c r="O225" s="65"/>
      <c r="P225" s="65"/>
      <c r="Q225" s="65"/>
      <c r="R225" s="65"/>
      <c r="S225" s="65"/>
      <c r="T225" s="65"/>
      <c r="U225" s="65"/>
      <c r="V225" s="65">
        <f t="shared" si="9"/>
        <v>371.42099999999999</v>
      </c>
      <c r="W225" s="72">
        <f t="shared" si="8"/>
        <v>371.42099999999999</v>
      </c>
    </row>
    <row r="226" spans="1:23" ht="27" customHeight="1">
      <c r="A226" s="10" t="s">
        <v>474</v>
      </c>
      <c r="B226" s="10" t="s">
        <v>403</v>
      </c>
      <c r="C226" s="10"/>
      <c r="D226" s="10" t="s">
        <v>402</v>
      </c>
      <c r="E226" s="10" t="s">
        <v>3170</v>
      </c>
      <c r="F226" s="10" t="s">
        <v>2657</v>
      </c>
      <c r="G226" s="10"/>
      <c r="H226" s="70">
        <v>7</v>
      </c>
      <c r="I226" s="70"/>
      <c r="J226" s="70">
        <v>19895</v>
      </c>
      <c r="K226" s="65">
        <v>30054</v>
      </c>
      <c r="L226" s="71">
        <v>38305</v>
      </c>
      <c r="M226" s="65">
        <v>40198</v>
      </c>
      <c r="N226" s="65">
        <v>49968</v>
      </c>
      <c r="O226" s="65">
        <v>17216</v>
      </c>
      <c r="P226" s="65">
        <v>42665</v>
      </c>
      <c r="Q226" s="65">
        <v>43113</v>
      </c>
      <c r="R226" s="65">
        <v>48577</v>
      </c>
      <c r="S226" s="65">
        <v>51640</v>
      </c>
      <c r="T226" s="65">
        <v>51560</v>
      </c>
      <c r="U226" s="65">
        <v>53592</v>
      </c>
      <c r="V226" s="65">
        <f t="shared" si="9"/>
        <v>35176.75</v>
      </c>
      <c r="W226" s="72">
        <f t="shared" si="8"/>
        <v>40565.25</v>
      </c>
    </row>
    <row r="227" spans="1:23" ht="27" customHeight="1">
      <c r="A227" s="10" t="s">
        <v>474</v>
      </c>
      <c r="B227" s="10" t="s">
        <v>409</v>
      </c>
      <c r="C227" s="287"/>
      <c r="D227" s="10" t="s">
        <v>408</v>
      </c>
      <c r="E227" s="10" t="s">
        <v>3172</v>
      </c>
      <c r="F227" s="10" t="s">
        <v>2658</v>
      </c>
      <c r="G227" s="10"/>
      <c r="H227" s="70">
        <v>7</v>
      </c>
      <c r="I227" s="70"/>
      <c r="J227" s="70">
        <v>18660</v>
      </c>
      <c r="K227" s="65">
        <v>18589</v>
      </c>
      <c r="L227" s="71">
        <v>20420</v>
      </c>
      <c r="M227" s="65">
        <v>28834</v>
      </c>
      <c r="N227" s="65">
        <v>26644</v>
      </c>
      <c r="O227" s="65">
        <v>28244</v>
      </c>
      <c r="P227" s="65">
        <v>30350</v>
      </c>
      <c r="Q227" s="65">
        <v>21279</v>
      </c>
      <c r="R227" s="65">
        <v>22310</v>
      </c>
      <c r="S227" s="65">
        <v>36344</v>
      </c>
      <c r="T227" s="65">
        <v>27394</v>
      </c>
      <c r="U227" s="65">
        <v>26793</v>
      </c>
      <c r="V227" s="65">
        <f t="shared" si="9"/>
        <v>24127.5</v>
      </c>
      <c r="W227" s="72">
        <f t="shared" si="8"/>
        <v>25488.416666666668</v>
      </c>
    </row>
    <row r="228" spans="1:23" ht="27" customHeight="1">
      <c r="A228" s="10" t="s">
        <v>474</v>
      </c>
      <c r="B228" s="10" t="s">
        <v>411</v>
      </c>
      <c r="C228" s="10"/>
      <c r="D228" s="10" t="s">
        <v>410</v>
      </c>
      <c r="E228" s="10" t="s">
        <v>3173</v>
      </c>
      <c r="F228" s="252" t="s">
        <v>2665</v>
      </c>
      <c r="G228" s="252"/>
      <c r="H228" s="70">
        <v>4.4000000000000004</v>
      </c>
      <c r="I228" s="70"/>
      <c r="J228" s="70">
        <v>8978</v>
      </c>
      <c r="K228" s="65">
        <v>8326</v>
      </c>
      <c r="L228" s="71">
        <v>8174</v>
      </c>
      <c r="M228" s="65">
        <v>14971</v>
      </c>
      <c r="N228" s="65">
        <v>20572</v>
      </c>
      <c r="O228" s="65">
        <v>19621</v>
      </c>
      <c r="P228" s="65">
        <v>15178</v>
      </c>
      <c r="Q228" s="65">
        <v>12158</v>
      </c>
      <c r="R228" s="65">
        <v>14722</v>
      </c>
      <c r="S228" s="65">
        <v>25029</v>
      </c>
      <c r="T228" s="65">
        <v>17442</v>
      </c>
      <c r="U228" s="65">
        <v>14491</v>
      </c>
      <c r="V228" s="65">
        <f t="shared" si="9"/>
        <v>13497.25</v>
      </c>
      <c r="W228" s="72">
        <f t="shared" si="8"/>
        <v>14971.833333333334</v>
      </c>
    </row>
    <row r="229" spans="1:23" ht="27" customHeight="1">
      <c r="A229" s="10" t="s">
        <v>474</v>
      </c>
      <c r="B229" s="10" t="s">
        <v>413</v>
      </c>
      <c r="C229" s="10"/>
      <c r="D229" s="10" t="s">
        <v>412</v>
      </c>
      <c r="E229" s="10" t="s">
        <v>3174</v>
      </c>
      <c r="F229" s="10" t="s">
        <v>2662</v>
      </c>
      <c r="G229" s="10"/>
      <c r="H229" s="70">
        <v>5.8</v>
      </c>
      <c r="I229" s="70"/>
      <c r="J229" s="70">
        <v>16871</v>
      </c>
      <c r="K229" s="65">
        <v>3450</v>
      </c>
      <c r="L229" s="71">
        <v>24335</v>
      </c>
      <c r="M229" s="65">
        <v>26991</v>
      </c>
      <c r="N229" s="65">
        <v>39236</v>
      </c>
      <c r="O229" s="65">
        <v>32381</v>
      </c>
      <c r="P229" s="65">
        <v>32979</v>
      </c>
      <c r="Q229" s="65">
        <v>26285</v>
      </c>
      <c r="R229" s="65">
        <v>24435</v>
      </c>
      <c r="S229" s="65">
        <v>42151</v>
      </c>
      <c r="T229" s="65">
        <v>43031</v>
      </c>
      <c r="U229" s="65">
        <v>30050</v>
      </c>
      <c r="V229" s="65">
        <f t="shared" si="9"/>
        <v>25316</v>
      </c>
      <c r="W229" s="72">
        <f t="shared" si="8"/>
        <v>28516.25</v>
      </c>
    </row>
    <row r="230" spans="1:23" ht="27" customHeight="1">
      <c r="A230" s="10" t="s">
        <v>604</v>
      </c>
      <c r="B230" s="10" t="s">
        <v>330</v>
      </c>
      <c r="C230" s="10"/>
      <c r="D230" s="10" t="s">
        <v>329</v>
      </c>
      <c r="E230" s="10" t="s">
        <v>3175</v>
      </c>
      <c r="F230" s="10"/>
      <c r="G230" s="10"/>
      <c r="H230" s="70">
        <v>6</v>
      </c>
      <c r="I230" s="70"/>
      <c r="J230" s="70">
        <v>2150</v>
      </c>
      <c r="K230" s="65">
        <v>8850</v>
      </c>
      <c r="L230" s="71">
        <v>12613</v>
      </c>
      <c r="M230" s="65">
        <v>10798</v>
      </c>
      <c r="N230" s="65">
        <v>29966</v>
      </c>
      <c r="O230" s="65">
        <v>19747</v>
      </c>
      <c r="P230" s="65">
        <v>15238</v>
      </c>
      <c r="Q230" s="65">
        <v>12394</v>
      </c>
      <c r="R230" s="65">
        <v>13544</v>
      </c>
      <c r="S230" s="65">
        <v>29861</v>
      </c>
      <c r="T230" s="65">
        <v>27978</v>
      </c>
      <c r="U230" s="65">
        <v>14346</v>
      </c>
      <c r="V230" s="65">
        <f t="shared" si="9"/>
        <v>13969.5</v>
      </c>
      <c r="W230" s="72">
        <f t="shared" si="8"/>
        <v>16457.083333333332</v>
      </c>
    </row>
    <row r="231" spans="1:23" ht="27" customHeight="1">
      <c r="A231" s="10" t="s">
        <v>474</v>
      </c>
      <c r="B231" s="10" t="s">
        <v>415</v>
      </c>
      <c r="C231" s="10"/>
      <c r="D231" s="10" t="s">
        <v>414</v>
      </c>
      <c r="E231" s="10" t="s">
        <v>3176</v>
      </c>
      <c r="F231" s="10" t="s">
        <v>2659</v>
      </c>
      <c r="G231" s="10"/>
      <c r="H231" s="70">
        <v>7</v>
      </c>
      <c r="I231" s="70"/>
      <c r="J231" s="70">
        <v>25131</v>
      </c>
      <c r="K231" s="65">
        <v>13937</v>
      </c>
      <c r="L231" s="71">
        <v>30618</v>
      </c>
      <c r="M231" s="65">
        <v>20467</v>
      </c>
      <c r="N231" s="65">
        <v>40695</v>
      </c>
      <c r="O231" s="65">
        <v>41706</v>
      </c>
      <c r="P231" s="65">
        <v>38572</v>
      </c>
      <c r="Q231" s="65">
        <v>33866</v>
      </c>
      <c r="R231" s="65">
        <v>24079</v>
      </c>
      <c r="S231" s="65">
        <v>42981</v>
      </c>
      <c r="T231" s="65">
        <v>44243</v>
      </c>
      <c r="U231" s="65">
        <v>37611</v>
      </c>
      <c r="V231" s="65">
        <f t="shared" si="9"/>
        <v>30624</v>
      </c>
      <c r="W231" s="72">
        <f t="shared" ref="W231:W272" si="10">AVERAGE(J231:U231)</f>
        <v>32825.5</v>
      </c>
    </row>
    <row r="232" spans="1:23" ht="27" customHeight="1">
      <c r="A232" s="10" t="s">
        <v>583</v>
      </c>
      <c r="B232" s="10" t="s">
        <v>150</v>
      </c>
      <c r="C232" s="10"/>
      <c r="D232" s="10" t="s">
        <v>149</v>
      </c>
      <c r="E232" s="10" t="s">
        <v>3177</v>
      </c>
      <c r="F232" s="10" t="s">
        <v>4991</v>
      </c>
      <c r="G232" s="10"/>
      <c r="H232" s="70">
        <v>1</v>
      </c>
      <c r="I232" s="70"/>
      <c r="J232" s="70">
        <v>743</v>
      </c>
      <c r="K232" s="65">
        <v>2157</v>
      </c>
      <c r="L232" s="71">
        <v>2932</v>
      </c>
      <c r="M232" s="65">
        <v>2219</v>
      </c>
      <c r="N232" s="65">
        <v>1137</v>
      </c>
      <c r="O232" s="65">
        <v>1552</v>
      </c>
      <c r="P232" s="65">
        <v>774</v>
      </c>
      <c r="Q232" s="65">
        <v>2342</v>
      </c>
      <c r="R232" s="65">
        <v>2571</v>
      </c>
      <c r="S232" s="65">
        <v>1771</v>
      </c>
      <c r="T232" s="65">
        <v>1108</v>
      </c>
      <c r="U232" s="65">
        <v>2267</v>
      </c>
      <c r="V232" s="65">
        <f t="shared" si="9"/>
        <v>1732</v>
      </c>
      <c r="W232" s="72">
        <f t="shared" si="10"/>
        <v>1797.75</v>
      </c>
    </row>
    <row r="233" spans="1:23" ht="27" customHeight="1">
      <c r="A233" s="10" t="s">
        <v>576</v>
      </c>
      <c r="B233" s="10" t="s">
        <v>417</v>
      </c>
      <c r="C233" s="10"/>
      <c r="D233" s="10" t="s">
        <v>416</v>
      </c>
      <c r="E233" s="10" t="s">
        <v>3178</v>
      </c>
      <c r="F233" s="10" t="s">
        <v>5149</v>
      </c>
      <c r="G233" s="10"/>
      <c r="H233" s="70">
        <v>3.65</v>
      </c>
      <c r="I233" s="70"/>
      <c r="J233" s="70">
        <v>1478</v>
      </c>
      <c r="K233" s="65">
        <v>9542</v>
      </c>
      <c r="L233" s="71">
        <v>13200</v>
      </c>
      <c r="M233" s="65">
        <v>12172</v>
      </c>
      <c r="N233" s="65">
        <v>18050</v>
      </c>
      <c r="O233" s="65">
        <v>8362</v>
      </c>
      <c r="P233" s="65">
        <v>8482</v>
      </c>
      <c r="Q233" s="65">
        <v>13715</v>
      </c>
      <c r="R233" s="65">
        <v>11103</v>
      </c>
      <c r="S233" s="65">
        <v>16298</v>
      </c>
      <c r="T233" s="65">
        <v>7253</v>
      </c>
      <c r="U233" s="65">
        <v>12935</v>
      </c>
      <c r="V233" s="65">
        <f t="shared" si="9"/>
        <v>10625.125</v>
      </c>
      <c r="W233" s="72">
        <f t="shared" si="10"/>
        <v>11049.166666666666</v>
      </c>
    </row>
    <row r="234" spans="1:23" ht="27" customHeight="1">
      <c r="A234" s="10" t="s">
        <v>481</v>
      </c>
      <c r="B234" s="10" t="s">
        <v>2003</v>
      </c>
      <c r="C234" s="10"/>
      <c r="D234" s="10" t="s">
        <v>2929</v>
      </c>
      <c r="E234" s="10" t="s">
        <v>2004</v>
      </c>
      <c r="F234" s="10"/>
      <c r="G234" s="10"/>
      <c r="H234" s="70">
        <v>0.25</v>
      </c>
      <c r="I234" s="70" t="s">
        <v>2946</v>
      </c>
      <c r="J234" s="70">
        <v>0</v>
      </c>
      <c r="K234" s="65">
        <v>140.19999999999999</v>
      </c>
      <c r="L234" s="71"/>
      <c r="M234" s="65"/>
      <c r="N234" s="65"/>
      <c r="O234" s="65"/>
      <c r="P234" s="65"/>
      <c r="Q234" s="65"/>
      <c r="R234" s="65"/>
      <c r="S234" s="65"/>
      <c r="T234" s="65"/>
      <c r="U234" s="65"/>
      <c r="V234" s="65">
        <f t="shared" si="9"/>
        <v>70.099999999999994</v>
      </c>
      <c r="W234" s="72">
        <f t="shared" si="10"/>
        <v>70.099999999999994</v>
      </c>
    </row>
    <row r="235" spans="1:23" ht="27" customHeight="1">
      <c r="A235" s="10" t="s">
        <v>479</v>
      </c>
      <c r="B235" s="10" t="s">
        <v>421</v>
      </c>
      <c r="C235" s="10"/>
      <c r="D235" s="10" t="s">
        <v>420</v>
      </c>
      <c r="E235" s="10" t="s">
        <v>3179</v>
      </c>
      <c r="F235" s="10"/>
      <c r="G235" s="10"/>
      <c r="H235" s="70">
        <v>5</v>
      </c>
      <c r="I235" s="70"/>
      <c r="J235" s="70">
        <v>5841</v>
      </c>
      <c r="K235" s="65">
        <v>5288.01</v>
      </c>
      <c r="L235" s="71">
        <v>7843</v>
      </c>
      <c r="M235" s="65">
        <v>14256</v>
      </c>
      <c r="N235" s="65">
        <v>14256</v>
      </c>
      <c r="O235" s="65">
        <v>14206</v>
      </c>
      <c r="P235" s="65">
        <v>5600</v>
      </c>
      <c r="Q235" s="65">
        <v>10094</v>
      </c>
      <c r="R235" s="65">
        <v>7229.4</v>
      </c>
      <c r="S235" s="65">
        <v>17329</v>
      </c>
      <c r="T235" s="65">
        <v>18634</v>
      </c>
      <c r="U235" s="65">
        <v>16509</v>
      </c>
      <c r="V235" s="65">
        <f t="shared" si="9"/>
        <v>9673.0012500000012</v>
      </c>
      <c r="W235" s="72">
        <f t="shared" si="10"/>
        <v>11423.784166666666</v>
      </c>
    </row>
    <row r="236" spans="1:23" ht="27" customHeight="1">
      <c r="A236" s="10" t="s">
        <v>4879</v>
      </c>
      <c r="B236" s="10" t="s">
        <v>4878</v>
      </c>
      <c r="C236" s="10"/>
      <c r="D236" s="10"/>
      <c r="E236" s="10" t="s">
        <v>4880</v>
      </c>
      <c r="F236" s="10" t="s">
        <v>4881</v>
      </c>
      <c r="G236" s="10"/>
      <c r="H236" s="70"/>
      <c r="I236" s="70"/>
      <c r="J236" s="70">
        <v>0</v>
      </c>
      <c r="K236" s="65"/>
      <c r="L236" s="71"/>
      <c r="M236" s="65"/>
      <c r="N236" s="65"/>
      <c r="O236" s="65"/>
      <c r="P236" s="65"/>
      <c r="Q236" s="65"/>
      <c r="R236" s="65"/>
      <c r="S236" s="65"/>
      <c r="T236" s="65"/>
      <c r="U236" s="65"/>
      <c r="V236" s="65">
        <f t="shared" si="9"/>
        <v>0</v>
      </c>
      <c r="W236" s="72">
        <f t="shared" si="10"/>
        <v>0</v>
      </c>
    </row>
    <row r="237" spans="1:23" ht="27" customHeight="1">
      <c r="A237" s="10" t="s">
        <v>4885</v>
      </c>
      <c r="B237" s="10" t="s">
        <v>4882</v>
      </c>
      <c r="C237" s="10"/>
      <c r="D237" s="10"/>
      <c r="E237" s="10" t="s">
        <v>4883</v>
      </c>
      <c r="F237" s="10" t="s">
        <v>4884</v>
      </c>
      <c r="G237" s="10"/>
      <c r="H237" s="70"/>
      <c r="I237" s="70"/>
      <c r="J237" s="70">
        <v>0</v>
      </c>
      <c r="K237" s="65"/>
      <c r="L237" s="71"/>
      <c r="M237" s="65"/>
      <c r="N237" s="65"/>
      <c r="O237" s="65"/>
      <c r="P237" s="65"/>
      <c r="Q237" s="65"/>
      <c r="R237" s="65"/>
      <c r="S237" s="65"/>
      <c r="T237" s="65"/>
      <c r="U237" s="65"/>
      <c r="V237" s="65">
        <f t="shared" si="9"/>
        <v>0</v>
      </c>
      <c r="W237" s="72">
        <f t="shared" si="10"/>
        <v>0</v>
      </c>
    </row>
    <row r="238" spans="1:23" ht="27" customHeight="1">
      <c r="A238" s="10" t="s">
        <v>585</v>
      </c>
      <c r="B238" s="10" t="s">
        <v>427</v>
      </c>
      <c r="C238" s="10"/>
      <c r="D238" s="10" t="s">
        <v>426</v>
      </c>
      <c r="E238" s="10" t="s">
        <v>3180</v>
      </c>
      <c r="F238" s="10"/>
      <c r="G238" s="10"/>
      <c r="H238" s="70">
        <v>2.85</v>
      </c>
      <c r="I238" s="70"/>
      <c r="J238" s="70">
        <v>20973</v>
      </c>
      <c r="K238" s="65">
        <v>16144</v>
      </c>
      <c r="L238" s="71">
        <v>17713</v>
      </c>
      <c r="M238" s="65">
        <v>17151</v>
      </c>
      <c r="N238" s="65">
        <v>13699</v>
      </c>
      <c r="O238" s="65">
        <v>19519</v>
      </c>
      <c r="P238" s="65">
        <v>18372</v>
      </c>
      <c r="Q238" s="65">
        <v>16451</v>
      </c>
      <c r="R238" s="65">
        <v>10535</v>
      </c>
      <c r="S238" s="65">
        <v>6969</v>
      </c>
      <c r="T238" s="65">
        <v>13798</v>
      </c>
      <c r="U238" s="65">
        <v>11427</v>
      </c>
      <c r="V238" s="65">
        <f t="shared" si="9"/>
        <v>17502.75</v>
      </c>
      <c r="W238" s="72">
        <f t="shared" si="10"/>
        <v>15229.25</v>
      </c>
    </row>
    <row r="239" spans="1:23" ht="27" customHeight="1">
      <c r="A239" s="10" t="s">
        <v>1737</v>
      </c>
      <c r="B239" s="10" t="s">
        <v>1736</v>
      </c>
      <c r="C239" s="10"/>
      <c r="D239" s="10" t="s">
        <v>3274</v>
      </c>
      <c r="E239" s="10" t="s">
        <v>3181</v>
      </c>
      <c r="F239" s="10" t="s">
        <v>5005</v>
      </c>
      <c r="G239" s="10"/>
      <c r="H239" s="10">
        <v>0.125</v>
      </c>
      <c r="I239" s="10" t="s">
        <v>2946</v>
      </c>
      <c r="J239" s="70">
        <v>0</v>
      </c>
      <c r="K239" s="211">
        <v>406.98599999999999</v>
      </c>
      <c r="L239" s="10"/>
      <c r="M239" s="65"/>
      <c r="N239" s="65"/>
      <c r="O239" s="65"/>
      <c r="P239" s="65"/>
      <c r="Q239" s="65"/>
      <c r="R239" s="65"/>
      <c r="S239" s="65"/>
      <c r="T239" s="65"/>
      <c r="U239" s="65"/>
      <c r="V239" s="65">
        <f t="shared" si="9"/>
        <v>203.49299999999999</v>
      </c>
      <c r="W239" s="72">
        <f t="shared" si="10"/>
        <v>203.49299999999999</v>
      </c>
    </row>
    <row r="240" spans="1:23" ht="27" customHeight="1">
      <c r="A240" s="10" t="s">
        <v>595</v>
      </c>
      <c r="B240" s="10" t="s">
        <v>269</v>
      </c>
      <c r="C240" s="10"/>
      <c r="D240" s="10" t="s">
        <v>268</v>
      </c>
      <c r="E240" s="10" t="s">
        <v>3182</v>
      </c>
      <c r="F240" s="10" t="s">
        <v>2576</v>
      </c>
      <c r="G240" s="10"/>
      <c r="H240" s="70">
        <v>20</v>
      </c>
      <c r="I240" s="70"/>
      <c r="J240" s="70">
        <v>9620.09</v>
      </c>
      <c r="K240" s="65">
        <v>5581.1</v>
      </c>
      <c r="L240" s="71">
        <v>24768</v>
      </c>
      <c r="M240" s="65">
        <v>24211.799999999996</v>
      </c>
      <c r="N240" s="65">
        <v>76545.01999999999</v>
      </c>
      <c r="O240" s="65">
        <v>52795.030000000006</v>
      </c>
      <c r="P240" s="65">
        <v>34772</v>
      </c>
      <c r="Q240" s="65">
        <v>30816</v>
      </c>
      <c r="R240" s="65">
        <v>24578</v>
      </c>
      <c r="S240" s="65">
        <v>71243</v>
      </c>
      <c r="T240" s="65">
        <v>56067</v>
      </c>
      <c r="U240" s="65">
        <v>29997</v>
      </c>
      <c r="V240" s="65">
        <f t="shared" si="9"/>
        <v>32388.629999999997</v>
      </c>
      <c r="W240" s="72">
        <f t="shared" si="10"/>
        <v>36749.503333333334</v>
      </c>
    </row>
    <row r="241" spans="1:23" ht="27" customHeight="1">
      <c r="A241" s="10" t="s">
        <v>611</v>
      </c>
      <c r="B241" s="10" t="s">
        <v>431</v>
      </c>
      <c r="C241" s="10"/>
      <c r="D241" s="10" t="s">
        <v>430</v>
      </c>
      <c r="E241" s="10" t="s">
        <v>3183</v>
      </c>
      <c r="F241" s="10" t="s">
        <v>2312</v>
      </c>
      <c r="G241" s="10"/>
      <c r="H241" s="70">
        <v>1.3</v>
      </c>
      <c r="I241" s="70"/>
      <c r="J241" s="70">
        <v>4223</v>
      </c>
      <c r="K241" s="65">
        <v>4994</v>
      </c>
      <c r="L241" s="71">
        <v>4181</v>
      </c>
      <c r="M241" s="65">
        <v>6621</v>
      </c>
      <c r="N241" s="65">
        <v>7843</v>
      </c>
      <c r="O241" s="65">
        <v>8894</v>
      </c>
      <c r="P241" s="65">
        <v>5926</v>
      </c>
      <c r="Q241" s="65">
        <v>6216</v>
      </c>
      <c r="R241" s="65">
        <v>6008</v>
      </c>
      <c r="S241" s="65">
        <v>7390</v>
      </c>
      <c r="T241" s="65">
        <v>8240</v>
      </c>
      <c r="U241" s="65">
        <v>5838</v>
      </c>
      <c r="V241" s="65">
        <f t="shared" si="9"/>
        <v>6112.25</v>
      </c>
      <c r="W241" s="72">
        <f t="shared" si="10"/>
        <v>6364.5</v>
      </c>
    </row>
    <row r="242" spans="1:23" ht="27" customHeight="1">
      <c r="A242" s="10"/>
      <c r="B242" s="10" t="s">
        <v>2497</v>
      </c>
      <c r="C242" s="10"/>
      <c r="D242" s="10" t="s">
        <v>3275</v>
      </c>
      <c r="E242" s="10" t="s">
        <v>3184</v>
      </c>
      <c r="F242" s="10" t="s">
        <v>2498</v>
      </c>
      <c r="G242" s="10"/>
      <c r="H242" s="70">
        <v>0.52</v>
      </c>
      <c r="I242" s="70" t="s">
        <v>2946</v>
      </c>
      <c r="J242" s="70">
        <v>535.88199999999995</v>
      </c>
      <c r="K242" s="65">
        <v>1499.5060000000001</v>
      </c>
      <c r="L242" s="71"/>
      <c r="M242" s="65"/>
      <c r="N242" s="65"/>
      <c r="O242" s="65"/>
      <c r="P242" s="65"/>
      <c r="Q242" s="65"/>
      <c r="R242" s="65"/>
      <c r="S242" s="65"/>
      <c r="T242" s="65"/>
      <c r="U242" s="65"/>
      <c r="V242" s="65">
        <f t="shared" si="9"/>
        <v>1017.694</v>
      </c>
      <c r="W242" s="72">
        <f t="shared" si="10"/>
        <v>1017.694</v>
      </c>
    </row>
    <row r="243" spans="1:23" ht="27" customHeight="1">
      <c r="A243" s="10" t="s">
        <v>474</v>
      </c>
      <c r="B243" s="10" t="s">
        <v>433</v>
      </c>
      <c r="C243" s="10"/>
      <c r="D243" s="10" t="s">
        <v>432</v>
      </c>
      <c r="E243" s="10" t="s">
        <v>3185</v>
      </c>
      <c r="F243" s="10" t="s">
        <v>2675</v>
      </c>
      <c r="G243" s="10"/>
      <c r="H243" s="70">
        <v>1.3</v>
      </c>
      <c r="I243" s="70"/>
      <c r="J243" s="70">
        <v>1875</v>
      </c>
      <c r="K243" s="65">
        <v>1542</v>
      </c>
      <c r="L243" s="71">
        <v>3903</v>
      </c>
      <c r="M243" s="65">
        <v>3404</v>
      </c>
      <c r="N243" s="65">
        <v>5852</v>
      </c>
      <c r="O243" s="65">
        <v>5328</v>
      </c>
      <c r="P243" s="65">
        <v>3312</v>
      </c>
      <c r="Q243" s="65">
        <v>3483</v>
      </c>
      <c r="R243" s="65">
        <v>4025</v>
      </c>
      <c r="S243" s="65">
        <v>5966</v>
      </c>
      <c r="T243" s="65">
        <v>5732</v>
      </c>
      <c r="U243" s="65">
        <v>5801</v>
      </c>
      <c r="V243" s="65">
        <f t="shared" si="9"/>
        <v>3587.375</v>
      </c>
      <c r="W243" s="72">
        <f t="shared" si="10"/>
        <v>4185.25</v>
      </c>
    </row>
    <row r="244" spans="1:23" ht="27" customHeight="1">
      <c r="A244" s="10"/>
      <c r="B244" s="10" t="s">
        <v>4886</v>
      </c>
      <c r="C244" s="10"/>
      <c r="D244" s="10"/>
      <c r="E244" s="10" t="s">
        <v>4888</v>
      </c>
      <c r="F244" s="10" t="s">
        <v>4887</v>
      </c>
      <c r="G244" s="10"/>
      <c r="H244" s="70"/>
      <c r="I244" s="70"/>
      <c r="J244" s="70">
        <v>0</v>
      </c>
      <c r="K244" s="65"/>
      <c r="L244" s="71"/>
      <c r="M244" s="65"/>
      <c r="N244" s="65"/>
      <c r="O244" s="65"/>
      <c r="P244" s="65"/>
      <c r="Q244" s="65"/>
      <c r="R244" s="65"/>
      <c r="S244" s="65"/>
      <c r="T244" s="65"/>
      <c r="U244" s="65"/>
      <c r="V244" s="65">
        <f t="shared" si="9"/>
        <v>0</v>
      </c>
      <c r="W244" s="72">
        <f t="shared" si="10"/>
        <v>0</v>
      </c>
    </row>
    <row r="245" spans="1:23" ht="27" customHeight="1">
      <c r="A245" s="10" t="s">
        <v>610</v>
      </c>
      <c r="B245" s="10" t="s">
        <v>423</v>
      </c>
      <c r="C245" s="10"/>
      <c r="D245" s="10" t="s">
        <v>422</v>
      </c>
      <c r="E245" s="10" t="s">
        <v>3186</v>
      </c>
      <c r="F245" s="10" t="s">
        <v>2484</v>
      </c>
      <c r="G245" s="10"/>
      <c r="H245" s="70">
        <v>1.4</v>
      </c>
      <c r="I245" s="70"/>
      <c r="J245" s="70">
        <v>0.01</v>
      </c>
      <c r="K245" s="65">
        <v>3</v>
      </c>
      <c r="L245" s="71">
        <v>12</v>
      </c>
      <c r="M245" s="65">
        <v>953</v>
      </c>
      <c r="N245" s="65">
        <v>2372</v>
      </c>
      <c r="O245" s="65">
        <v>2473</v>
      </c>
      <c r="P245" s="65">
        <v>1221</v>
      </c>
      <c r="Q245" s="65">
        <v>314</v>
      </c>
      <c r="R245" s="65">
        <v>158</v>
      </c>
      <c r="S245" s="65">
        <v>3512</v>
      </c>
      <c r="T245" s="65">
        <v>3183</v>
      </c>
      <c r="U245" s="65">
        <v>509</v>
      </c>
      <c r="V245" s="65">
        <f t="shared" si="9"/>
        <v>918.50125000000003</v>
      </c>
      <c r="W245" s="72">
        <f t="shared" si="10"/>
        <v>1225.8341666666668</v>
      </c>
    </row>
    <row r="246" spans="1:23" ht="27" customHeight="1">
      <c r="A246" s="10" t="s">
        <v>474</v>
      </c>
      <c r="B246" s="10" t="s">
        <v>437</v>
      </c>
      <c r="C246" s="10"/>
      <c r="D246" s="10" t="s">
        <v>436</v>
      </c>
      <c r="E246" s="10" t="s">
        <v>3188</v>
      </c>
      <c r="F246" s="10" t="s">
        <v>2661</v>
      </c>
      <c r="G246" s="10"/>
      <c r="H246" s="70">
        <v>6.4</v>
      </c>
      <c r="I246" s="70"/>
      <c r="J246" s="70">
        <v>0</v>
      </c>
      <c r="K246" s="65">
        <v>3305</v>
      </c>
      <c r="L246" s="71">
        <v>6759</v>
      </c>
      <c r="M246" s="65">
        <v>12437</v>
      </c>
      <c r="N246" s="65">
        <v>27254</v>
      </c>
      <c r="O246" s="65">
        <v>25772</v>
      </c>
      <c r="P246" s="65">
        <v>17803</v>
      </c>
      <c r="Q246" s="65">
        <v>20369</v>
      </c>
      <c r="R246" s="65">
        <v>9685</v>
      </c>
      <c r="S246" s="65">
        <v>25625</v>
      </c>
      <c r="T246" s="65">
        <v>27725</v>
      </c>
      <c r="U246" s="65">
        <v>17318</v>
      </c>
      <c r="V246" s="65">
        <f t="shared" si="9"/>
        <v>14212.375</v>
      </c>
      <c r="W246" s="72">
        <f t="shared" si="10"/>
        <v>16171</v>
      </c>
    </row>
    <row r="247" spans="1:23" ht="27" customHeight="1">
      <c r="A247" s="10" t="s">
        <v>475</v>
      </c>
      <c r="B247" s="10" t="s">
        <v>439</v>
      </c>
      <c r="C247" s="10"/>
      <c r="D247" s="10" t="s">
        <v>438</v>
      </c>
      <c r="E247" s="10" t="s">
        <v>3187</v>
      </c>
      <c r="F247" s="252" t="s">
        <v>2579</v>
      </c>
      <c r="G247" s="252"/>
      <c r="H247" s="70">
        <v>2.52</v>
      </c>
      <c r="I247" s="70"/>
      <c r="J247" s="70">
        <v>2959.5</v>
      </c>
      <c r="K247" s="65">
        <v>6693</v>
      </c>
      <c r="L247" s="71">
        <v>6067</v>
      </c>
      <c r="M247" s="65">
        <v>11075</v>
      </c>
      <c r="N247" s="65"/>
      <c r="O247" s="65"/>
      <c r="P247" s="65">
        <v>10239</v>
      </c>
      <c r="Q247" s="65">
        <v>14387</v>
      </c>
      <c r="R247" s="65">
        <v>10494</v>
      </c>
      <c r="S247" s="65">
        <v>12808</v>
      </c>
      <c r="T247" s="65"/>
      <c r="U247" s="65">
        <v>10870</v>
      </c>
      <c r="V247" s="65">
        <f t="shared" si="9"/>
        <v>8570.0833333333339</v>
      </c>
      <c r="W247" s="72">
        <f t="shared" si="10"/>
        <v>9510.2777777777774</v>
      </c>
    </row>
    <row r="248" spans="1:23" ht="27" customHeight="1">
      <c r="A248" s="10" t="s">
        <v>580</v>
      </c>
      <c r="B248" s="10" t="s">
        <v>441</v>
      </c>
      <c r="C248" s="10"/>
      <c r="D248" s="10" t="s">
        <v>440</v>
      </c>
      <c r="E248" s="10" t="s">
        <v>3189</v>
      </c>
      <c r="F248" s="10"/>
      <c r="G248" s="10"/>
      <c r="H248" s="70">
        <v>17.100000000000001</v>
      </c>
      <c r="I248" s="70"/>
      <c r="J248" s="70">
        <v>23098</v>
      </c>
      <c r="K248" s="65">
        <v>91456.62</v>
      </c>
      <c r="L248" s="71">
        <v>107520</v>
      </c>
      <c r="M248" s="65">
        <v>113893.3</v>
      </c>
      <c r="N248" s="65">
        <v>105711.13</v>
      </c>
      <c r="O248" s="65">
        <v>95627.03</v>
      </c>
      <c r="P248" s="65">
        <v>95374</v>
      </c>
      <c r="Q248" s="65">
        <v>93280</v>
      </c>
      <c r="R248" s="65">
        <v>108852</v>
      </c>
      <c r="S248" s="65">
        <v>138725</v>
      </c>
      <c r="T248" s="65">
        <v>90170</v>
      </c>
      <c r="U248" s="65">
        <v>89267</v>
      </c>
      <c r="V248" s="65">
        <f t="shared" si="9"/>
        <v>90745.01</v>
      </c>
      <c r="W248" s="72">
        <f t="shared" si="10"/>
        <v>96081.17333333334</v>
      </c>
    </row>
    <row r="249" spans="1:23" ht="27" customHeight="1">
      <c r="A249" s="10"/>
      <c r="B249" s="10" t="s">
        <v>1939</v>
      </c>
      <c r="C249" s="10"/>
      <c r="D249" s="10" t="s">
        <v>3276</v>
      </c>
      <c r="E249" s="10" t="s">
        <v>2318</v>
      </c>
      <c r="F249" s="10" t="s">
        <v>2317</v>
      </c>
      <c r="G249" s="10"/>
      <c r="H249" s="70">
        <v>0.6</v>
      </c>
      <c r="I249" s="70" t="s">
        <v>2946</v>
      </c>
      <c r="J249" s="70">
        <v>1258.038</v>
      </c>
      <c r="K249" s="65">
        <v>1841.2850000000001</v>
      </c>
      <c r="L249" s="71"/>
      <c r="M249" s="65"/>
      <c r="N249" s="65"/>
      <c r="O249" s="65"/>
      <c r="P249" s="65"/>
      <c r="Q249" s="65"/>
      <c r="R249" s="65"/>
      <c r="S249" s="65"/>
      <c r="T249" s="65"/>
      <c r="U249" s="65"/>
      <c r="V249" s="65">
        <f t="shared" si="9"/>
        <v>1549.6615000000002</v>
      </c>
      <c r="W249" s="72">
        <f t="shared" si="10"/>
        <v>1549.6615000000002</v>
      </c>
    </row>
    <row r="250" spans="1:23" ht="27" customHeight="1">
      <c r="A250" s="10" t="s">
        <v>592</v>
      </c>
      <c r="B250" s="10" t="s">
        <v>443</v>
      </c>
      <c r="C250" s="10"/>
      <c r="D250" s="10" t="s">
        <v>442</v>
      </c>
      <c r="E250" s="10" t="s">
        <v>3190</v>
      </c>
      <c r="F250" s="10" t="s">
        <v>5184</v>
      </c>
      <c r="G250" s="10"/>
      <c r="H250" s="70">
        <v>3.3</v>
      </c>
      <c r="I250" s="70" t="s">
        <v>2946</v>
      </c>
      <c r="J250" s="70">
        <v>0.01</v>
      </c>
      <c r="K250" s="65">
        <v>0</v>
      </c>
      <c r="L250" s="71">
        <v>7512</v>
      </c>
      <c r="M250" s="65">
        <v>7779</v>
      </c>
      <c r="N250" s="65">
        <v>10151</v>
      </c>
      <c r="O250" s="65">
        <v>9998</v>
      </c>
      <c r="P250" s="65">
        <v>7925</v>
      </c>
      <c r="Q250" s="65">
        <v>7039</v>
      </c>
      <c r="R250" s="65">
        <v>9542</v>
      </c>
      <c r="S250" s="65">
        <v>9849</v>
      </c>
      <c r="T250" s="65">
        <v>10213</v>
      </c>
      <c r="U250" s="65">
        <v>10148</v>
      </c>
      <c r="V250" s="65">
        <f t="shared" si="9"/>
        <v>6300.5012500000003</v>
      </c>
      <c r="W250" s="72">
        <f t="shared" si="10"/>
        <v>7513.0008333333344</v>
      </c>
    </row>
    <row r="251" spans="1:23" ht="27" customHeight="1">
      <c r="A251" s="10" t="s">
        <v>574</v>
      </c>
      <c r="B251" s="10" t="s">
        <v>1973</v>
      </c>
      <c r="C251" s="10"/>
      <c r="D251" s="10" t="s">
        <v>1977</v>
      </c>
      <c r="E251" s="10" t="s">
        <v>1974</v>
      </c>
      <c r="F251" s="10"/>
      <c r="G251" s="10"/>
      <c r="H251" s="70">
        <v>0.42</v>
      </c>
      <c r="I251" s="70"/>
      <c r="J251" s="70">
        <v>0</v>
      </c>
      <c r="K251" s="213">
        <v>0</v>
      </c>
      <c r="L251" s="71"/>
      <c r="M251" s="65"/>
      <c r="N251" s="65"/>
      <c r="O251" s="65"/>
      <c r="P251" s="65"/>
      <c r="Q251" s="65"/>
      <c r="R251" s="65"/>
      <c r="S251" s="65"/>
      <c r="T251" s="65"/>
      <c r="U251" s="65"/>
      <c r="V251" s="65">
        <f t="shared" si="9"/>
        <v>0</v>
      </c>
      <c r="W251" s="72">
        <f t="shared" si="10"/>
        <v>0</v>
      </c>
    </row>
    <row r="252" spans="1:23" ht="27" customHeight="1">
      <c r="A252" s="10"/>
      <c r="B252" s="10" t="s">
        <v>2186</v>
      </c>
      <c r="C252" s="10"/>
      <c r="D252" s="10" t="s">
        <v>3277</v>
      </c>
      <c r="E252" s="10" t="s">
        <v>2311</v>
      </c>
      <c r="F252" s="10" t="s">
        <v>2310</v>
      </c>
      <c r="G252" s="10"/>
      <c r="H252" s="70">
        <v>0.52</v>
      </c>
      <c r="I252" s="70" t="s">
        <v>2946</v>
      </c>
      <c r="J252" s="70">
        <v>702.35199999999998</v>
      </c>
      <c r="K252" s="211">
        <v>938</v>
      </c>
      <c r="L252" s="10">
        <v>1066</v>
      </c>
      <c r="M252" s="65">
        <v>1022</v>
      </c>
      <c r="N252" s="65"/>
      <c r="O252" s="65"/>
      <c r="P252" s="65"/>
      <c r="Q252" s="65"/>
      <c r="R252" s="65"/>
      <c r="S252" s="65"/>
      <c r="T252" s="65"/>
      <c r="U252" s="65"/>
      <c r="V252" s="65">
        <f t="shared" si="9"/>
        <v>932.08799999999997</v>
      </c>
      <c r="W252" s="72">
        <f t="shared" si="10"/>
        <v>932.08799999999997</v>
      </c>
    </row>
    <row r="253" spans="1:23" ht="27" customHeight="1">
      <c r="A253" s="10" t="s">
        <v>592</v>
      </c>
      <c r="B253" s="10" t="s">
        <v>445</v>
      </c>
      <c r="C253" s="10"/>
      <c r="D253" s="10" t="s">
        <v>444</v>
      </c>
      <c r="E253" s="10" t="s">
        <v>2076</v>
      </c>
      <c r="F253" s="10" t="s">
        <v>5184</v>
      </c>
      <c r="G253" s="10"/>
      <c r="H253" s="70">
        <v>4.4000000000000004</v>
      </c>
      <c r="I253" s="70"/>
      <c r="J253" s="70">
        <v>6093</v>
      </c>
      <c r="K253" s="65">
        <v>6860</v>
      </c>
      <c r="L253" s="71">
        <v>10152</v>
      </c>
      <c r="M253" s="65">
        <v>10024</v>
      </c>
      <c r="N253" s="65">
        <v>11884</v>
      </c>
      <c r="O253" s="65">
        <v>12179</v>
      </c>
      <c r="P253" s="65">
        <v>9864</v>
      </c>
      <c r="Q253" s="65">
        <v>9407</v>
      </c>
      <c r="R253" s="65">
        <v>10988</v>
      </c>
      <c r="S253" s="65">
        <v>11313</v>
      </c>
      <c r="T253" s="65">
        <v>12241</v>
      </c>
      <c r="U253" s="65">
        <v>11857</v>
      </c>
      <c r="V253" s="65">
        <f t="shared" si="9"/>
        <v>9557.875</v>
      </c>
      <c r="W253" s="72">
        <f t="shared" si="10"/>
        <v>10238.5</v>
      </c>
    </row>
    <row r="254" spans="1:23" ht="27" customHeight="1">
      <c r="A254" s="10" t="s">
        <v>480</v>
      </c>
      <c r="B254" s="10" t="s">
        <v>569</v>
      </c>
      <c r="C254" s="10"/>
      <c r="D254" s="10" t="s">
        <v>568</v>
      </c>
      <c r="E254" s="10" t="s">
        <v>3191</v>
      </c>
      <c r="F254" s="10" t="s">
        <v>480</v>
      </c>
      <c r="G254" s="10"/>
      <c r="H254" s="70">
        <v>37.5</v>
      </c>
      <c r="I254" s="70"/>
      <c r="J254" s="70">
        <v>238</v>
      </c>
      <c r="K254" s="65">
        <v>27397</v>
      </c>
      <c r="L254" s="71">
        <v>43525</v>
      </c>
      <c r="M254" s="65">
        <v>85937</v>
      </c>
      <c r="N254" s="65">
        <v>100069</v>
      </c>
      <c r="O254" s="65">
        <v>99423</v>
      </c>
      <c r="P254" s="65">
        <v>51687.01</v>
      </c>
      <c r="Q254" s="65">
        <v>67289</v>
      </c>
      <c r="R254" s="65">
        <v>67725</v>
      </c>
      <c r="S254" s="65">
        <v>140503</v>
      </c>
      <c r="T254" s="65">
        <v>106596</v>
      </c>
      <c r="U254" s="65">
        <v>48808</v>
      </c>
      <c r="V254" s="65">
        <f t="shared" si="9"/>
        <v>59445.626250000001</v>
      </c>
      <c r="W254" s="72">
        <f t="shared" si="10"/>
        <v>69933.084166666667</v>
      </c>
    </row>
    <row r="255" spans="1:23" ht="27" customHeight="1">
      <c r="A255" s="10"/>
      <c r="B255" s="10" t="s">
        <v>1960</v>
      </c>
      <c r="C255" s="10"/>
      <c r="D255" s="10"/>
      <c r="E255" s="10" t="s">
        <v>3192</v>
      </c>
      <c r="F255" s="10"/>
      <c r="G255" s="10"/>
      <c r="H255" s="70">
        <v>0.26</v>
      </c>
      <c r="I255" s="70"/>
      <c r="J255" s="70">
        <v>0</v>
      </c>
      <c r="K255" s="213">
        <v>0</v>
      </c>
      <c r="L255" s="71"/>
      <c r="M255" s="65"/>
      <c r="N255" s="65"/>
      <c r="O255" s="65"/>
      <c r="P255" s="65"/>
      <c r="Q255" s="65"/>
      <c r="R255" s="65"/>
      <c r="S255" s="65"/>
      <c r="T255" s="65"/>
      <c r="U255" s="65"/>
      <c r="V255" s="65">
        <f t="shared" si="9"/>
        <v>0</v>
      </c>
      <c r="W255" s="72">
        <f t="shared" si="10"/>
        <v>0</v>
      </c>
    </row>
    <row r="256" spans="1:23" ht="27" customHeight="1">
      <c r="A256" s="10" t="s">
        <v>585</v>
      </c>
      <c r="B256" s="10" t="s">
        <v>447</v>
      </c>
      <c r="C256" s="10"/>
      <c r="D256" s="10" t="s">
        <v>446</v>
      </c>
      <c r="E256" s="10" t="s">
        <v>3193</v>
      </c>
      <c r="F256" s="10"/>
      <c r="G256" s="10"/>
      <c r="H256" s="70">
        <v>4.0999999999999996</v>
      </c>
      <c r="I256" s="70"/>
      <c r="J256" s="70">
        <v>11729</v>
      </c>
      <c r="K256" s="65">
        <v>20471</v>
      </c>
      <c r="L256" s="71">
        <v>8371</v>
      </c>
      <c r="M256" s="65">
        <v>9635</v>
      </c>
      <c r="N256" s="65">
        <v>9336</v>
      </c>
      <c r="O256" s="65">
        <v>8851</v>
      </c>
      <c r="P256" s="65">
        <v>4928</v>
      </c>
      <c r="Q256" s="65"/>
      <c r="R256" s="65">
        <v>1284</v>
      </c>
      <c r="S256" s="65">
        <v>6960</v>
      </c>
      <c r="T256" s="65">
        <v>2004</v>
      </c>
      <c r="U256" s="65"/>
      <c r="V256" s="65">
        <f t="shared" si="9"/>
        <v>10474.428571428571</v>
      </c>
      <c r="W256" s="72">
        <f t="shared" si="10"/>
        <v>8356.9</v>
      </c>
    </row>
    <row r="257" spans="1:23" ht="27" customHeight="1">
      <c r="A257" s="69" t="s">
        <v>4998</v>
      </c>
      <c r="B257" s="69" t="s">
        <v>4997</v>
      </c>
      <c r="C257" s="69"/>
      <c r="D257" s="69"/>
      <c r="E257" s="69" t="s">
        <v>4996</v>
      </c>
      <c r="F257" s="69" t="s">
        <v>4999</v>
      </c>
      <c r="G257" s="69"/>
      <c r="H257" s="70">
        <v>0.25</v>
      </c>
      <c r="I257" s="70" t="s">
        <v>5250</v>
      </c>
      <c r="J257" s="70">
        <v>0</v>
      </c>
      <c r="K257" s="65">
        <v>0</v>
      </c>
      <c r="L257" s="382"/>
      <c r="M257" s="65"/>
      <c r="N257" s="65"/>
      <c r="O257" s="65"/>
      <c r="P257" s="65"/>
      <c r="Q257" s="65"/>
      <c r="R257" s="65"/>
      <c r="S257" s="65"/>
      <c r="T257" s="65"/>
      <c r="U257" s="65"/>
      <c r="V257" s="65">
        <f t="shared" si="9"/>
        <v>0</v>
      </c>
      <c r="W257" s="72">
        <f t="shared" si="10"/>
        <v>0</v>
      </c>
    </row>
    <row r="258" spans="1:23" ht="27" customHeight="1">
      <c r="A258" s="10" t="s">
        <v>4889</v>
      </c>
      <c r="B258" s="10" t="s">
        <v>4890</v>
      </c>
      <c r="C258" s="10"/>
      <c r="D258" s="10" t="s">
        <v>3273</v>
      </c>
      <c r="E258" s="10" t="s">
        <v>3171</v>
      </c>
      <c r="F258" s="10" t="s">
        <v>2567</v>
      </c>
      <c r="G258" s="10"/>
      <c r="H258" s="70">
        <v>0.39500000000000002</v>
      </c>
      <c r="I258" s="70" t="s">
        <v>2946</v>
      </c>
      <c r="J258" s="70">
        <v>68.390999999999991</v>
      </c>
      <c r="K258" s="65">
        <v>143.029</v>
      </c>
      <c r="L258" s="71"/>
      <c r="M258" s="65"/>
      <c r="N258" s="65"/>
      <c r="O258" s="65"/>
      <c r="P258" s="65"/>
      <c r="Q258" s="65"/>
      <c r="R258" s="65"/>
      <c r="S258" s="65"/>
      <c r="T258" s="65"/>
      <c r="U258" s="65"/>
      <c r="V258" s="65">
        <f t="shared" si="9"/>
        <v>105.71</v>
      </c>
      <c r="W258" s="72">
        <f t="shared" si="10"/>
        <v>105.71</v>
      </c>
    </row>
    <row r="259" spans="1:23" ht="27" customHeight="1">
      <c r="A259" s="10" t="s">
        <v>585</v>
      </c>
      <c r="B259" s="10" t="s">
        <v>449</v>
      </c>
      <c r="C259" s="10"/>
      <c r="D259" s="10" t="s">
        <v>448</v>
      </c>
      <c r="E259" s="10" t="s">
        <v>3194</v>
      </c>
      <c r="F259" s="10" t="s">
        <v>2580</v>
      </c>
      <c r="G259" s="10"/>
      <c r="H259" s="70">
        <v>10.119999999999999</v>
      </c>
      <c r="I259" s="70"/>
      <c r="J259" s="70">
        <v>0.12</v>
      </c>
      <c r="K259" s="213">
        <v>0.12</v>
      </c>
      <c r="L259" s="71">
        <v>0</v>
      </c>
      <c r="M259" s="65">
        <v>6972.4</v>
      </c>
      <c r="N259" s="65">
        <v>14334.07</v>
      </c>
      <c r="O259" s="65">
        <v>8663.08</v>
      </c>
      <c r="P259" s="65">
        <v>11268</v>
      </c>
      <c r="Q259" s="65"/>
      <c r="R259" s="65">
        <v>22459</v>
      </c>
      <c r="S259" s="65">
        <v>40242</v>
      </c>
      <c r="T259" s="65">
        <v>34717</v>
      </c>
      <c r="U259" s="65">
        <v>31788</v>
      </c>
      <c r="V259" s="65">
        <f t="shared" si="9"/>
        <v>5891.1128571428571</v>
      </c>
      <c r="W259" s="72">
        <f t="shared" si="10"/>
        <v>15494.890000000001</v>
      </c>
    </row>
    <row r="260" spans="1:23" ht="27" customHeight="1">
      <c r="A260" s="10" t="s">
        <v>2182</v>
      </c>
      <c r="B260" s="10" t="s">
        <v>2191</v>
      </c>
      <c r="C260" s="10"/>
      <c r="D260" s="10" t="s">
        <v>3280</v>
      </c>
      <c r="E260" s="10" t="s">
        <v>2326</v>
      </c>
      <c r="F260" s="10" t="s">
        <v>2325</v>
      </c>
      <c r="G260" s="10"/>
      <c r="H260" s="70">
        <v>0.995</v>
      </c>
      <c r="I260" s="70" t="s">
        <v>2946</v>
      </c>
      <c r="J260" s="70">
        <v>1016.2361609999999</v>
      </c>
      <c r="K260" s="65">
        <v>1356.9559999999999</v>
      </c>
      <c r="L260" s="71"/>
      <c r="M260" s="65"/>
      <c r="N260" s="65"/>
      <c r="O260" s="65"/>
      <c r="P260" s="65"/>
      <c r="Q260" s="65"/>
      <c r="R260" s="65"/>
      <c r="S260" s="65"/>
      <c r="T260" s="65"/>
      <c r="U260" s="65"/>
      <c r="V260" s="65">
        <f t="shared" ref="V260:V273" si="11">AVERAGE(J260:Q260)</f>
        <v>1186.5960805</v>
      </c>
      <c r="W260" s="72">
        <f t="shared" si="10"/>
        <v>1186.5960805</v>
      </c>
    </row>
    <row r="261" spans="1:23" ht="27" customHeight="1">
      <c r="A261" s="10" t="s">
        <v>474</v>
      </c>
      <c r="B261" s="10" t="s">
        <v>451</v>
      </c>
      <c r="C261" s="10"/>
      <c r="D261" s="10" t="s">
        <v>450</v>
      </c>
      <c r="E261" s="10" t="s">
        <v>3195</v>
      </c>
      <c r="F261" s="10" t="s">
        <v>2652</v>
      </c>
      <c r="G261" s="10"/>
      <c r="H261" s="70">
        <v>9</v>
      </c>
      <c r="I261" s="70"/>
      <c r="J261" s="70">
        <v>23485</v>
      </c>
      <c r="K261" s="65">
        <v>25463</v>
      </c>
      <c r="L261" s="71">
        <v>0</v>
      </c>
      <c r="M261" s="65">
        <v>32634</v>
      </c>
      <c r="N261" s="65">
        <v>53020</v>
      </c>
      <c r="O261" s="65">
        <v>41742</v>
      </c>
      <c r="P261" s="65">
        <v>31279</v>
      </c>
      <c r="Q261" s="65">
        <v>36727</v>
      </c>
      <c r="R261" s="65">
        <v>44547</v>
      </c>
      <c r="S261" s="65">
        <v>54669</v>
      </c>
      <c r="T261" s="65">
        <v>44270</v>
      </c>
      <c r="U261" s="65">
        <v>50296</v>
      </c>
      <c r="V261" s="65">
        <f t="shared" si="11"/>
        <v>30543.75</v>
      </c>
      <c r="W261" s="72">
        <f t="shared" si="10"/>
        <v>36511</v>
      </c>
    </row>
    <row r="262" spans="1:23" ht="27" customHeight="1">
      <c r="A262" s="10" t="s">
        <v>474</v>
      </c>
      <c r="B262" s="10" t="s">
        <v>453</v>
      </c>
      <c r="C262" s="10"/>
      <c r="D262" s="10" t="s">
        <v>452</v>
      </c>
      <c r="E262" s="10" t="s">
        <v>3196</v>
      </c>
      <c r="F262" s="10" t="s">
        <v>2677</v>
      </c>
      <c r="G262" s="10"/>
      <c r="H262" s="70">
        <v>1</v>
      </c>
      <c r="I262" s="70"/>
      <c r="J262" s="70">
        <v>2759</v>
      </c>
      <c r="K262" s="65">
        <v>3363</v>
      </c>
      <c r="L262" s="71">
        <v>38828</v>
      </c>
      <c r="M262" s="65">
        <v>2986</v>
      </c>
      <c r="N262" s="65">
        <v>6154</v>
      </c>
      <c r="O262" s="65">
        <v>4977</v>
      </c>
      <c r="P262" s="65">
        <v>2250</v>
      </c>
      <c r="Q262" s="65">
        <v>3755</v>
      </c>
      <c r="R262" s="65">
        <v>470</v>
      </c>
      <c r="S262" s="65">
        <v>4457</v>
      </c>
      <c r="T262" s="65">
        <v>5237</v>
      </c>
      <c r="U262" s="65">
        <v>5934</v>
      </c>
      <c r="V262" s="65">
        <f t="shared" si="11"/>
        <v>8134</v>
      </c>
      <c r="W262" s="72">
        <f t="shared" si="10"/>
        <v>6764.166666666667</v>
      </c>
    </row>
    <row r="263" spans="1:23" ht="27" customHeight="1">
      <c r="A263" s="10" t="s">
        <v>609</v>
      </c>
      <c r="B263" s="10" t="s">
        <v>401</v>
      </c>
      <c r="C263" s="10"/>
      <c r="D263" s="10" t="s">
        <v>400</v>
      </c>
      <c r="E263" s="10" t="s">
        <v>3198</v>
      </c>
      <c r="F263" s="10" t="s">
        <v>5166</v>
      </c>
      <c r="G263" s="10"/>
      <c r="H263" s="70">
        <v>2.79</v>
      </c>
      <c r="I263" s="70"/>
      <c r="J263" s="70">
        <v>10267</v>
      </c>
      <c r="K263" s="65">
        <v>9475</v>
      </c>
      <c r="L263" s="71">
        <v>13182</v>
      </c>
      <c r="M263" s="65">
        <v>11305</v>
      </c>
      <c r="N263" s="65">
        <v>13341</v>
      </c>
      <c r="O263" s="65">
        <v>14422</v>
      </c>
      <c r="P263" s="65">
        <v>9795</v>
      </c>
      <c r="Q263" s="65">
        <v>14020</v>
      </c>
      <c r="R263" s="65">
        <v>11793</v>
      </c>
      <c r="S263" s="65">
        <v>14809</v>
      </c>
      <c r="T263" s="65">
        <v>13359</v>
      </c>
      <c r="U263" s="65">
        <v>14104</v>
      </c>
      <c r="V263" s="65">
        <f t="shared" si="11"/>
        <v>11975.875</v>
      </c>
      <c r="W263" s="72">
        <f t="shared" si="10"/>
        <v>12489.333333333334</v>
      </c>
    </row>
    <row r="264" spans="1:23" ht="27" customHeight="1">
      <c r="A264" s="10"/>
      <c r="B264" s="10" t="s">
        <v>1929</v>
      </c>
      <c r="C264" s="10"/>
      <c r="D264" s="10" t="s">
        <v>3281</v>
      </c>
      <c r="E264" s="10" t="s">
        <v>3197</v>
      </c>
      <c r="F264" s="10" t="s">
        <v>2624</v>
      </c>
      <c r="G264" s="10"/>
      <c r="H264" s="70">
        <v>0.97499999999999998</v>
      </c>
      <c r="I264" s="70" t="s">
        <v>2946</v>
      </c>
      <c r="J264" s="70">
        <v>656.83899999999994</v>
      </c>
      <c r="K264" s="65">
        <v>1979.808</v>
      </c>
      <c r="L264" s="71"/>
      <c r="M264" s="65"/>
      <c r="N264" s="65"/>
      <c r="O264" s="65"/>
      <c r="P264" s="65"/>
      <c r="Q264" s="65"/>
      <c r="R264" s="65"/>
      <c r="S264" s="65"/>
      <c r="T264" s="65"/>
      <c r="U264" s="65"/>
      <c r="V264" s="65">
        <f t="shared" si="11"/>
        <v>1318.3235</v>
      </c>
      <c r="W264" s="72">
        <f t="shared" si="10"/>
        <v>1318.3235</v>
      </c>
    </row>
    <row r="265" spans="1:23" ht="27" customHeight="1">
      <c r="A265" s="10" t="s">
        <v>474</v>
      </c>
      <c r="B265" s="10" t="s">
        <v>455</v>
      </c>
      <c r="C265" s="10"/>
      <c r="D265" s="10" t="s">
        <v>454</v>
      </c>
      <c r="E265" s="10" t="s">
        <v>3199</v>
      </c>
      <c r="F265" s="10" t="s">
        <v>2645</v>
      </c>
      <c r="G265" s="10"/>
      <c r="H265" s="70">
        <v>14</v>
      </c>
      <c r="I265" s="70"/>
      <c r="J265" s="70">
        <v>37964</v>
      </c>
      <c r="K265" s="65">
        <v>52174</v>
      </c>
      <c r="L265" s="71">
        <v>72157</v>
      </c>
      <c r="M265" s="65">
        <v>64957</v>
      </c>
      <c r="N265" s="65">
        <v>94857.829999999987</v>
      </c>
      <c r="O265" s="65">
        <v>84258.09</v>
      </c>
      <c r="P265" s="65">
        <v>86534</v>
      </c>
      <c r="Q265" s="65">
        <v>63794</v>
      </c>
      <c r="R265" s="65">
        <v>60200</v>
      </c>
      <c r="S265" s="65">
        <v>99997</v>
      </c>
      <c r="T265" s="65">
        <v>101128</v>
      </c>
      <c r="U265" s="65">
        <v>88705</v>
      </c>
      <c r="V265" s="65">
        <f t="shared" si="11"/>
        <v>69586.989999999991</v>
      </c>
      <c r="W265" s="72">
        <f t="shared" si="10"/>
        <v>75560.493333333332</v>
      </c>
    </row>
    <row r="266" spans="1:23" ht="27" customHeight="1">
      <c r="A266" s="10" t="s">
        <v>612</v>
      </c>
      <c r="B266" s="10" t="s">
        <v>457</v>
      </c>
      <c r="C266" s="10"/>
      <c r="D266" s="10" t="s">
        <v>456</v>
      </c>
      <c r="E266" s="10" t="s">
        <v>3200</v>
      </c>
      <c r="F266" s="10" t="s">
        <v>5249</v>
      </c>
      <c r="G266" s="10">
        <v>7189</v>
      </c>
      <c r="H266" s="70">
        <v>3.5</v>
      </c>
      <c r="I266" s="70"/>
      <c r="J266" s="70">
        <v>27406</v>
      </c>
      <c r="K266" s="65">
        <v>23566</v>
      </c>
      <c r="L266" s="71">
        <v>27162</v>
      </c>
      <c r="M266" s="65">
        <v>26471</v>
      </c>
      <c r="N266" s="65">
        <v>26078</v>
      </c>
      <c r="O266" s="65">
        <v>26694</v>
      </c>
      <c r="P266" s="65">
        <v>27027</v>
      </c>
      <c r="Q266" s="65">
        <v>17593</v>
      </c>
      <c r="R266" s="65">
        <v>24800</v>
      </c>
      <c r="S266" s="65">
        <v>21016</v>
      </c>
      <c r="T266" s="65">
        <v>27105</v>
      </c>
      <c r="U266" s="65">
        <v>24614</v>
      </c>
      <c r="V266" s="65">
        <f t="shared" si="11"/>
        <v>25249.625</v>
      </c>
      <c r="W266" s="72">
        <f t="shared" si="10"/>
        <v>24961</v>
      </c>
    </row>
    <row r="267" spans="1:23" ht="27" customHeight="1">
      <c r="A267" s="10" t="s">
        <v>586</v>
      </c>
      <c r="B267" s="10" t="s">
        <v>184</v>
      </c>
      <c r="C267" s="10"/>
      <c r="D267" s="10" t="s">
        <v>183</v>
      </c>
      <c r="E267" s="10" t="s">
        <v>3201</v>
      </c>
      <c r="F267" s="10" t="s">
        <v>4993</v>
      </c>
      <c r="G267" s="10"/>
      <c r="H267" s="70">
        <v>1</v>
      </c>
      <c r="I267" s="70"/>
      <c r="J267" s="70">
        <v>0</v>
      </c>
      <c r="K267" s="213">
        <v>0.01</v>
      </c>
      <c r="L267" s="71">
        <v>134</v>
      </c>
      <c r="M267" s="65">
        <v>5627</v>
      </c>
      <c r="N267" s="65">
        <v>5860</v>
      </c>
      <c r="O267" s="65">
        <v>3784</v>
      </c>
      <c r="P267" s="65">
        <v>1373</v>
      </c>
      <c r="Q267" s="65">
        <v>546</v>
      </c>
      <c r="R267" s="65">
        <v>480</v>
      </c>
      <c r="S267" s="65">
        <v>3105</v>
      </c>
      <c r="T267" s="65">
        <v>3840</v>
      </c>
      <c r="U267" s="65" t="s">
        <v>115</v>
      </c>
      <c r="V267" s="65">
        <f t="shared" si="11"/>
        <v>2165.5012500000003</v>
      </c>
      <c r="W267" s="72">
        <f t="shared" si="10"/>
        <v>2249.9100000000003</v>
      </c>
    </row>
    <row r="268" spans="1:23" ht="27" customHeight="1">
      <c r="A268" s="10" t="s">
        <v>474</v>
      </c>
      <c r="B268" s="10" t="s">
        <v>459</v>
      </c>
      <c r="C268" s="10"/>
      <c r="D268" s="10" t="s">
        <v>458</v>
      </c>
      <c r="E268" s="10" t="s">
        <v>3202</v>
      </c>
      <c r="F268" s="10" t="s">
        <v>2670</v>
      </c>
      <c r="G268" s="10"/>
      <c r="H268" s="70">
        <v>14</v>
      </c>
      <c r="I268" s="70"/>
      <c r="J268" s="70">
        <v>36245</v>
      </c>
      <c r="K268" s="65">
        <v>40816</v>
      </c>
      <c r="L268" s="71">
        <v>68222</v>
      </c>
      <c r="M268" s="65">
        <v>46664</v>
      </c>
      <c r="N268" s="65">
        <v>63219.119999999995</v>
      </c>
      <c r="O268" s="65">
        <v>87553.69</v>
      </c>
      <c r="P268" s="65">
        <v>80470.06</v>
      </c>
      <c r="Q268" s="65">
        <v>83102</v>
      </c>
      <c r="R268" s="65">
        <v>72999</v>
      </c>
      <c r="S268" s="65">
        <v>92806</v>
      </c>
      <c r="T268" s="65">
        <v>96934</v>
      </c>
      <c r="U268" s="65">
        <v>93644</v>
      </c>
      <c r="V268" s="65">
        <f t="shared" si="11"/>
        <v>63286.483749999999</v>
      </c>
      <c r="W268" s="72">
        <f t="shared" si="10"/>
        <v>71889.572499999995</v>
      </c>
    </row>
    <row r="269" spans="1:23" ht="27" customHeight="1">
      <c r="A269" s="10" t="s">
        <v>474</v>
      </c>
      <c r="B269" s="10" t="s">
        <v>461</v>
      </c>
      <c r="C269" s="10"/>
      <c r="D269" s="10" t="s">
        <v>460</v>
      </c>
      <c r="E269" s="10" t="s">
        <v>3205</v>
      </c>
      <c r="F269" s="10" t="s">
        <v>2643</v>
      </c>
      <c r="G269" s="10"/>
      <c r="H269" s="70">
        <v>18</v>
      </c>
      <c r="I269" s="70"/>
      <c r="J269" s="70">
        <v>103.09</v>
      </c>
      <c r="K269" s="65">
        <v>6562.17</v>
      </c>
      <c r="L269" s="71">
        <v>21248</v>
      </c>
      <c r="M269" s="65">
        <v>35858</v>
      </c>
      <c r="N269" s="65">
        <v>87855.51999999999</v>
      </c>
      <c r="O269" s="65">
        <v>89996.760000000009</v>
      </c>
      <c r="P269" s="65">
        <v>40093.000000799999</v>
      </c>
      <c r="Q269" s="65">
        <v>48760</v>
      </c>
      <c r="R269" s="65">
        <v>22779</v>
      </c>
      <c r="S269" s="65">
        <v>97736</v>
      </c>
      <c r="T269" s="65">
        <v>103349</v>
      </c>
      <c r="U269" s="65">
        <v>52303</v>
      </c>
      <c r="V269" s="65">
        <f t="shared" si="11"/>
        <v>41309.567500099998</v>
      </c>
      <c r="W269" s="72">
        <f t="shared" si="10"/>
        <v>50553.628333400004</v>
      </c>
    </row>
    <row r="270" spans="1:23" ht="27" customHeight="1">
      <c r="A270" s="69" t="s">
        <v>799</v>
      </c>
      <c r="B270" s="69" t="s">
        <v>798</v>
      </c>
      <c r="C270" s="69"/>
      <c r="D270" s="69" t="s">
        <v>797</v>
      </c>
      <c r="E270" s="69" t="s">
        <v>3203</v>
      </c>
      <c r="F270" s="69" t="s">
        <v>2339</v>
      </c>
      <c r="G270" s="69"/>
      <c r="H270" s="70">
        <v>0.98</v>
      </c>
      <c r="I270" s="70" t="s">
        <v>2946</v>
      </c>
      <c r="J270" s="70">
        <v>0</v>
      </c>
      <c r="K270" s="65">
        <v>156.345</v>
      </c>
      <c r="L270" s="382">
        <v>0</v>
      </c>
      <c r="M270" s="65">
        <v>3500</v>
      </c>
      <c r="N270" s="65">
        <v>3500</v>
      </c>
      <c r="O270" s="65">
        <v>3500</v>
      </c>
      <c r="P270" s="65">
        <v>3500</v>
      </c>
      <c r="Q270" s="65">
        <v>3500</v>
      </c>
      <c r="R270" s="65">
        <v>3500</v>
      </c>
      <c r="S270" s="65">
        <v>3500</v>
      </c>
      <c r="T270" s="65">
        <v>3500</v>
      </c>
      <c r="U270" s="65">
        <v>3500</v>
      </c>
      <c r="V270" s="65">
        <f t="shared" si="11"/>
        <v>2207.0431250000001</v>
      </c>
      <c r="W270" s="72">
        <f t="shared" si="10"/>
        <v>2638.0287499999999</v>
      </c>
    </row>
    <row r="271" spans="1:23" ht="27" customHeight="1">
      <c r="A271" s="69" t="s">
        <v>531</v>
      </c>
      <c r="B271" s="69" t="s">
        <v>407</v>
      </c>
      <c r="C271" s="69"/>
      <c r="D271" s="69" t="s">
        <v>406</v>
      </c>
      <c r="E271" s="69" t="s">
        <v>3204</v>
      </c>
      <c r="F271" s="69" t="s">
        <v>5184</v>
      </c>
      <c r="G271" s="69"/>
      <c r="H271" s="70">
        <v>2.85</v>
      </c>
      <c r="I271" s="70"/>
      <c r="J271" s="70">
        <v>1454</v>
      </c>
      <c r="K271" s="65">
        <v>3595</v>
      </c>
      <c r="L271" s="382">
        <v>4943</v>
      </c>
      <c r="M271" s="65">
        <v>4234</v>
      </c>
      <c r="N271" s="65">
        <v>5449</v>
      </c>
      <c r="O271" s="65">
        <v>5000</v>
      </c>
      <c r="P271" s="65">
        <v>5225</v>
      </c>
      <c r="Q271" s="65">
        <v>5720</v>
      </c>
      <c r="R271" s="65">
        <v>5564</v>
      </c>
      <c r="S271" s="65">
        <v>5520</v>
      </c>
      <c r="T271" s="65">
        <v>5011</v>
      </c>
      <c r="U271" s="65">
        <v>5402</v>
      </c>
      <c r="V271" s="65">
        <f t="shared" si="11"/>
        <v>4452.5</v>
      </c>
      <c r="W271" s="72">
        <f t="shared" si="10"/>
        <v>4759.75</v>
      </c>
    </row>
    <row r="272" spans="1:23" ht="27" customHeight="1">
      <c r="A272" s="69" t="s">
        <v>4894</v>
      </c>
      <c r="B272" s="69" t="s">
        <v>4891</v>
      </c>
      <c r="C272" s="69"/>
      <c r="D272" s="69"/>
      <c r="E272" s="69" t="s">
        <v>4893</v>
      </c>
      <c r="F272" s="69" t="s">
        <v>4892</v>
      </c>
      <c r="G272" s="69"/>
      <c r="H272" s="70"/>
      <c r="I272" s="70"/>
      <c r="J272" s="70"/>
      <c r="K272" s="65">
        <v>0</v>
      </c>
      <c r="L272" s="382"/>
      <c r="M272" s="65"/>
      <c r="N272" s="65"/>
      <c r="O272" s="65"/>
      <c r="P272" s="65"/>
      <c r="Q272" s="65"/>
      <c r="R272" s="65"/>
      <c r="S272" s="65"/>
      <c r="T272" s="65"/>
      <c r="U272" s="65"/>
      <c r="V272" s="65">
        <f t="shared" si="11"/>
        <v>0</v>
      </c>
      <c r="W272" s="72">
        <f t="shared" si="10"/>
        <v>0</v>
      </c>
    </row>
    <row r="273" spans="1:23" ht="27" customHeight="1">
      <c r="A273" s="162" t="s">
        <v>666</v>
      </c>
      <c r="B273" s="162"/>
      <c r="C273" s="162"/>
      <c r="D273" s="162"/>
      <c r="E273" s="162"/>
      <c r="F273" s="162"/>
      <c r="G273" s="162"/>
      <c r="H273" s="73">
        <f>SUM(H3:H272)</f>
        <v>1676.7189999999998</v>
      </c>
      <c r="I273" s="73"/>
      <c r="J273" s="73">
        <f t="shared" ref="J273:W273" si="12">SUM(J3:J272)</f>
        <v>1853815.4950405254</v>
      </c>
      <c r="K273" s="73">
        <f t="shared" si="12"/>
        <v>2685395.673</v>
      </c>
      <c r="L273" s="73">
        <f t="shared" si="12"/>
        <v>3588128.17</v>
      </c>
      <c r="M273" s="73">
        <f t="shared" si="12"/>
        <v>4561259.9300000006</v>
      </c>
      <c r="N273" s="73">
        <f t="shared" si="12"/>
        <v>6911280.1499999994</v>
      </c>
      <c r="O273" s="73">
        <f t="shared" si="12"/>
        <v>5559128.7999999998</v>
      </c>
      <c r="P273" s="73">
        <f t="shared" si="12"/>
        <v>4784667.954000799</v>
      </c>
      <c r="Q273" s="73">
        <f t="shared" si="12"/>
        <v>4343726</v>
      </c>
      <c r="R273" s="73">
        <f t="shared" si="12"/>
        <v>4182247.0629699999</v>
      </c>
      <c r="S273" s="73">
        <f t="shared" si="12"/>
        <v>7526937.4000000004</v>
      </c>
      <c r="T273" s="73">
        <f t="shared" si="12"/>
        <v>6695200.3900000006</v>
      </c>
      <c r="U273" s="73">
        <f t="shared" si="12"/>
        <v>5236041.5999999996</v>
      </c>
      <c r="V273" s="65">
        <f t="shared" si="11"/>
        <v>4285925.2715051658</v>
      </c>
      <c r="W273" s="73">
        <f t="shared" si="12"/>
        <v>4896795.1706338981</v>
      </c>
    </row>
    <row r="274" spans="1:23">
      <c r="A274" s="386" t="s">
        <v>1251</v>
      </c>
      <c r="B274" s="387"/>
      <c r="C274" s="387"/>
      <c r="D274" s="387"/>
      <c r="E274" s="387"/>
      <c r="F274" s="387"/>
      <c r="G274" s="387"/>
      <c r="H274" s="387"/>
      <c r="I274" s="387"/>
      <c r="J274" s="387"/>
      <c r="K274" s="387"/>
      <c r="L274" s="387"/>
      <c r="M274" s="387"/>
      <c r="N274" s="387"/>
      <c r="O274" s="387"/>
      <c r="P274" s="387"/>
      <c r="Q274" s="387"/>
      <c r="R274" s="387"/>
      <c r="S274" s="387"/>
      <c r="T274" s="387"/>
      <c r="U274" s="387"/>
      <c r="V274" s="387"/>
      <c r="W274" s="387"/>
    </row>
    <row r="275" spans="1:23">
      <c r="A275" s="317" t="s">
        <v>1248</v>
      </c>
      <c r="B275" s="341"/>
      <c r="C275" s="341"/>
      <c r="D275" s="341"/>
      <c r="E275" s="341"/>
      <c r="F275" s="341"/>
      <c r="G275" s="341"/>
      <c r="H275" s="341"/>
      <c r="I275" s="341"/>
      <c r="J275" s="341"/>
      <c r="K275" s="341"/>
      <c r="L275" s="341"/>
      <c r="M275" s="341"/>
      <c r="N275" s="341"/>
      <c r="O275" s="341"/>
      <c r="P275" s="341"/>
      <c r="Q275" s="341"/>
      <c r="R275" s="341"/>
      <c r="S275" s="341"/>
      <c r="T275" s="341"/>
      <c r="U275" s="341"/>
      <c r="V275" s="341"/>
      <c r="W275" s="341"/>
    </row>
    <row r="276" spans="1:23">
      <c r="A276" s="317"/>
      <c r="B276" s="341"/>
      <c r="C276" s="341"/>
      <c r="D276" s="341"/>
      <c r="E276" s="341"/>
      <c r="F276" s="341"/>
      <c r="G276" s="341"/>
      <c r="H276" s="341"/>
      <c r="I276" s="341"/>
      <c r="J276" s="341"/>
      <c r="K276" s="341"/>
      <c r="L276" s="341"/>
      <c r="M276" s="341"/>
      <c r="N276" s="341"/>
      <c r="O276" s="341"/>
      <c r="P276" s="341"/>
      <c r="Q276" s="341"/>
      <c r="R276" s="341"/>
      <c r="S276" s="341"/>
      <c r="T276" s="341"/>
      <c r="U276" s="341"/>
      <c r="V276" s="341"/>
      <c r="W276" s="341"/>
    </row>
    <row r="283" spans="1:23">
      <c r="A283" s="131" t="s">
        <v>3282</v>
      </c>
    </row>
    <row r="284" spans="1:23" ht="27" customHeight="1">
      <c r="A284" s="10" t="s">
        <v>576</v>
      </c>
      <c r="B284" s="10" t="s">
        <v>560</v>
      </c>
      <c r="C284" s="10"/>
      <c r="D284" s="10" t="s">
        <v>335</v>
      </c>
      <c r="E284" s="10" t="s">
        <v>2700</v>
      </c>
      <c r="F284" s="10"/>
      <c r="G284" s="10"/>
      <c r="H284" s="70">
        <v>25.200000000000003</v>
      </c>
      <c r="I284" s="70"/>
      <c r="J284" s="70"/>
      <c r="K284" s="65">
        <v>4800.0600000000004</v>
      </c>
      <c r="L284" s="71">
        <v>6486</v>
      </c>
      <c r="M284" s="65">
        <v>3192</v>
      </c>
      <c r="N284" s="65">
        <v>18</v>
      </c>
      <c r="O284" s="65">
        <v>1428</v>
      </c>
      <c r="P284" s="65">
        <v>5941.0400000000009</v>
      </c>
      <c r="Q284" s="65">
        <v>8932</v>
      </c>
      <c r="R284" s="65">
        <v>5404</v>
      </c>
      <c r="S284" s="65">
        <v>28</v>
      </c>
      <c r="T284" s="65">
        <v>312</v>
      </c>
      <c r="U284" s="65">
        <v>5963</v>
      </c>
      <c r="V284" s="65">
        <v>4525.1375000000007</v>
      </c>
      <c r="W284" s="72">
        <v>3864.0090909090914</v>
      </c>
    </row>
    <row r="285" spans="1:23" ht="27" customHeight="1">
      <c r="A285" s="10" t="s">
        <v>582</v>
      </c>
      <c r="B285" s="10" t="s">
        <v>429</v>
      </c>
      <c r="C285" s="10"/>
      <c r="D285" s="10" t="s">
        <v>428</v>
      </c>
      <c r="E285" s="10" t="s">
        <v>2700</v>
      </c>
      <c r="F285" s="10"/>
      <c r="G285" s="10"/>
      <c r="H285" s="70">
        <v>2.97</v>
      </c>
      <c r="I285" s="70"/>
      <c r="J285" s="70"/>
      <c r="K285" s="65">
        <v>19459</v>
      </c>
      <c r="L285" s="71">
        <v>14760</v>
      </c>
      <c r="M285" s="65">
        <v>21010</v>
      </c>
      <c r="N285" s="65">
        <v>11325</v>
      </c>
      <c r="O285" s="65">
        <v>9187</v>
      </c>
      <c r="P285" s="65">
        <v>22671</v>
      </c>
      <c r="Q285" s="65"/>
      <c r="R285" s="65">
        <v>18970</v>
      </c>
      <c r="S285" s="65">
        <v>8749</v>
      </c>
      <c r="T285" s="65">
        <v>14172</v>
      </c>
      <c r="U285" s="65" t="s">
        <v>115</v>
      </c>
      <c r="V285" s="65">
        <v>16768.857142857141</v>
      </c>
      <c r="W285" s="72">
        <v>15589.222222222223</v>
      </c>
    </row>
    <row r="288" spans="1:23">
      <c r="A288" s="131" t="s">
        <v>3772</v>
      </c>
    </row>
    <row r="289" spans="1:41" ht="27" customHeight="1">
      <c r="A289" s="10" t="s">
        <v>582</v>
      </c>
      <c r="B289" s="10" t="s">
        <v>146</v>
      </c>
      <c r="C289" s="10"/>
      <c r="D289" s="10" t="s">
        <v>145</v>
      </c>
      <c r="E289" s="10" t="s">
        <v>3024</v>
      </c>
      <c r="F289" s="10"/>
      <c r="G289" s="10"/>
      <c r="H289" s="70">
        <v>19.670000000000002</v>
      </c>
      <c r="I289" s="70"/>
      <c r="J289" s="70"/>
      <c r="K289" s="65">
        <v>19266</v>
      </c>
      <c r="L289" s="71">
        <v>33397</v>
      </c>
      <c r="M289" s="65">
        <v>29339</v>
      </c>
      <c r="N289" s="65">
        <v>104997</v>
      </c>
      <c r="O289" s="65">
        <v>78171</v>
      </c>
      <c r="P289" s="65">
        <v>54925</v>
      </c>
      <c r="Q289" s="65">
        <v>64332</v>
      </c>
      <c r="R289" s="65">
        <v>66776</v>
      </c>
      <c r="S289" s="65">
        <v>86841</v>
      </c>
      <c r="T289" s="65">
        <v>103861</v>
      </c>
      <c r="U289" s="65">
        <v>124289</v>
      </c>
      <c r="V289" s="65">
        <f t="shared" ref="V289:V295" si="13">AVERAGE(K289:R289)</f>
        <v>56400.375</v>
      </c>
      <c r="W289" s="72">
        <f t="shared" ref="W289:W295" si="14">AVERAGE(K289:U289)</f>
        <v>69654</v>
      </c>
    </row>
    <row r="290" spans="1:41" ht="27" customHeight="1">
      <c r="A290" s="252"/>
      <c r="B290" s="10" t="s">
        <v>2923</v>
      </c>
      <c r="C290" s="10"/>
      <c r="D290" s="10" t="s">
        <v>2922</v>
      </c>
      <c r="E290" s="10" t="s">
        <v>3024</v>
      </c>
      <c r="F290" s="252"/>
      <c r="G290" s="252"/>
      <c r="H290" s="70">
        <v>9</v>
      </c>
      <c r="I290" s="70"/>
      <c r="J290" s="70"/>
      <c r="K290" s="65">
        <v>5822</v>
      </c>
      <c r="L290" s="65">
        <v>5609</v>
      </c>
      <c r="M290" s="65">
        <v>4883.5029999999997</v>
      </c>
      <c r="N290" s="65">
        <v>3625</v>
      </c>
      <c r="O290" s="65">
        <v>15000</v>
      </c>
      <c r="P290" s="65">
        <v>11875</v>
      </c>
      <c r="Q290" s="65"/>
      <c r="R290" s="65"/>
      <c r="S290" s="65"/>
      <c r="T290" s="65"/>
      <c r="U290" s="65"/>
      <c r="V290" s="65">
        <f t="shared" si="13"/>
        <v>7802.4171666666662</v>
      </c>
      <c r="W290" s="72">
        <f t="shared" si="14"/>
        <v>7802.4171666666662</v>
      </c>
    </row>
    <row r="291" spans="1:41" ht="27" customHeight="1">
      <c r="A291" s="10" t="s">
        <v>585</v>
      </c>
      <c r="B291" s="10" t="s">
        <v>214</v>
      </c>
      <c r="C291" s="10"/>
      <c r="D291" s="10" t="s">
        <v>213</v>
      </c>
      <c r="E291" s="10" t="s">
        <v>3024</v>
      </c>
      <c r="F291" s="10"/>
      <c r="G291" s="10"/>
      <c r="H291" s="70">
        <v>9</v>
      </c>
      <c r="I291" s="70"/>
      <c r="J291" s="70"/>
      <c r="K291" s="65">
        <v>24918</v>
      </c>
      <c r="L291" s="71">
        <v>59567</v>
      </c>
      <c r="M291" s="65">
        <v>54094</v>
      </c>
      <c r="N291" s="65">
        <v>50686</v>
      </c>
      <c r="O291" s="65">
        <v>48132</v>
      </c>
      <c r="P291" s="65">
        <v>49062</v>
      </c>
      <c r="Q291" s="65">
        <v>60103</v>
      </c>
      <c r="R291" s="65">
        <v>45457</v>
      </c>
      <c r="S291" s="65">
        <v>52130</v>
      </c>
      <c r="T291" s="65">
        <v>65582</v>
      </c>
      <c r="U291" s="65">
        <v>57778</v>
      </c>
      <c r="V291" s="65">
        <f t="shared" si="13"/>
        <v>49002.375</v>
      </c>
      <c r="W291" s="72">
        <f t="shared" si="14"/>
        <v>51591.727272727272</v>
      </c>
    </row>
    <row r="292" spans="1:41" ht="27" customHeight="1">
      <c r="A292" s="10" t="s">
        <v>585</v>
      </c>
      <c r="B292" s="10" t="s">
        <v>227</v>
      </c>
      <c r="C292" s="10"/>
      <c r="D292" s="10" t="s">
        <v>226</v>
      </c>
      <c r="E292" s="10" t="s">
        <v>3024</v>
      </c>
      <c r="F292" s="10"/>
      <c r="G292" s="10"/>
      <c r="H292" s="70">
        <v>1</v>
      </c>
      <c r="I292" s="70"/>
      <c r="J292" s="70"/>
      <c r="K292" s="213">
        <v>0.01</v>
      </c>
      <c r="L292" s="71">
        <v>0</v>
      </c>
      <c r="M292" s="65">
        <v>4243</v>
      </c>
      <c r="N292" s="65">
        <v>3312</v>
      </c>
      <c r="O292" s="65">
        <v>1238</v>
      </c>
      <c r="P292" s="65" t="s">
        <v>482</v>
      </c>
      <c r="Q292" s="65" t="s">
        <v>482</v>
      </c>
      <c r="R292" s="65" t="s">
        <v>482</v>
      </c>
      <c r="S292" s="65" t="s">
        <v>482</v>
      </c>
      <c r="T292" s="65" t="s">
        <v>482</v>
      </c>
      <c r="U292" s="65" t="s">
        <v>482</v>
      </c>
      <c r="V292" s="65">
        <f t="shared" si="13"/>
        <v>1758.6020000000001</v>
      </c>
      <c r="W292" s="72">
        <f t="shared" si="14"/>
        <v>1758.6020000000001</v>
      </c>
    </row>
    <row r="293" spans="1:41" ht="27" customHeight="1">
      <c r="A293" s="10" t="s">
        <v>585</v>
      </c>
      <c r="B293" s="10" t="s">
        <v>281</v>
      </c>
      <c r="C293" s="10"/>
      <c r="D293" s="10" t="s">
        <v>280</v>
      </c>
      <c r="E293" s="10" t="s">
        <v>3024</v>
      </c>
      <c r="F293" s="10"/>
      <c r="G293" s="10"/>
      <c r="H293" s="70">
        <v>4.9000000000000004</v>
      </c>
      <c r="I293" s="70"/>
      <c r="J293" s="70"/>
      <c r="K293" s="65">
        <v>18451</v>
      </c>
      <c r="L293" s="71">
        <v>28071</v>
      </c>
      <c r="M293" s="65">
        <v>22585</v>
      </c>
      <c r="N293" s="65">
        <v>22779</v>
      </c>
      <c r="O293" s="65">
        <v>28444</v>
      </c>
      <c r="P293" s="65">
        <v>31760</v>
      </c>
      <c r="Q293" s="65">
        <v>32786</v>
      </c>
      <c r="R293" s="65">
        <v>18157</v>
      </c>
      <c r="S293" s="65">
        <v>9959</v>
      </c>
      <c r="T293" s="65">
        <v>21889</v>
      </c>
      <c r="U293" s="65">
        <v>16485</v>
      </c>
      <c r="V293" s="65">
        <f t="shared" si="13"/>
        <v>25379.125</v>
      </c>
      <c r="W293" s="72">
        <f t="shared" si="14"/>
        <v>22851.454545454544</v>
      </c>
    </row>
    <row r="294" spans="1:41" ht="27" customHeight="1">
      <c r="A294" s="10" t="s">
        <v>585</v>
      </c>
      <c r="B294" s="10" t="s">
        <v>371</v>
      </c>
      <c r="C294" s="10"/>
      <c r="D294" s="10" t="s">
        <v>370</v>
      </c>
      <c r="E294" s="10" t="s">
        <v>3024</v>
      </c>
      <c r="F294" s="10"/>
      <c r="G294" s="10"/>
      <c r="H294" s="70">
        <v>9.92</v>
      </c>
      <c r="I294" s="70"/>
      <c r="J294" s="70"/>
      <c r="K294" s="65">
        <v>2933</v>
      </c>
      <c r="L294" s="71">
        <v>21567</v>
      </c>
      <c r="M294" s="65">
        <v>42739</v>
      </c>
      <c r="N294" s="65">
        <v>53085</v>
      </c>
      <c r="O294" s="65">
        <v>37070</v>
      </c>
      <c r="P294" s="65"/>
      <c r="Q294" s="65">
        <v>23670</v>
      </c>
      <c r="R294" s="65">
        <v>49709</v>
      </c>
      <c r="S294" s="65">
        <v>63864</v>
      </c>
      <c r="T294" s="65">
        <v>55717</v>
      </c>
      <c r="U294" s="65">
        <v>65431</v>
      </c>
      <c r="V294" s="65">
        <f t="shared" si="13"/>
        <v>32967.571428571428</v>
      </c>
      <c r="W294" s="72">
        <f t="shared" si="14"/>
        <v>41578.5</v>
      </c>
      <c r="AO294" s="1"/>
    </row>
    <row r="295" spans="1:41" ht="27" customHeight="1">
      <c r="A295" s="10" t="s">
        <v>585</v>
      </c>
      <c r="B295" s="10" t="s">
        <v>463</v>
      </c>
      <c r="C295" s="10"/>
      <c r="D295" s="10" t="s">
        <v>462</v>
      </c>
      <c r="E295" s="10" t="s">
        <v>3024</v>
      </c>
      <c r="F295" s="10"/>
      <c r="G295" s="10"/>
      <c r="H295" s="70">
        <v>5.09</v>
      </c>
      <c r="I295" s="70"/>
      <c r="J295" s="70"/>
      <c r="K295" s="213">
        <v>0.01</v>
      </c>
      <c r="L295" s="71">
        <v>0</v>
      </c>
      <c r="M295" s="65">
        <v>276</v>
      </c>
      <c r="N295" s="65">
        <v>16837</v>
      </c>
      <c r="O295" s="65">
        <v>7306</v>
      </c>
      <c r="P295" s="65">
        <v>20751</v>
      </c>
      <c r="Q295" s="65">
        <v>30212</v>
      </c>
      <c r="R295" s="65">
        <v>31567</v>
      </c>
      <c r="S295" s="65">
        <v>25832</v>
      </c>
      <c r="T295" s="65">
        <v>31273</v>
      </c>
      <c r="U295" s="65">
        <v>30517</v>
      </c>
      <c r="V295" s="65">
        <f t="shared" si="13"/>
        <v>13368.626249999999</v>
      </c>
      <c r="W295" s="72">
        <f t="shared" si="14"/>
        <v>17688.273636363636</v>
      </c>
    </row>
  </sheetData>
  <autoFilter ref="A2:AQ275">
    <sortState ref="A3:AQ275">
      <sortCondition ref="B2:B275"/>
    </sortState>
  </autoFilter>
  <mergeCells count="1">
    <mergeCell ref="A1:W1"/>
  </mergeCells>
  <conditionalFormatting sqref="C29">
    <cfRule type="duplicateValues" dxfId="19" priority="1"/>
  </conditionalFormatting>
  <pageMargins left="0.5" right="0.18" top="0.5" bottom="0.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625"/>
  <sheetViews>
    <sheetView workbookViewId="0">
      <selection activeCell="B2" sqref="B2"/>
    </sheetView>
  </sheetViews>
  <sheetFormatPr defaultRowHeight="15"/>
  <cols>
    <col min="1" max="1" width="10.7109375" bestFit="1" customWidth="1"/>
  </cols>
  <sheetData>
    <row r="1" spans="1:2">
      <c r="A1" s="8" t="s">
        <v>1247</v>
      </c>
    </row>
    <row r="2" spans="1:2">
      <c r="A2" s="13">
        <v>41640</v>
      </c>
      <c r="B2">
        <v>24</v>
      </c>
    </row>
    <row r="3" spans="1:2">
      <c r="A3" s="13">
        <v>41641</v>
      </c>
      <c r="B3">
        <f>+B2+24</f>
        <v>48</v>
      </c>
    </row>
    <row r="4" spans="1:2">
      <c r="A4" s="13">
        <v>41642</v>
      </c>
      <c r="B4" s="8">
        <f t="shared" ref="B4:B67" si="0">+B3+24</f>
        <v>72</v>
      </c>
    </row>
    <row r="5" spans="1:2">
      <c r="A5" s="13">
        <v>41643</v>
      </c>
      <c r="B5" s="8">
        <f t="shared" si="0"/>
        <v>96</v>
      </c>
    </row>
    <row r="6" spans="1:2">
      <c r="A6" s="13">
        <v>41644</v>
      </c>
      <c r="B6" s="8">
        <f t="shared" si="0"/>
        <v>120</v>
      </c>
    </row>
    <row r="7" spans="1:2">
      <c r="A7" s="13">
        <v>41645</v>
      </c>
      <c r="B7" s="8">
        <f t="shared" si="0"/>
        <v>144</v>
      </c>
    </row>
    <row r="8" spans="1:2">
      <c r="A8" s="13">
        <v>41646</v>
      </c>
      <c r="B8" s="8">
        <f t="shared" si="0"/>
        <v>168</v>
      </c>
    </row>
    <row r="9" spans="1:2">
      <c r="A9" s="13">
        <v>41647</v>
      </c>
      <c r="B9" s="8">
        <f t="shared" si="0"/>
        <v>192</v>
      </c>
    </row>
    <row r="10" spans="1:2">
      <c r="A10" s="13">
        <v>41648</v>
      </c>
      <c r="B10" s="8">
        <f t="shared" si="0"/>
        <v>216</v>
      </c>
    </row>
    <row r="11" spans="1:2">
      <c r="A11" s="13">
        <v>41649</v>
      </c>
      <c r="B11" s="8">
        <f t="shared" si="0"/>
        <v>240</v>
      </c>
    </row>
    <row r="12" spans="1:2">
      <c r="A12" s="13">
        <v>41650</v>
      </c>
      <c r="B12" s="8">
        <f t="shared" si="0"/>
        <v>264</v>
      </c>
    </row>
    <row r="13" spans="1:2">
      <c r="A13" s="13">
        <v>41651</v>
      </c>
      <c r="B13" s="8">
        <f t="shared" si="0"/>
        <v>288</v>
      </c>
    </row>
    <row r="14" spans="1:2">
      <c r="A14" s="13">
        <v>41652</v>
      </c>
      <c r="B14" s="8">
        <f t="shared" si="0"/>
        <v>312</v>
      </c>
    </row>
    <row r="15" spans="1:2">
      <c r="A15" s="13">
        <v>41653</v>
      </c>
      <c r="B15" s="8">
        <f t="shared" si="0"/>
        <v>336</v>
      </c>
    </row>
    <row r="16" spans="1:2">
      <c r="A16" s="13">
        <v>41654</v>
      </c>
      <c r="B16" s="8">
        <f t="shared" si="0"/>
        <v>360</v>
      </c>
    </row>
    <row r="17" spans="1:2">
      <c r="A17" s="13">
        <v>41655</v>
      </c>
      <c r="B17" s="8">
        <f t="shared" si="0"/>
        <v>384</v>
      </c>
    </row>
    <row r="18" spans="1:2">
      <c r="A18" s="13">
        <v>41656</v>
      </c>
      <c r="B18" s="8">
        <f t="shared" si="0"/>
        <v>408</v>
      </c>
    </row>
    <row r="19" spans="1:2">
      <c r="A19" s="13">
        <v>41657</v>
      </c>
      <c r="B19" s="8">
        <f t="shared" si="0"/>
        <v>432</v>
      </c>
    </row>
    <row r="20" spans="1:2">
      <c r="A20" s="13">
        <v>41658</v>
      </c>
      <c r="B20" s="8">
        <f t="shared" si="0"/>
        <v>456</v>
      </c>
    </row>
    <row r="21" spans="1:2">
      <c r="A21" s="13">
        <v>41659</v>
      </c>
      <c r="B21" s="8">
        <f t="shared" si="0"/>
        <v>480</v>
      </c>
    </row>
    <row r="22" spans="1:2">
      <c r="A22" s="13">
        <v>41660</v>
      </c>
      <c r="B22" s="8">
        <f t="shared" si="0"/>
        <v>504</v>
      </c>
    </row>
    <row r="23" spans="1:2">
      <c r="A23" s="13">
        <v>41661</v>
      </c>
      <c r="B23" s="8">
        <f t="shared" si="0"/>
        <v>528</v>
      </c>
    </row>
    <row r="24" spans="1:2">
      <c r="A24" s="13">
        <v>41662</v>
      </c>
      <c r="B24" s="8">
        <f t="shared" si="0"/>
        <v>552</v>
      </c>
    </row>
    <row r="25" spans="1:2">
      <c r="A25" s="13">
        <v>41663</v>
      </c>
      <c r="B25" s="8">
        <f t="shared" si="0"/>
        <v>576</v>
      </c>
    </row>
    <row r="26" spans="1:2">
      <c r="A26" s="13">
        <v>41664</v>
      </c>
      <c r="B26" s="8">
        <f t="shared" si="0"/>
        <v>600</v>
      </c>
    </row>
    <row r="27" spans="1:2">
      <c r="A27" s="13">
        <v>41665</v>
      </c>
      <c r="B27" s="8">
        <f t="shared" si="0"/>
        <v>624</v>
      </c>
    </row>
    <row r="28" spans="1:2">
      <c r="A28" s="13">
        <v>41666</v>
      </c>
      <c r="B28" s="8">
        <f t="shared" si="0"/>
        <v>648</v>
      </c>
    </row>
    <row r="29" spans="1:2">
      <c r="A29" s="13">
        <v>41667</v>
      </c>
      <c r="B29" s="8">
        <f t="shared" si="0"/>
        <v>672</v>
      </c>
    </row>
    <row r="30" spans="1:2">
      <c r="A30" s="13">
        <v>41668</v>
      </c>
      <c r="B30" s="8">
        <f t="shared" si="0"/>
        <v>696</v>
      </c>
    </row>
    <row r="31" spans="1:2">
      <c r="A31" s="13">
        <v>41669</v>
      </c>
      <c r="B31" s="8">
        <f t="shared" si="0"/>
        <v>720</v>
      </c>
    </row>
    <row r="32" spans="1:2">
      <c r="A32" s="13">
        <v>41670</v>
      </c>
      <c r="B32" s="8">
        <f t="shared" si="0"/>
        <v>744</v>
      </c>
    </row>
    <row r="33" spans="1:2">
      <c r="A33" s="13">
        <v>41671</v>
      </c>
      <c r="B33" s="8">
        <f t="shared" si="0"/>
        <v>768</v>
      </c>
    </row>
    <row r="34" spans="1:2">
      <c r="A34" s="13">
        <v>41672</v>
      </c>
      <c r="B34" s="8">
        <f t="shared" si="0"/>
        <v>792</v>
      </c>
    </row>
    <row r="35" spans="1:2">
      <c r="A35" s="13">
        <v>41673</v>
      </c>
      <c r="B35" s="8">
        <f t="shared" si="0"/>
        <v>816</v>
      </c>
    </row>
    <row r="36" spans="1:2">
      <c r="A36" s="13">
        <v>41674</v>
      </c>
      <c r="B36" s="8">
        <f t="shared" si="0"/>
        <v>840</v>
      </c>
    </row>
    <row r="37" spans="1:2">
      <c r="A37" s="13">
        <v>41675</v>
      </c>
      <c r="B37" s="8">
        <f t="shared" si="0"/>
        <v>864</v>
      </c>
    </row>
    <row r="38" spans="1:2">
      <c r="A38" s="13">
        <v>41676</v>
      </c>
      <c r="B38" s="8">
        <f t="shared" si="0"/>
        <v>888</v>
      </c>
    </row>
    <row r="39" spans="1:2">
      <c r="A39" s="13">
        <v>41677</v>
      </c>
      <c r="B39" s="8">
        <f t="shared" si="0"/>
        <v>912</v>
      </c>
    </row>
    <row r="40" spans="1:2">
      <c r="A40" s="13">
        <v>41678</v>
      </c>
      <c r="B40" s="8">
        <f t="shared" si="0"/>
        <v>936</v>
      </c>
    </row>
    <row r="41" spans="1:2">
      <c r="A41" s="13">
        <v>41679</v>
      </c>
      <c r="B41" s="8">
        <f t="shared" si="0"/>
        <v>960</v>
      </c>
    </row>
    <row r="42" spans="1:2">
      <c r="A42" s="13">
        <v>41680</v>
      </c>
      <c r="B42" s="8">
        <f t="shared" si="0"/>
        <v>984</v>
      </c>
    </row>
    <row r="43" spans="1:2">
      <c r="A43" s="13">
        <v>41681</v>
      </c>
      <c r="B43" s="8">
        <f t="shared" si="0"/>
        <v>1008</v>
      </c>
    </row>
    <row r="44" spans="1:2">
      <c r="A44" s="13">
        <v>41682</v>
      </c>
      <c r="B44" s="8">
        <f t="shared" si="0"/>
        <v>1032</v>
      </c>
    </row>
    <row r="45" spans="1:2">
      <c r="A45" s="13">
        <v>41683</v>
      </c>
      <c r="B45" s="8">
        <f t="shared" si="0"/>
        <v>1056</v>
      </c>
    </row>
    <row r="46" spans="1:2">
      <c r="A46" s="13">
        <v>41684</v>
      </c>
      <c r="B46" s="8">
        <f t="shared" si="0"/>
        <v>1080</v>
      </c>
    </row>
    <row r="47" spans="1:2">
      <c r="A47" s="13">
        <v>41685</v>
      </c>
      <c r="B47" s="8">
        <f t="shared" si="0"/>
        <v>1104</v>
      </c>
    </row>
    <row r="48" spans="1:2">
      <c r="A48" s="13">
        <v>41686</v>
      </c>
      <c r="B48" s="8">
        <f t="shared" si="0"/>
        <v>1128</v>
      </c>
    </row>
    <row r="49" spans="1:2">
      <c r="A49" s="13">
        <v>41687</v>
      </c>
      <c r="B49" s="8">
        <f t="shared" si="0"/>
        <v>1152</v>
      </c>
    </row>
    <row r="50" spans="1:2">
      <c r="A50" s="13">
        <v>41688</v>
      </c>
      <c r="B50" s="8">
        <f t="shared" si="0"/>
        <v>1176</v>
      </c>
    </row>
    <row r="51" spans="1:2">
      <c r="A51" s="13">
        <v>41689</v>
      </c>
      <c r="B51" s="8">
        <f t="shared" si="0"/>
        <v>1200</v>
      </c>
    </row>
    <row r="52" spans="1:2">
      <c r="A52" s="13">
        <v>41690</v>
      </c>
      <c r="B52" s="8">
        <f t="shared" si="0"/>
        <v>1224</v>
      </c>
    </row>
    <row r="53" spans="1:2">
      <c r="A53" s="13">
        <v>41691</v>
      </c>
      <c r="B53" s="8">
        <f t="shared" si="0"/>
        <v>1248</v>
      </c>
    </row>
    <row r="54" spans="1:2">
      <c r="A54" s="13">
        <v>41692</v>
      </c>
      <c r="B54" s="8">
        <f t="shared" si="0"/>
        <v>1272</v>
      </c>
    </row>
    <row r="55" spans="1:2">
      <c r="A55" s="13">
        <v>41693</v>
      </c>
      <c r="B55" s="8">
        <f t="shared" si="0"/>
        <v>1296</v>
      </c>
    </row>
    <row r="56" spans="1:2">
      <c r="A56" s="13">
        <v>41694</v>
      </c>
      <c r="B56" s="8">
        <f t="shared" si="0"/>
        <v>1320</v>
      </c>
    </row>
    <row r="57" spans="1:2">
      <c r="A57" s="13">
        <v>41695</v>
      </c>
      <c r="B57" s="8">
        <f t="shared" si="0"/>
        <v>1344</v>
      </c>
    </row>
    <row r="58" spans="1:2">
      <c r="A58" s="13">
        <v>41696</v>
      </c>
      <c r="B58" s="8">
        <f t="shared" si="0"/>
        <v>1368</v>
      </c>
    </row>
    <row r="59" spans="1:2">
      <c r="A59" s="13">
        <v>41697</v>
      </c>
      <c r="B59" s="8">
        <f t="shared" si="0"/>
        <v>1392</v>
      </c>
    </row>
    <row r="60" spans="1:2">
      <c r="A60" s="13">
        <v>41698</v>
      </c>
      <c r="B60" s="8">
        <f t="shared" si="0"/>
        <v>1416</v>
      </c>
    </row>
    <row r="61" spans="1:2">
      <c r="A61" s="13">
        <v>41699</v>
      </c>
      <c r="B61" s="8">
        <f t="shared" si="0"/>
        <v>1440</v>
      </c>
    </row>
    <row r="62" spans="1:2">
      <c r="A62" s="13">
        <v>41700</v>
      </c>
      <c r="B62" s="8">
        <f t="shared" si="0"/>
        <v>1464</v>
      </c>
    </row>
    <row r="63" spans="1:2">
      <c r="A63" s="13">
        <v>41701</v>
      </c>
      <c r="B63" s="8">
        <f t="shared" si="0"/>
        <v>1488</v>
      </c>
    </row>
    <row r="64" spans="1:2">
      <c r="A64" s="13">
        <v>41702</v>
      </c>
      <c r="B64" s="8">
        <f t="shared" si="0"/>
        <v>1512</v>
      </c>
    </row>
    <row r="65" spans="1:2">
      <c r="A65" s="13">
        <v>41703</v>
      </c>
      <c r="B65" s="8">
        <f t="shared" si="0"/>
        <v>1536</v>
      </c>
    </row>
    <row r="66" spans="1:2">
      <c r="A66" s="13">
        <v>41704</v>
      </c>
      <c r="B66" s="8">
        <f t="shared" si="0"/>
        <v>1560</v>
      </c>
    </row>
    <row r="67" spans="1:2">
      <c r="A67" s="13">
        <v>41705</v>
      </c>
      <c r="B67" s="8">
        <f t="shared" si="0"/>
        <v>1584</v>
      </c>
    </row>
    <row r="68" spans="1:2">
      <c r="A68" s="13">
        <v>41706</v>
      </c>
      <c r="B68" s="8">
        <f t="shared" ref="B68:B131" si="1">+B67+24</f>
        <v>1608</v>
      </c>
    </row>
    <row r="69" spans="1:2">
      <c r="A69" s="13">
        <v>41707</v>
      </c>
      <c r="B69" s="8">
        <f t="shared" si="1"/>
        <v>1632</v>
      </c>
    </row>
    <row r="70" spans="1:2">
      <c r="A70" s="13">
        <v>41708</v>
      </c>
      <c r="B70" s="8">
        <f t="shared" si="1"/>
        <v>1656</v>
      </c>
    </row>
    <row r="71" spans="1:2">
      <c r="A71" s="13">
        <v>41709</v>
      </c>
      <c r="B71" s="8">
        <f t="shared" si="1"/>
        <v>1680</v>
      </c>
    </row>
    <row r="72" spans="1:2">
      <c r="A72" s="13">
        <v>41710</v>
      </c>
      <c r="B72" s="8">
        <f t="shared" si="1"/>
        <v>1704</v>
      </c>
    </row>
    <row r="73" spans="1:2">
      <c r="A73" s="13">
        <v>41711</v>
      </c>
      <c r="B73" s="8">
        <f t="shared" si="1"/>
        <v>1728</v>
      </c>
    </row>
    <row r="74" spans="1:2">
      <c r="A74" s="13">
        <v>41712</v>
      </c>
      <c r="B74" s="8">
        <f t="shared" si="1"/>
        <v>1752</v>
      </c>
    </row>
    <row r="75" spans="1:2">
      <c r="A75" s="13">
        <v>41713</v>
      </c>
      <c r="B75" s="8">
        <f t="shared" si="1"/>
        <v>1776</v>
      </c>
    </row>
    <row r="76" spans="1:2">
      <c r="A76" s="13">
        <v>41714</v>
      </c>
      <c r="B76" s="8">
        <f t="shared" si="1"/>
        <v>1800</v>
      </c>
    </row>
    <row r="77" spans="1:2">
      <c r="A77" s="13">
        <v>41715</v>
      </c>
      <c r="B77" s="8">
        <f t="shared" si="1"/>
        <v>1824</v>
      </c>
    </row>
    <row r="78" spans="1:2">
      <c r="A78" s="13">
        <v>41716</v>
      </c>
      <c r="B78" s="8">
        <f t="shared" si="1"/>
        <v>1848</v>
      </c>
    </row>
    <row r="79" spans="1:2">
      <c r="A79" s="13">
        <v>41717</v>
      </c>
      <c r="B79" s="8">
        <f t="shared" si="1"/>
        <v>1872</v>
      </c>
    </row>
    <row r="80" spans="1:2">
      <c r="A80" s="13">
        <v>41718</v>
      </c>
      <c r="B80" s="8">
        <f t="shared" si="1"/>
        <v>1896</v>
      </c>
    </row>
    <row r="81" spans="1:2">
      <c r="A81" s="13">
        <v>41719</v>
      </c>
      <c r="B81" s="8">
        <f t="shared" si="1"/>
        <v>1920</v>
      </c>
    </row>
    <row r="82" spans="1:2">
      <c r="A82" s="13">
        <v>41720</v>
      </c>
      <c r="B82" s="8">
        <f t="shared" si="1"/>
        <v>1944</v>
      </c>
    </row>
    <row r="83" spans="1:2">
      <c r="A83" s="13">
        <v>41721</v>
      </c>
      <c r="B83" s="8">
        <f t="shared" si="1"/>
        <v>1968</v>
      </c>
    </row>
    <row r="84" spans="1:2">
      <c r="A84" s="13">
        <v>41722</v>
      </c>
      <c r="B84" s="8">
        <f t="shared" si="1"/>
        <v>1992</v>
      </c>
    </row>
    <row r="85" spans="1:2">
      <c r="A85" s="13">
        <v>41723</v>
      </c>
      <c r="B85" s="8">
        <f t="shared" si="1"/>
        <v>2016</v>
      </c>
    </row>
    <row r="86" spans="1:2">
      <c r="A86" s="13">
        <v>41724</v>
      </c>
      <c r="B86" s="8">
        <f t="shared" si="1"/>
        <v>2040</v>
      </c>
    </row>
    <row r="87" spans="1:2">
      <c r="A87" s="13">
        <v>41725</v>
      </c>
      <c r="B87" s="8">
        <f t="shared" si="1"/>
        <v>2064</v>
      </c>
    </row>
    <row r="88" spans="1:2">
      <c r="A88" s="13">
        <v>41726</v>
      </c>
      <c r="B88" s="8">
        <f t="shared" si="1"/>
        <v>2088</v>
      </c>
    </row>
    <row r="89" spans="1:2">
      <c r="A89" s="13">
        <v>41727</v>
      </c>
      <c r="B89" s="8">
        <f t="shared" si="1"/>
        <v>2112</v>
      </c>
    </row>
    <row r="90" spans="1:2">
      <c r="A90" s="13">
        <v>41728</v>
      </c>
      <c r="B90" s="8">
        <f t="shared" si="1"/>
        <v>2136</v>
      </c>
    </row>
    <row r="91" spans="1:2">
      <c r="A91" s="13">
        <v>41729</v>
      </c>
      <c r="B91" s="8">
        <f t="shared" si="1"/>
        <v>2160</v>
      </c>
    </row>
    <row r="92" spans="1:2">
      <c r="A92" s="13">
        <v>41730</v>
      </c>
      <c r="B92" s="8">
        <f t="shared" si="1"/>
        <v>2184</v>
      </c>
    </row>
    <row r="93" spans="1:2">
      <c r="A93" s="13">
        <v>41731</v>
      </c>
      <c r="B93" s="8">
        <f t="shared" si="1"/>
        <v>2208</v>
      </c>
    </row>
    <row r="94" spans="1:2">
      <c r="A94" s="13">
        <v>41732</v>
      </c>
      <c r="B94" s="8">
        <f t="shared" si="1"/>
        <v>2232</v>
      </c>
    </row>
    <row r="95" spans="1:2">
      <c r="A95" s="13">
        <v>41733</v>
      </c>
      <c r="B95" s="8">
        <f t="shared" si="1"/>
        <v>2256</v>
      </c>
    </row>
    <row r="96" spans="1:2">
      <c r="A96" s="13">
        <v>41734</v>
      </c>
      <c r="B96" s="8">
        <f t="shared" si="1"/>
        <v>2280</v>
      </c>
    </row>
    <row r="97" spans="1:2">
      <c r="A97" s="13">
        <v>41735</v>
      </c>
      <c r="B97" s="8">
        <f t="shared" si="1"/>
        <v>2304</v>
      </c>
    </row>
    <row r="98" spans="1:2">
      <c r="A98" s="13">
        <v>41736</v>
      </c>
      <c r="B98" s="8">
        <f t="shared" si="1"/>
        <v>2328</v>
      </c>
    </row>
    <row r="99" spans="1:2">
      <c r="A99" s="13">
        <v>41737</v>
      </c>
      <c r="B99" s="8">
        <f t="shared" si="1"/>
        <v>2352</v>
      </c>
    </row>
    <row r="100" spans="1:2">
      <c r="A100" s="13">
        <v>41738</v>
      </c>
      <c r="B100" s="8">
        <f t="shared" si="1"/>
        <v>2376</v>
      </c>
    </row>
    <row r="101" spans="1:2">
      <c r="A101" s="13">
        <v>41739</v>
      </c>
      <c r="B101" s="8">
        <f t="shared" si="1"/>
        <v>2400</v>
      </c>
    </row>
    <row r="102" spans="1:2">
      <c r="A102" s="13">
        <v>41740</v>
      </c>
      <c r="B102" s="8">
        <f t="shared" si="1"/>
        <v>2424</v>
      </c>
    </row>
    <row r="103" spans="1:2">
      <c r="A103" s="13">
        <v>41741</v>
      </c>
      <c r="B103" s="8">
        <f t="shared" si="1"/>
        <v>2448</v>
      </c>
    </row>
    <row r="104" spans="1:2">
      <c r="A104" s="13">
        <v>41742</v>
      </c>
      <c r="B104" s="8">
        <f t="shared" si="1"/>
        <v>2472</v>
      </c>
    </row>
    <row r="105" spans="1:2">
      <c r="A105" s="13">
        <v>41743</v>
      </c>
      <c r="B105" s="8">
        <f t="shared" si="1"/>
        <v>2496</v>
      </c>
    </row>
    <row r="106" spans="1:2">
      <c r="A106" s="13">
        <v>41744</v>
      </c>
      <c r="B106" s="8">
        <f t="shared" si="1"/>
        <v>2520</v>
      </c>
    </row>
    <row r="107" spans="1:2">
      <c r="A107" s="13">
        <v>41745</v>
      </c>
      <c r="B107" s="8">
        <f t="shared" si="1"/>
        <v>2544</v>
      </c>
    </row>
    <row r="108" spans="1:2">
      <c r="A108" s="13">
        <v>41746</v>
      </c>
      <c r="B108" s="8">
        <f t="shared" si="1"/>
        <v>2568</v>
      </c>
    </row>
    <row r="109" spans="1:2">
      <c r="A109" s="13">
        <v>41747</v>
      </c>
      <c r="B109" s="8">
        <f t="shared" si="1"/>
        <v>2592</v>
      </c>
    </row>
    <row r="110" spans="1:2">
      <c r="A110" s="13">
        <v>41748</v>
      </c>
      <c r="B110" s="8">
        <f t="shared" si="1"/>
        <v>2616</v>
      </c>
    </row>
    <row r="111" spans="1:2">
      <c r="A111" s="13">
        <v>41749</v>
      </c>
      <c r="B111" s="8">
        <f t="shared" si="1"/>
        <v>2640</v>
      </c>
    </row>
    <row r="112" spans="1:2">
      <c r="A112" s="13">
        <v>41750</v>
      </c>
      <c r="B112" s="8">
        <f t="shared" si="1"/>
        <v>2664</v>
      </c>
    </row>
    <row r="113" spans="1:2">
      <c r="A113" s="13">
        <v>41751</v>
      </c>
      <c r="B113" s="8">
        <f t="shared" si="1"/>
        <v>2688</v>
      </c>
    </row>
    <row r="114" spans="1:2">
      <c r="A114" s="13">
        <v>41752</v>
      </c>
      <c r="B114" s="8">
        <f t="shared" si="1"/>
        <v>2712</v>
      </c>
    </row>
    <row r="115" spans="1:2">
      <c r="A115" s="13">
        <v>41753</v>
      </c>
      <c r="B115" s="8">
        <f t="shared" si="1"/>
        <v>2736</v>
      </c>
    </row>
    <row r="116" spans="1:2">
      <c r="A116" s="13">
        <v>41754</v>
      </c>
      <c r="B116" s="8">
        <f t="shared" si="1"/>
        <v>2760</v>
      </c>
    </row>
    <row r="117" spans="1:2">
      <c r="A117" s="13">
        <v>41755</v>
      </c>
      <c r="B117" s="8">
        <f t="shared" si="1"/>
        <v>2784</v>
      </c>
    </row>
    <row r="118" spans="1:2">
      <c r="A118" s="13">
        <v>41756</v>
      </c>
      <c r="B118" s="8">
        <f t="shared" si="1"/>
        <v>2808</v>
      </c>
    </row>
    <row r="119" spans="1:2">
      <c r="A119" s="13">
        <v>41757</v>
      </c>
      <c r="B119" s="8">
        <f t="shared" si="1"/>
        <v>2832</v>
      </c>
    </row>
    <row r="120" spans="1:2">
      <c r="A120" s="13">
        <v>41758</v>
      </c>
      <c r="B120" s="8">
        <f t="shared" si="1"/>
        <v>2856</v>
      </c>
    </row>
    <row r="121" spans="1:2">
      <c r="A121" s="13">
        <v>41759</v>
      </c>
      <c r="B121" s="8">
        <f t="shared" si="1"/>
        <v>2880</v>
      </c>
    </row>
    <row r="122" spans="1:2">
      <c r="A122" s="13">
        <v>41760</v>
      </c>
      <c r="B122" s="8">
        <f t="shared" si="1"/>
        <v>2904</v>
      </c>
    </row>
    <row r="123" spans="1:2">
      <c r="A123" s="13">
        <v>41761</v>
      </c>
      <c r="B123" s="8">
        <f t="shared" si="1"/>
        <v>2928</v>
      </c>
    </row>
    <row r="124" spans="1:2">
      <c r="A124" s="13">
        <v>41762</v>
      </c>
      <c r="B124" s="8">
        <f t="shared" si="1"/>
        <v>2952</v>
      </c>
    </row>
    <row r="125" spans="1:2">
      <c r="A125" s="13">
        <v>41763</v>
      </c>
      <c r="B125" s="8">
        <f t="shared" si="1"/>
        <v>2976</v>
      </c>
    </row>
    <row r="126" spans="1:2">
      <c r="A126" s="13">
        <v>41764</v>
      </c>
      <c r="B126" s="8">
        <f t="shared" si="1"/>
        <v>3000</v>
      </c>
    </row>
    <row r="127" spans="1:2">
      <c r="A127" s="13">
        <v>41765</v>
      </c>
      <c r="B127" s="8">
        <f t="shared" si="1"/>
        <v>3024</v>
      </c>
    </row>
    <row r="128" spans="1:2">
      <c r="A128" s="13">
        <v>41766</v>
      </c>
      <c r="B128" s="8">
        <f t="shared" si="1"/>
        <v>3048</v>
      </c>
    </row>
    <row r="129" spans="1:2">
      <c r="A129" s="13">
        <v>41767</v>
      </c>
      <c r="B129" s="8">
        <f t="shared" si="1"/>
        <v>3072</v>
      </c>
    </row>
    <row r="130" spans="1:2">
      <c r="A130" s="13">
        <v>41768</v>
      </c>
      <c r="B130" s="8">
        <f t="shared" si="1"/>
        <v>3096</v>
      </c>
    </row>
    <row r="131" spans="1:2">
      <c r="A131" s="13">
        <v>41769</v>
      </c>
      <c r="B131" s="8">
        <f t="shared" si="1"/>
        <v>3120</v>
      </c>
    </row>
    <row r="132" spans="1:2">
      <c r="A132" s="13">
        <v>41770</v>
      </c>
      <c r="B132" s="8">
        <f t="shared" ref="B132:B195" si="2">+B131+24</f>
        <v>3144</v>
      </c>
    </row>
    <row r="133" spans="1:2">
      <c r="A133" s="13">
        <v>41771</v>
      </c>
      <c r="B133" s="8">
        <f t="shared" si="2"/>
        <v>3168</v>
      </c>
    </row>
    <row r="134" spans="1:2">
      <c r="A134" s="13">
        <v>41772</v>
      </c>
      <c r="B134" s="8">
        <f t="shared" si="2"/>
        <v>3192</v>
      </c>
    </row>
    <row r="135" spans="1:2">
      <c r="A135" s="13">
        <v>41773</v>
      </c>
      <c r="B135" s="8">
        <f t="shared" si="2"/>
        <v>3216</v>
      </c>
    </row>
    <row r="136" spans="1:2">
      <c r="A136" s="13">
        <v>41774</v>
      </c>
      <c r="B136" s="8">
        <f t="shared" si="2"/>
        <v>3240</v>
      </c>
    </row>
    <row r="137" spans="1:2">
      <c r="A137" s="13">
        <v>41775</v>
      </c>
      <c r="B137" s="8">
        <f t="shared" si="2"/>
        <v>3264</v>
      </c>
    </row>
    <row r="138" spans="1:2">
      <c r="A138" s="13">
        <v>41776</v>
      </c>
      <c r="B138" s="8">
        <f t="shared" si="2"/>
        <v>3288</v>
      </c>
    </row>
    <row r="139" spans="1:2">
      <c r="A139" s="13">
        <v>41777</v>
      </c>
      <c r="B139" s="8">
        <f t="shared" si="2"/>
        <v>3312</v>
      </c>
    </row>
    <row r="140" spans="1:2">
      <c r="A140" s="13">
        <v>41778</v>
      </c>
      <c r="B140" s="8">
        <f t="shared" si="2"/>
        <v>3336</v>
      </c>
    </row>
    <row r="141" spans="1:2">
      <c r="A141" s="13">
        <v>41779</v>
      </c>
      <c r="B141" s="8">
        <f t="shared" si="2"/>
        <v>3360</v>
      </c>
    </row>
    <row r="142" spans="1:2">
      <c r="A142" s="13">
        <v>41780</v>
      </c>
      <c r="B142" s="8">
        <f t="shared" si="2"/>
        <v>3384</v>
      </c>
    </row>
    <row r="143" spans="1:2">
      <c r="A143" s="13">
        <v>41781</v>
      </c>
      <c r="B143" s="8">
        <f t="shared" si="2"/>
        <v>3408</v>
      </c>
    </row>
    <row r="144" spans="1:2">
      <c r="A144" s="13">
        <v>41782</v>
      </c>
      <c r="B144" s="8">
        <f t="shared" si="2"/>
        <v>3432</v>
      </c>
    </row>
    <row r="145" spans="1:2">
      <c r="A145" s="13">
        <v>41783</v>
      </c>
      <c r="B145" s="8">
        <f t="shared" si="2"/>
        <v>3456</v>
      </c>
    </row>
    <row r="146" spans="1:2">
      <c r="A146" s="13">
        <v>41784</v>
      </c>
      <c r="B146" s="8">
        <f t="shared" si="2"/>
        <v>3480</v>
      </c>
    </row>
    <row r="147" spans="1:2">
      <c r="A147" s="13">
        <v>41785</v>
      </c>
      <c r="B147" s="8">
        <f t="shared" si="2"/>
        <v>3504</v>
      </c>
    </row>
    <row r="148" spans="1:2">
      <c r="A148" s="13">
        <v>41786</v>
      </c>
      <c r="B148" s="8">
        <f t="shared" si="2"/>
        <v>3528</v>
      </c>
    </row>
    <row r="149" spans="1:2">
      <c r="A149" s="13">
        <v>41787</v>
      </c>
      <c r="B149" s="8">
        <f t="shared" si="2"/>
        <v>3552</v>
      </c>
    </row>
    <row r="150" spans="1:2">
      <c r="A150" s="13">
        <v>41788</v>
      </c>
      <c r="B150" s="8">
        <f t="shared" si="2"/>
        <v>3576</v>
      </c>
    </row>
    <row r="151" spans="1:2">
      <c r="A151" s="13">
        <v>41789</v>
      </c>
      <c r="B151" s="8">
        <f t="shared" si="2"/>
        <v>3600</v>
      </c>
    </row>
    <row r="152" spans="1:2">
      <c r="A152" s="13">
        <v>41790</v>
      </c>
      <c r="B152" s="8">
        <f t="shared" si="2"/>
        <v>3624</v>
      </c>
    </row>
    <row r="153" spans="1:2">
      <c r="A153" s="13">
        <v>41791</v>
      </c>
      <c r="B153" s="8">
        <f t="shared" si="2"/>
        <v>3648</v>
      </c>
    </row>
    <row r="154" spans="1:2">
      <c r="A154" s="13">
        <v>41792</v>
      </c>
      <c r="B154" s="8">
        <f t="shared" si="2"/>
        <v>3672</v>
      </c>
    </row>
    <row r="155" spans="1:2">
      <c r="A155" s="13">
        <v>41793</v>
      </c>
      <c r="B155" s="8">
        <f t="shared" si="2"/>
        <v>3696</v>
      </c>
    </row>
    <row r="156" spans="1:2">
      <c r="A156" s="13">
        <v>41794</v>
      </c>
      <c r="B156" s="8">
        <f t="shared" si="2"/>
        <v>3720</v>
      </c>
    </row>
    <row r="157" spans="1:2">
      <c r="A157" s="13">
        <v>41795</v>
      </c>
      <c r="B157" s="8">
        <f t="shared" si="2"/>
        <v>3744</v>
      </c>
    </row>
    <row r="158" spans="1:2">
      <c r="A158" s="13">
        <v>41796</v>
      </c>
      <c r="B158" s="8">
        <f t="shared" si="2"/>
        <v>3768</v>
      </c>
    </row>
    <row r="159" spans="1:2">
      <c r="A159" s="13">
        <v>41797</v>
      </c>
      <c r="B159" s="8">
        <f t="shared" si="2"/>
        <v>3792</v>
      </c>
    </row>
    <row r="160" spans="1:2">
      <c r="A160" s="13">
        <v>41798</v>
      </c>
      <c r="B160" s="8">
        <f t="shared" si="2"/>
        <v>3816</v>
      </c>
    </row>
    <row r="161" spans="1:2">
      <c r="A161" s="13">
        <v>41799</v>
      </c>
      <c r="B161" s="8">
        <f t="shared" si="2"/>
        <v>3840</v>
      </c>
    </row>
    <row r="162" spans="1:2">
      <c r="A162" s="13">
        <v>41800</v>
      </c>
      <c r="B162" s="8">
        <f t="shared" si="2"/>
        <v>3864</v>
      </c>
    </row>
    <row r="163" spans="1:2">
      <c r="A163" s="13">
        <v>41801</v>
      </c>
      <c r="B163" s="8">
        <f t="shared" si="2"/>
        <v>3888</v>
      </c>
    </row>
    <row r="164" spans="1:2">
      <c r="A164" s="13">
        <v>41802</v>
      </c>
      <c r="B164" s="8">
        <f t="shared" si="2"/>
        <v>3912</v>
      </c>
    </row>
    <row r="165" spans="1:2">
      <c r="A165" s="13">
        <v>41803</v>
      </c>
      <c r="B165" s="8">
        <f t="shared" si="2"/>
        <v>3936</v>
      </c>
    </row>
    <row r="166" spans="1:2">
      <c r="A166" s="13">
        <v>41804</v>
      </c>
      <c r="B166" s="8">
        <f t="shared" si="2"/>
        <v>3960</v>
      </c>
    </row>
    <row r="167" spans="1:2">
      <c r="A167" s="13">
        <v>41805</v>
      </c>
      <c r="B167" s="8">
        <f t="shared" si="2"/>
        <v>3984</v>
      </c>
    </row>
    <row r="168" spans="1:2">
      <c r="A168" s="13">
        <v>41806</v>
      </c>
      <c r="B168" s="8">
        <f t="shared" si="2"/>
        <v>4008</v>
      </c>
    </row>
    <row r="169" spans="1:2">
      <c r="A169" s="13">
        <v>41807</v>
      </c>
      <c r="B169" s="8">
        <f t="shared" si="2"/>
        <v>4032</v>
      </c>
    </row>
    <row r="170" spans="1:2">
      <c r="A170" s="13">
        <v>41808</v>
      </c>
      <c r="B170" s="8">
        <f t="shared" si="2"/>
        <v>4056</v>
      </c>
    </row>
    <row r="171" spans="1:2">
      <c r="A171" s="13">
        <v>41809</v>
      </c>
      <c r="B171" s="8">
        <f t="shared" si="2"/>
        <v>4080</v>
      </c>
    </row>
    <row r="172" spans="1:2">
      <c r="A172" s="13">
        <v>41810</v>
      </c>
      <c r="B172" s="8">
        <f t="shared" si="2"/>
        <v>4104</v>
      </c>
    </row>
    <row r="173" spans="1:2">
      <c r="A173" s="13">
        <v>41811</v>
      </c>
      <c r="B173" s="8">
        <f t="shared" si="2"/>
        <v>4128</v>
      </c>
    </row>
    <row r="174" spans="1:2">
      <c r="A174" s="13">
        <v>41812</v>
      </c>
      <c r="B174" s="8">
        <f t="shared" si="2"/>
        <v>4152</v>
      </c>
    </row>
    <row r="175" spans="1:2">
      <c r="A175" s="13">
        <v>41813</v>
      </c>
      <c r="B175" s="8">
        <f t="shared" si="2"/>
        <v>4176</v>
      </c>
    </row>
    <row r="176" spans="1:2">
      <c r="A176" s="13">
        <v>41814</v>
      </c>
      <c r="B176" s="8">
        <f t="shared" si="2"/>
        <v>4200</v>
      </c>
    </row>
    <row r="177" spans="1:2">
      <c r="A177" s="13">
        <v>41815</v>
      </c>
      <c r="B177" s="8">
        <f t="shared" si="2"/>
        <v>4224</v>
      </c>
    </row>
    <row r="178" spans="1:2">
      <c r="A178" s="13">
        <v>41816</v>
      </c>
      <c r="B178" s="8">
        <f t="shared" si="2"/>
        <v>4248</v>
      </c>
    </row>
    <row r="179" spans="1:2">
      <c r="A179" s="13">
        <v>41817</v>
      </c>
      <c r="B179" s="8">
        <f t="shared" si="2"/>
        <v>4272</v>
      </c>
    </row>
    <row r="180" spans="1:2">
      <c r="A180" s="13">
        <v>41818</v>
      </c>
      <c r="B180" s="8">
        <f t="shared" si="2"/>
        <v>4296</v>
      </c>
    </row>
    <row r="181" spans="1:2">
      <c r="A181" s="13">
        <v>41819</v>
      </c>
      <c r="B181" s="8">
        <f t="shared" si="2"/>
        <v>4320</v>
      </c>
    </row>
    <row r="182" spans="1:2">
      <c r="A182" s="13">
        <v>41820</v>
      </c>
      <c r="B182" s="8">
        <f t="shared" si="2"/>
        <v>4344</v>
      </c>
    </row>
    <row r="183" spans="1:2">
      <c r="A183" s="13">
        <v>41821</v>
      </c>
      <c r="B183" s="8">
        <f t="shared" si="2"/>
        <v>4368</v>
      </c>
    </row>
    <row r="184" spans="1:2">
      <c r="A184" s="13">
        <v>41822</v>
      </c>
      <c r="B184" s="8">
        <f t="shared" si="2"/>
        <v>4392</v>
      </c>
    </row>
    <row r="185" spans="1:2">
      <c r="A185" s="13">
        <v>41823</v>
      </c>
      <c r="B185" s="8">
        <f t="shared" si="2"/>
        <v>4416</v>
      </c>
    </row>
    <row r="186" spans="1:2">
      <c r="A186" s="13">
        <v>41824</v>
      </c>
      <c r="B186" s="8">
        <f t="shared" si="2"/>
        <v>4440</v>
      </c>
    </row>
    <row r="187" spans="1:2">
      <c r="A187" s="13">
        <v>41825</v>
      </c>
      <c r="B187" s="8">
        <f t="shared" si="2"/>
        <v>4464</v>
      </c>
    </row>
    <row r="188" spans="1:2">
      <c r="A188" s="13">
        <v>41826</v>
      </c>
      <c r="B188" s="8">
        <f t="shared" si="2"/>
        <v>4488</v>
      </c>
    </row>
    <row r="189" spans="1:2">
      <c r="A189" s="13">
        <v>41827</v>
      </c>
      <c r="B189" s="8">
        <f t="shared" si="2"/>
        <v>4512</v>
      </c>
    </row>
    <row r="190" spans="1:2">
      <c r="A190" s="13">
        <v>41828</v>
      </c>
      <c r="B190" s="8">
        <f t="shared" si="2"/>
        <v>4536</v>
      </c>
    </row>
    <row r="191" spans="1:2">
      <c r="A191" s="13">
        <v>41829</v>
      </c>
      <c r="B191" s="8">
        <f t="shared" si="2"/>
        <v>4560</v>
      </c>
    </row>
    <row r="192" spans="1:2">
      <c r="A192" s="13">
        <v>41830</v>
      </c>
      <c r="B192" s="8">
        <f t="shared" si="2"/>
        <v>4584</v>
      </c>
    </row>
    <row r="193" spans="1:2">
      <c r="A193" s="13">
        <v>41831</v>
      </c>
      <c r="B193" s="8">
        <f t="shared" si="2"/>
        <v>4608</v>
      </c>
    </row>
    <row r="194" spans="1:2">
      <c r="A194" s="13">
        <v>41832</v>
      </c>
      <c r="B194" s="8">
        <f t="shared" si="2"/>
        <v>4632</v>
      </c>
    </row>
    <row r="195" spans="1:2">
      <c r="A195" s="13">
        <v>41833</v>
      </c>
      <c r="B195" s="8">
        <f t="shared" si="2"/>
        <v>4656</v>
      </c>
    </row>
    <row r="196" spans="1:2">
      <c r="A196" s="13">
        <v>41834</v>
      </c>
      <c r="B196" s="8">
        <f t="shared" ref="B196:B259" si="3">+B195+24</f>
        <v>4680</v>
      </c>
    </row>
    <row r="197" spans="1:2">
      <c r="A197" s="13">
        <v>41835</v>
      </c>
      <c r="B197" s="8">
        <f t="shared" si="3"/>
        <v>4704</v>
      </c>
    </row>
    <row r="198" spans="1:2">
      <c r="A198" s="13">
        <v>41836</v>
      </c>
      <c r="B198" s="8">
        <f t="shared" si="3"/>
        <v>4728</v>
      </c>
    </row>
    <row r="199" spans="1:2">
      <c r="A199" s="13">
        <v>41837</v>
      </c>
      <c r="B199" s="8">
        <f t="shared" si="3"/>
        <v>4752</v>
      </c>
    </row>
    <row r="200" spans="1:2">
      <c r="A200" s="13">
        <v>41838</v>
      </c>
      <c r="B200" s="8">
        <f t="shared" si="3"/>
        <v>4776</v>
      </c>
    </row>
    <row r="201" spans="1:2">
      <c r="A201" s="13">
        <v>41839</v>
      </c>
      <c r="B201" s="8">
        <f t="shared" si="3"/>
        <v>4800</v>
      </c>
    </row>
    <row r="202" spans="1:2">
      <c r="A202" s="13">
        <v>41840</v>
      </c>
      <c r="B202" s="8">
        <f t="shared" si="3"/>
        <v>4824</v>
      </c>
    </row>
    <row r="203" spans="1:2">
      <c r="A203" s="13">
        <v>41841</v>
      </c>
      <c r="B203" s="8">
        <f t="shared" si="3"/>
        <v>4848</v>
      </c>
    </row>
    <row r="204" spans="1:2">
      <c r="A204" s="13">
        <v>41842</v>
      </c>
      <c r="B204" s="8">
        <f t="shared" si="3"/>
        <v>4872</v>
      </c>
    </row>
    <row r="205" spans="1:2">
      <c r="A205" s="13">
        <v>41843</v>
      </c>
      <c r="B205" s="8">
        <f t="shared" si="3"/>
        <v>4896</v>
      </c>
    </row>
    <row r="206" spans="1:2">
      <c r="A206" s="13">
        <v>41844</v>
      </c>
      <c r="B206" s="8">
        <f t="shared" si="3"/>
        <v>4920</v>
      </c>
    </row>
    <row r="207" spans="1:2">
      <c r="A207" s="13">
        <v>41845</v>
      </c>
      <c r="B207" s="8">
        <f t="shared" si="3"/>
        <v>4944</v>
      </c>
    </row>
    <row r="208" spans="1:2">
      <c r="A208" s="13">
        <v>41846</v>
      </c>
      <c r="B208" s="8">
        <f t="shared" si="3"/>
        <v>4968</v>
      </c>
    </row>
    <row r="209" spans="1:2">
      <c r="A209" s="13">
        <v>41847</v>
      </c>
      <c r="B209" s="8">
        <f t="shared" si="3"/>
        <v>4992</v>
      </c>
    </row>
    <row r="210" spans="1:2">
      <c r="A210" s="13">
        <v>41848</v>
      </c>
      <c r="B210" s="8">
        <f t="shared" si="3"/>
        <v>5016</v>
      </c>
    </row>
    <row r="211" spans="1:2">
      <c r="A211" s="13">
        <v>41849</v>
      </c>
      <c r="B211" s="8">
        <f t="shared" si="3"/>
        <v>5040</v>
      </c>
    </row>
    <row r="212" spans="1:2">
      <c r="A212" s="13">
        <v>41850</v>
      </c>
      <c r="B212" s="8">
        <f t="shared" si="3"/>
        <v>5064</v>
      </c>
    </row>
    <row r="213" spans="1:2">
      <c r="A213" s="13">
        <v>41851</v>
      </c>
      <c r="B213" s="8">
        <f t="shared" si="3"/>
        <v>5088</v>
      </c>
    </row>
    <row r="214" spans="1:2">
      <c r="A214" s="13">
        <v>41852</v>
      </c>
      <c r="B214" s="8">
        <f t="shared" si="3"/>
        <v>5112</v>
      </c>
    </row>
    <row r="215" spans="1:2">
      <c r="A215" s="13">
        <v>41853</v>
      </c>
      <c r="B215" s="8">
        <f t="shared" si="3"/>
        <v>5136</v>
      </c>
    </row>
    <row r="216" spans="1:2">
      <c r="A216" s="13">
        <v>41854</v>
      </c>
      <c r="B216" s="8">
        <f t="shared" si="3"/>
        <v>5160</v>
      </c>
    </row>
    <row r="217" spans="1:2">
      <c r="A217" s="13">
        <v>41855</v>
      </c>
      <c r="B217" s="8">
        <f t="shared" si="3"/>
        <v>5184</v>
      </c>
    </row>
    <row r="218" spans="1:2">
      <c r="A218" s="13">
        <v>41856</v>
      </c>
      <c r="B218" s="8">
        <f t="shared" si="3"/>
        <v>5208</v>
      </c>
    </row>
    <row r="219" spans="1:2">
      <c r="A219" s="13">
        <v>41857</v>
      </c>
      <c r="B219" s="8">
        <f t="shared" si="3"/>
        <v>5232</v>
      </c>
    </row>
    <row r="220" spans="1:2">
      <c r="A220" s="13">
        <v>41858</v>
      </c>
      <c r="B220" s="8">
        <f t="shared" si="3"/>
        <v>5256</v>
      </c>
    </row>
    <row r="221" spans="1:2">
      <c r="A221" s="13">
        <v>41859</v>
      </c>
      <c r="B221" s="8">
        <f t="shared" si="3"/>
        <v>5280</v>
      </c>
    </row>
    <row r="222" spans="1:2">
      <c r="A222" s="13">
        <v>41860</v>
      </c>
      <c r="B222" s="8">
        <f t="shared" si="3"/>
        <v>5304</v>
      </c>
    </row>
    <row r="223" spans="1:2">
      <c r="A223" s="13">
        <v>41861</v>
      </c>
      <c r="B223" s="8">
        <f t="shared" si="3"/>
        <v>5328</v>
      </c>
    </row>
    <row r="224" spans="1:2">
      <c r="A224" s="13">
        <v>41862</v>
      </c>
      <c r="B224" s="8">
        <f t="shared" si="3"/>
        <v>5352</v>
      </c>
    </row>
    <row r="225" spans="1:2">
      <c r="A225" s="13">
        <v>41863</v>
      </c>
      <c r="B225" s="8">
        <f t="shared" si="3"/>
        <v>5376</v>
      </c>
    </row>
    <row r="226" spans="1:2">
      <c r="A226" s="13">
        <v>41864</v>
      </c>
      <c r="B226" s="8">
        <f t="shared" si="3"/>
        <v>5400</v>
      </c>
    </row>
    <row r="227" spans="1:2">
      <c r="A227" s="13">
        <v>41865</v>
      </c>
      <c r="B227" s="8">
        <f t="shared" si="3"/>
        <v>5424</v>
      </c>
    </row>
    <row r="228" spans="1:2">
      <c r="A228" s="13">
        <v>41866</v>
      </c>
      <c r="B228" s="8">
        <f t="shared" si="3"/>
        <v>5448</v>
      </c>
    </row>
    <row r="229" spans="1:2">
      <c r="A229" s="13">
        <v>41867</v>
      </c>
      <c r="B229" s="8">
        <f t="shared" si="3"/>
        <v>5472</v>
      </c>
    </row>
    <row r="230" spans="1:2">
      <c r="A230" s="13">
        <v>41868</v>
      </c>
      <c r="B230" s="8">
        <f t="shared" si="3"/>
        <v>5496</v>
      </c>
    </row>
    <row r="231" spans="1:2">
      <c r="A231" s="13">
        <v>41869</v>
      </c>
      <c r="B231" s="8">
        <f t="shared" si="3"/>
        <v>5520</v>
      </c>
    </row>
    <row r="232" spans="1:2">
      <c r="A232" s="13">
        <v>41870</v>
      </c>
      <c r="B232" s="8">
        <f t="shared" si="3"/>
        <v>5544</v>
      </c>
    </row>
    <row r="233" spans="1:2">
      <c r="A233" s="13">
        <v>41871</v>
      </c>
      <c r="B233" s="8">
        <f t="shared" si="3"/>
        <v>5568</v>
      </c>
    </row>
    <row r="234" spans="1:2">
      <c r="A234" s="13">
        <v>41872</v>
      </c>
      <c r="B234" s="8">
        <f t="shared" si="3"/>
        <v>5592</v>
      </c>
    </row>
    <row r="235" spans="1:2">
      <c r="A235" s="13">
        <v>41873</v>
      </c>
      <c r="B235" s="8">
        <f t="shared" si="3"/>
        <v>5616</v>
      </c>
    </row>
    <row r="236" spans="1:2">
      <c r="A236" s="13">
        <v>41874</v>
      </c>
      <c r="B236" s="8">
        <f t="shared" si="3"/>
        <v>5640</v>
      </c>
    </row>
    <row r="237" spans="1:2">
      <c r="A237" s="13">
        <v>41875</v>
      </c>
      <c r="B237" s="8">
        <f t="shared" si="3"/>
        <v>5664</v>
      </c>
    </row>
    <row r="238" spans="1:2">
      <c r="A238" s="13">
        <v>41876</v>
      </c>
      <c r="B238" s="8">
        <f t="shared" si="3"/>
        <v>5688</v>
      </c>
    </row>
    <row r="239" spans="1:2">
      <c r="A239" s="13">
        <v>41877</v>
      </c>
      <c r="B239" s="8">
        <f t="shared" si="3"/>
        <v>5712</v>
      </c>
    </row>
    <row r="240" spans="1:2">
      <c r="A240" s="13">
        <v>41878</v>
      </c>
      <c r="B240" s="8">
        <f t="shared" si="3"/>
        <v>5736</v>
      </c>
    </row>
    <row r="241" spans="1:2">
      <c r="A241" s="13">
        <v>41879</v>
      </c>
      <c r="B241" s="8">
        <f t="shared" si="3"/>
        <v>5760</v>
      </c>
    </row>
    <row r="242" spans="1:2">
      <c r="A242" s="13">
        <v>41880</v>
      </c>
      <c r="B242" s="8">
        <f t="shared" si="3"/>
        <v>5784</v>
      </c>
    </row>
    <row r="243" spans="1:2">
      <c r="A243" s="13">
        <v>41881</v>
      </c>
      <c r="B243" s="8">
        <f t="shared" si="3"/>
        <v>5808</v>
      </c>
    </row>
    <row r="244" spans="1:2">
      <c r="A244" s="13">
        <v>41882</v>
      </c>
      <c r="B244" s="8">
        <f t="shared" si="3"/>
        <v>5832</v>
      </c>
    </row>
    <row r="245" spans="1:2">
      <c r="A245" s="13">
        <v>41883</v>
      </c>
      <c r="B245" s="8">
        <f t="shared" si="3"/>
        <v>5856</v>
      </c>
    </row>
    <row r="246" spans="1:2">
      <c r="A246" s="13">
        <v>41884</v>
      </c>
      <c r="B246" s="8">
        <f t="shared" si="3"/>
        <v>5880</v>
      </c>
    </row>
    <row r="247" spans="1:2">
      <c r="A247" s="13">
        <v>41885</v>
      </c>
      <c r="B247" s="8">
        <f t="shared" si="3"/>
        <v>5904</v>
      </c>
    </row>
    <row r="248" spans="1:2">
      <c r="A248" s="13">
        <v>41886</v>
      </c>
      <c r="B248" s="8">
        <f t="shared" si="3"/>
        <v>5928</v>
      </c>
    </row>
    <row r="249" spans="1:2">
      <c r="A249" s="13">
        <v>41887</v>
      </c>
      <c r="B249" s="8">
        <f t="shared" si="3"/>
        <v>5952</v>
      </c>
    </row>
    <row r="250" spans="1:2">
      <c r="A250" s="13">
        <v>41888</v>
      </c>
      <c r="B250" s="8">
        <f t="shared" si="3"/>
        <v>5976</v>
      </c>
    </row>
    <row r="251" spans="1:2">
      <c r="A251" s="13">
        <v>41889</v>
      </c>
      <c r="B251" s="8">
        <f t="shared" si="3"/>
        <v>6000</v>
      </c>
    </row>
    <row r="252" spans="1:2">
      <c r="A252" s="13">
        <v>41890</v>
      </c>
      <c r="B252" s="8">
        <f t="shared" si="3"/>
        <v>6024</v>
      </c>
    </row>
    <row r="253" spans="1:2">
      <c r="A253" s="13">
        <v>41891</v>
      </c>
      <c r="B253" s="8">
        <f t="shared" si="3"/>
        <v>6048</v>
      </c>
    </row>
    <row r="254" spans="1:2">
      <c r="A254" s="13">
        <v>41892</v>
      </c>
      <c r="B254" s="8">
        <f t="shared" si="3"/>
        <v>6072</v>
      </c>
    </row>
    <row r="255" spans="1:2">
      <c r="A255" s="13">
        <v>41893</v>
      </c>
      <c r="B255" s="8">
        <f t="shared" si="3"/>
        <v>6096</v>
      </c>
    </row>
    <row r="256" spans="1:2">
      <c r="A256" s="13">
        <v>41894</v>
      </c>
      <c r="B256" s="8">
        <f t="shared" si="3"/>
        <v>6120</v>
      </c>
    </row>
    <row r="257" spans="1:2">
      <c r="A257" s="13">
        <v>41895</v>
      </c>
      <c r="B257" s="8">
        <f t="shared" si="3"/>
        <v>6144</v>
      </c>
    </row>
    <row r="258" spans="1:2">
      <c r="A258" s="13">
        <v>41896</v>
      </c>
      <c r="B258" s="8">
        <f t="shared" si="3"/>
        <v>6168</v>
      </c>
    </row>
    <row r="259" spans="1:2">
      <c r="A259" s="13">
        <v>41897</v>
      </c>
      <c r="B259" s="8">
        <f t="shared" si="3"/>
        <v>6192</v>
      </c>
    </row>
    <row r="260" spans="1:2">
      <c r="A260" s="13">
        <v>41898</v>
      </c>
      <c r="B260" s="8">
        <f t="shared" ref="B260:B323" si="4">+B259+24</f>
        <v>6216</v>
      </c>
    </row>
    <row r="261" spans="1:2">
      <c r="A261" s="13">
        <v>41899</v>
      </c>
      <c r="B261" s="8">
        <f t="shared" si="4"/>
        <v>6240</v>
      </c>
    </row>
    <row r="262" spans="1:2">
      <c r="A262" s="13">
        <v>41900</v>
      </c>
      <c r="B262" s="8">
        <f t="shared" si="4"/>
        <v>6264</v>
      </c>
    </row>
    <row r="263" spans="1:2">
      <c r="A263" s="13">
        <v>41901</v>
      </c>
      <c r="B263" s="8">
        <f t="shared" si="4"/>
        <v>6288</v>
      </c>
    </row>
    <row r="264" spans="1:2">
      <c r="A264" s="13">
        <v>41902</v>
      </c>
      <c r="B264" s="8">
        <f t="shared" si="4"/>
        <v>6312</v>
      </c>
    </row>
    <row r="265" spans="1:2">
      <c r="A265" s="13">
        <v>41903</v>
      </c>
      <c r="B265" s="8">
        <f t="shared" si="4"/>
        <v>6336</v>
      </c>
    </row>
    <row r="266" spans="1:2">
      <c r="A266" s="13">
        <v>41904</v>
      </c>
      <c r="B266" s="8">
        <f t="shared" si="4"/>
        <v>6360</v>
      </c>
    </row>
    <row r="267" spans="1:2">
      <c r="A267" s="13">
        <v>41905</v>
      </c>
      <c r="B267" s="8">
        <f t="shared" si="4"/>
        <v>6384</v>
      </c>
    </row>
    <row r="268" spans="1:2">
      <c r="A268" s="13">
        <v>41906</v>
      </c>
      <c r="B268" s="8">
        <f t="shared" si="4"/>
        <v>6408</v>
      </c>
    </row>
    <row r="269" spans="1:2">
      <c r="A269" s="13">
        <v>41907</v>
      </c>
      <c r="B269" s="8">
        <f t="shared" si="4"/>
        <v>6432</v>
      </c>
    </row>
    <row r="270" spans="1:2">
      <c r="A270" s="13">
        <v>41908</v>
      </c>
      <c r="B270" s="8">
        <f t="shared" si="4"/>
        <v>6456</v>
      </c>
    </row>
    <row r="271" spans="1:2">
      <c r="A271" s="13">
        <v>41909</v>
      </c>
      <c r="B271" s="8">
        <f t="shared" si="4"/>
        <v>6480</v>
      </c>
    </row>
    <row r="272" spans="1:2">
      <c r="A272" s="13">
        <v>41910</v>
      </c>
      <c r="B272" s="8">
        <f t="shared" si="4"/>
        <v>6504</v>
      </c>
    </row>
    <row r="273" spans="1:2">
      <c r="A273" s="13">
        <v>41911</v>
      </c>
      <c r="B273" s="8">
        <f t="shared" si="4"/>
        <v>6528</v>
      </c>
    </row>
    <row r="274" spans="1:2">
      <c r="A274" s="13">
        <v>41912</v>
      </c>
      <c r="B274" s="8">
        <f t="shared" si="4"/>
        <v>6552</v>
      </c>
    </row>
    <row r="275" spans="1:2">
      <c r="A275" s="13">
        <v>41913</v>
      </c>
      <c r="B275" s="8">
        <f t="shared" si="4"/>
        <v>6576</v>
      </c>
    </row>
    <row r="276" spans="1:2">
      <c r="A276" s="13">
        <v>41914</v>
      </c>
      <c r="B276" s="8">
        <f t="shared" si="4"/>
        <v>6600</v>
      </c>
    </row>
    <row r="277" spans="1:2">
      <c r="A277" s="13">
        <v>41915</v>
      </c>
      <c r="B277" s="8">
        <f t="shared" si="4"/>
        <v>6624</v>
      </c>
    </row>
    <row r="278" spans="1:2">
      <c r="A278" s="13">
        <v>41916</v>
      </c>
      <c r="B278" s="8">
        <f t="shared" si="4"/>
        <v>6648</v>
      </c>
    </row>
    <row r="279" spans="1:2">
      <c r="A279" s="13">
        <v>41917</v>
      </c>
      <c r="B279" s="8">
        <f t="shared" si="4"/>
        <v>6672</v>
      </c>
    </row>
    <row r="280" spans="1:2">
      <c r="A280" s="13">
        <v>41918</v>
      </c>
      <c r="B280" s="8">
        <f t="shared" si="4"/>
        <v>6696</v>
      </c>
    </row>
    <row r="281" spans="1:2">
      <c r="A281" s="13">
        <v>41919</v>
      </c>
      <c r="B281" s="8">
        <f t="shared" si="4"/>
        <v>6720</v>
      </c>
    </row>
    <row r="282" spans="1:2">
      <c r="A282" s="13">
        <v>41920</v>
      </c>
      <c r="B282" s="8">
        <f t="shared" si="4"/>
        <v>6744</v>
      </c>
    </row>
    <row r="283" spans="1:2">
      <c r="A283" s="13">
        <v>41921</v>
      </c>
      <c r="B283" s="8">
        <f t="shared" si="4"/>
        <v>6768</v>
      </c>
    </row>
    <row r="284" spans="1:2">
      <c r="A284" s="13">
        <v>41922</v>
      </c>
      <c r="B284" s="8">
        <f t="shared" si="4"/>
        <v>6792</v>
      </c>
    </row>
    <row r="285" spans="1:2">
      <c r="A285" s="13">
        <v>41923</v>
      </c>
      <c r="B285" s="8">
        <f t="shared" si="4"/>
        <v>6816</v>
      </c>
    </row>
    <row r="286" spans="1:2">
      <c r="A286" s="13">
        <v>41924</v>
      </c>
      <c r="B286" s="8">
        <f t="shared" si="4"/>
        <v>6840</v>
      </c>
    </row>
    <row r="287" spans="1:2">
      <c r="A287" s="13">
        <v>41925</v>
      </c>
      <c r="B287" s="8">
        <f t="shared" si="4"/>
        <v>6864</v>
      </c>
    </row>
    <row r="288" spans="1:2">
      <c r="A288" s="13">
        <v>41926</v>
      </c>
      <c r="B288" s="8">
        <f t="shared" si="4"/>
        <v>6888</v>
      </c>
    </row>
    <row r="289" spans="1:2">
      <c r="A289" s="13">
        <v>41927</v>
      </c>
      <c r="B289" s="8">
        <f t="shared" si="4"/>
        <v>6912</v>
      </c>
    </row>
    <row r="290" spans="1:2">
      <c r="A290" s="13">
        <v>41928</v>
      </c>
      <c r="B290" s="8">
        <f t="shared" si="4"/>
        <v>6936</v>
      </c>
    </row>
    <row r="291" spans="1:2">
      <c r="A291" s="13">
        <v>41929</v>
      </c>
      <c r="B291" s="8">
        <f t="shared" si="4"/>
        <v>6960</v>
      </c>
    </row>
    <row r="292" spans="1:2">
      <c r="A292" s="13">
        <v>41930</v>
      </c>
      <c r="B292" s="8">
        <f t="shared" si="4"/>
        <v>6984</v>
      </c>
    </row>
    <row r="293" spans="1:2">
      <c r="A293" s="13">
        <v>41931</v>
      </c>
      <c r="B293" s="8">
        <f t="shared" si="4"/>
        <v>7008</v>
      </c>
    </row>
    <row r="294" spans="1:2">
      <c r="A294" s="13">
        <v>41932</v>
      </c>
      <c r="B294" s="8">
        <f t="shared" si="4"/>
        <v>7032</v>
      </c>
    </row>
    <row r="295" spans="1:2">
      <c r="A295" s="13">
        <v>41933</v>
      </c>
      <c r="B295" s="8">
        <f t="shared" si="4"/>
        <v>7056</v>
      </c>
    </row>
    <row r="296" spans="1:2">
      <c r="A296" s="13">
        <v>41934</v>
      </c>
      <c r="B296" s="8">
        <f t="shared" si="4"/>
        <v>7080</v>
      </c>
    </row>
    <row r="297" spans="1:2">
      <c r="A297" s="13">
        <v>41935</v>
      </c>
      <c r="B297" s="8">
        <f t="shared" si="4"/>
        <v>7104</v>
      </c>
    </row>
    <row r="298" spans="1:2">
      <c r="A298" s="13">
        <v>41936</v>
      </c>
      <c r="B298" s="8">
        <f t="shared" si="4"/>
        <v>7128</v>
      </c>
    </row>
    <row r="299" spans="1:2">
      <c r="A299" s="13">
        <v>41937</v>
      </c>
      <c r="B299" s="8">
        <f t="shared" si="4"/>
        <v>7152</v>
      </c>
    </row>
    <row r="300" spans="1:2">
      <c r="A300" s="13">
        <v>41938</v>
      </c>
      <c r="B300" s="8">
        <f t="shared" si="4"/>
        <v>7176</v>
      </c>
    </row>
    <row r="301" spans="1:2">
      <c r="A301" s="13">
        <v>41939</v>
      </c>
      <c r="B301" s="8">
        <f t="shared" si="4"/>
        <v>7200</v>
      </c>
    </row>
    <row r="302" spans="1:2">
      <c r="A302" s="13">
        <v>41940</v>
      </c>
      <c r="B302" s="8">
        <f t="shared" si="4"/>
        <v>7224</v>
      </c>
    </row>
    <row r="303" spans="1:2">
      <c r="A303" s="13">
        <v>41941</v>
      </c>
      <c r="B303" s="8">
        <f t="shared" si="4"/>
        <v>7248</v>
      </c>
    </row>
    <row r="304" spans="1:2">
      <c r="A304" s="13">
        <v>41942</v>
      </c>
      <c r="B304" s="8">
        <f t="shared" si="4"/>
        <v>7272</v>
      </c>
    </row>
    <row r="305" spans="1:2">
      <c r="A305" s="13">
        <v>41943</v>
      </c>
      <c r="B305" s="8">
        <f t="shared" si="4"/>
        <v>7296</v>
      </c>
    </row>
    <row r="306" spans="1:2">
      <c r="A306" s="13">
        <v>41944</v>
      </c>
      <c r="B306" s="8">
        <f t="shared" si="4"/>
        <v>7320</v>
      </c>
    </row>
    <row r="307" spans="1:2">
      <c r="A307" s="13">
        <v>41945</v>
      </c>
      <c r="B307" s="8">
        <f t="shared" si="4"/>
        <v>7344</v>
      </c>
    </row>
    <row r="308" spans="1:2">
      <c r="A308" s="13">
        <v>41946</v>
      </c>
      <c r="B308" s="8">
        <f t="shared" si="4"/>
        <v>7368</v>
      </c>
    </row>
    <row r="309" spans="1:2">
      <c r="A309" s="13">
        <v>41947</v>
      </c>
      <c r="B309" s="8">
        <f t="shared" si="4"/>
        <v>7392</v>
      </c>
    </row>
    <row r="310" spans="1:2">
      <c r="A310" s="13">
        <v>41948</v>
      </c>
      <c r="B310" s="8">
        <f t="shared" si="4"/>
        <v>7416</v>
      </c>
    </row>
    <row r="311" spans="1:2">
      <c r="A311" s="13">
        <v>41949</v>
      </c>
      <c r="B311" s="8">
        <f t="shared" si="4"/>
        <v>7440</v>
      </c>
    </row>
    <row r="312" spans="1:2">
      <c r="A312" s="13">
        <v>41950</v>
      </c>
      <c r="B312" s="8">
        <f t="shared" si="4"/>
        <v>7464</v>
      </c>
    </row>
    <row r="313" spans="1:2">
      <c r="A313" s="13">
        <v>41951</v>
      </c>
      <c r="B313" s="8">
        <f t="shared" si="4"/>
        <v>7488</v>
      </c>
    </row>
    <row r="314" spans="1:2">
      <c r="A314" s="13">
        <v>41952</v>
      </c>
      <c r="B314" s="8">
        <f t="shared" si="4"/>
        <v>7512</v>
      </c>
    </row>
    <row r="315" spans="1:2">
      <c r="A315" s="13">
        <v>41953</v>
      </c>
      <c r="B315" s="8">
        <f t="shared" si="4"/>
        <v>7536</v>
      </c>
    </row>
    <row r="316" spans="1:2">
      <c r="A316" s="13">
        <v>41954</v>
      </c>
      <c r="B316" s="8">
        <f t="shared" si="4"/>
        <v>7560</v>
      </c>
    </row>
    <row r="317" spans="1:2">
      <c r="A317" s="13">
        <v>41955</v>
      </c>
      <c r="B317" s="8">
        <f t="shared" si="4"/>
        <v>7584</v>
      </c>
    </row>
    <row r="318" spans="1:2">
      <c r="A318" s="13">
        <v>41956</v>
      </c>
      <c r="B318" s="8">
        <f t="shared" si="4"/>
        <v>7608</v>
      </c>
    </row>
    <row r="319" spans="1:2">
      <c r="A319" s="13">
        <v>41957</v>
      </c>
      <c r="B319" s="8">
        <f t="shared" si="4"/>
        <v>7632</v>
      </c>
    </row>
    <row r="320" spans="1:2">
      <c r="A320" s="13">
        <v>41958</v>
      </c>
      <c r="B320" s="8">
        <f t="shared" si="4"/>
        <v>7656</v>
      </c>
    </row>
    <row r="321" spans="1:2">
      <c r="A321" s="13">
        <v>41959</v>
      </c>
      <c r="B321" s="8">
        <f t="shared" si="4"/>
        <v>7680</v>
      </c>
    </row>
    <row r="322" spans="1:2">
      <c r="A322" s="13">
        <v>41960</v>
      </c>
      <c r="B322" s="8">
        <f t="shared" si="4"/>
        <v>7704</v>
      </c>
    </row>
    <row r="323" spans="1:2">
      <c r="A323" s="13">
        <v>41961</v>
      </c>
      <c r="B323" s="8">
        <f t="shared" si="4"/>
        <v>7728</v>
      </c>
    </row>
    <row r="324" spans="1:2">
      <c r="A324" s="13">
        <v>41962</v>
      </c>
      <c r="B324" s="8">
        <f t="shared" ref="B324:B366" si="5">+B323+24</f>
        <v>7752</v>
      </c>
    </row>
    <row r="325" spans="1:2">
      <c r="A325" s="13">
        <v>41963</v>
      </c>
      <c r="B325" s="8">
        <f t="shared" si="5"/>
        <v>7776</v>
      </c>
    </row>
    <row r="326" spans="1:2">
      <c r="A326" s="13">
        <v>41964</v>
      </c>
      <c r="B326" s="8">
        <f t="shared" si="5"/>
        <v>7800</v>
      </c>
    </row>
    <row r="327" spans="1:2">
      <c r="A327" s="13">
        <v>41965</v>
      </c>
      <c r="B327" s="8">
        <f t="shared" si="5"/>
        <v>7824</v>
      </c>
    </row>
    <row r="328" spans="1:2">
      <c r="A328" s="13">
        <v>41966</v>
      </c>
      <c r="B328" s="8">
        <f t="shared" si="5"/>
        <v>7848</v>
      </c>
    </row>
    <row r="329" spans="1:2">
      <c r="A329" s="13">
        <v>41967</v>
      </c>
      <c r="B329" s="8">
        <f t="shared" si="5"/>
        <v>7872</v>
      </c>
    </row>
    <row r="330" spans="1:2">
      <c r="A330" s="13">
        <v>41968</v>
      </c>
      <c r="B330" s="8">
        <f t="shared" si="5"/>
        <v>7896</v>
      </c>
    </row>
    <row r="331" spans="1:2">
      <c r="A331" s="13">
        <v>41969</v>
      </c>
      <c r="B331" s="8">
        <f t="shared" si="5"/>
        <v>7920</v>
      </c>
    </row>
    <row r="332" spans="1:2">
      <c r="A332" s="13">
        <v>41970</v>
      </c>
      <c r="B332" s="8">
        <f t="shared" si="5"/>
        <v>7944</v>
      </c>
    </row>
    <row r="333" spans="1:2">
      <c r="A333" s="13">
        <v>41971</v>
      </c>
      <c r="B333" s="8">
        <f t="shared" si="5"/>
        <v>7968</v>
      </c>
    </row>
    <row r="334" spans="1:2">
      <c r="A334" s="13">
        <v>41972</v>
      </c>
      <c r="B334" s="8">
        <f t="shared" si="5"/>
        <v>7992</v>
      </c>
    </row>
    <row r="335" spans="1:2">
      <c r="A335" s="13">
        <v>41973</v>
      </c>
      <c r="B335" s="8">
        <f t="shared" si="5"/>
        <v>8016</v>
      </c>
    </row>
    <row r="336" spans="1:2">
      <c r="A336" s="13">
        <v>41974</v>
      </c>
      <c r="B336" s="8">
        <f t="shared" si="5"/>
        <v>8040</v>
      </c>
    </row>
    <row r="337" spans="1:2">
      <c r="A337" s="13">
        <v>41975</v>
      </c>
      <c r="B337" s="8">
        <f t="shared" si="5"/>
        <v>8064</v>
      </c>
    </row>
    <row r="338" spans="1:2">
      <c r="A338" s="13">
        <v>41976</v>
      </c>
      <c r="B338" s="8">
        <f t="shared" si="5"/>
        <v>8088</v>
      </c>
    </row>
    <row r="339" spans="1:2">
      <c r="A339" s="13">
        <v>41977</v>
      </c>
      <c r="B339" s="8">
        <f t="shared" si="5"/>
        <v>8112</v>
      </c>
    </row>
    <row r="340" spans="1:2">
      <c r="A340" s="13">
        <v>41978</v>
      </c>
      <c r="B340" s="8">
        <f t="shared" si="5"/>
        <v>8136</v>
      </c>
    </row>
    <row r="341" spans="1:2">
      <c r="A341" s="13">
        <v>41979</v>
      </c>
      <c r="B341" s="8">
        <f t="shared" si="5"/>
        <v>8160</v>
      </c>
    </row>
    <row r="342" spans="1:2">
      <c r="A342" s="13">
        <v>41980</v>
      </c>
      <c r="B342" s="8">
        <f t="shared" si="5"/>
        <v>8184</v>
      </c>
    </row>
    <row r="343" spans="1:2">
      <c r="A343" s="13">
        <v>41981</v>
      </c>
      <c r="B343" s="8">
        <f t="shared" si="5"/>
        <v>8208</v>
      </c>
    </row>
    <row r="344" spans="1:2">
      <c r="A344" s="13">
        <v>41982</v>
      </c>
      <c r="B344" s="8">
        <f t="shared" si="5"/>
        <v>8232</v>
      </c>
    </row>
    <row r="345" spans="1:2">
      <c r="A345" s="13">
        <v>41983</v>
      </c>
      <c r="B345" s="8">
        <f t="shared" si="5"/>
        <v>8256</v>
      </c>
    </row>
    <row r="346" spans="1:2">
      <c r="A346" s="13">
        <v>41984</v>
      </c>
      <c r="B346" s="8">
        <f t="shared" si="5"/>
        <v>8280</v>
      </c>
    </row>
    <row r="347" spans="1:2">
      <c r="A347" s="13">
        <v>41985</v>
      </c>
      <c r="B347" s="8">
        <f t="shared" si="5"/>
        <v>8304</v>
      </c>
    </row>
    <row r="348" spans="1:2">
      <c r="A348" s="13">
        <v>41986</v>
      </c>
      <c r="B348" s="8">
        <f t="shared" si="5"/>
        <v>8328</v>
      </c>
    </row>
    <row r="349" spans="1:2">
      <c r="A349" s="13">
        <v>41987</v>
      </c>
      <c r="B349" s="8">
        <f t="shared" si="5"/>
        <v>8352</v>
      </c>
    </row>
    <row r="350" spans="1:2">
      <c r="A350" s="13">
        <v>41988</v>
      </c>
      <c r="B350" s="8">
        <f t="shared" si="5"/>
        <v>8376</v>
      </c>
    </row>
    <row r="351" spans="1:2">
      <c r="A351" s="13">
        <v>41989</v>
      </c>
      <c r="B351" s="8">
        <f t="shared" si="5"/>
        <v>8400</v>
      </c>
    </row>
    <row r="352" spans="1:2">
      <c r="A352" s="13">
        <v>41990</v>
      </c>
      <c r="B352" s="8">
        <f t="shared" si="5"/>
        <v>8424</v>
      </c>
    </row>
    <row r="353" spans="1:2">
      <c r="A353" s="13">
        <v>41991</v>
      </c>
      <c r="B353" s="8">
        <f t="shared" si="5"/>
        <v>8448</v>
      </c>
    </row>
    <row r="354" spans="1:2">
      <c r="A354" s="13">
        <v>41992</v>
      </c>
      <c r="B354" s="8">
        <f t="shared" si="5"/>
        <v>8472</v>
      </c>
    </row>
    <row r="355" spans="1:2">
      <c r="A355" s="13">
        <v>41993</v>
      </c>
      <c r="B355" s="8">
        <f t="shared" si="5"/>
        <v>8496</v>
      </c>
    </row>
    <row r="356" spans="1:2">
      <c r="A356" s="13">
        <v>41994</v>
      </c>
      <c r="B356" s="8">
        <f t="shared" si="5"/>
        <v>8520</v>
      </c>
    </row>
    <row r="357" spans="1:2">
      <c r="A357" s="13">
        <v>41995</v>
      </c>
      <c r="B357" s="8">
        <f t="shared" si="5"/>
        <v>8544</v>
      </c>
    </row>
    <row r="358" spans="1:2">
      <c r="A358" s="13">
        <v>41996</v>
      </c>
      <c r="B358" s="8">
        <f t="shared" si="5"/>
        <v>8568</v>
      </c>
    </row>
    <row r="359" spans="1:2">
      <c r="A359" s="13">
        <v>41997</v>
      </c>
      <c r="B359" s="8">
        <f t="shared" si="5"/>
        <v>8592</v>
      </c>
    </row>
    <row r="360" spans="1:2">
      <c r="A360" s="13">
        <v>41998</v>
      </c>
      <c r="B360" s="8">
        <f t="shared" si="5"/>
        <v>8616</v>
      </c>
    </row>
    <row r="361" spans="1:2">
      <c r="A361" s="13">
        <v>41999</v>
      </c>
      <c r="B361" s="8">
        <f t="shared" si="5"/>
        <v>8640</v>
      </c>
    </row>
    <row r="362" spans="1:2">
      <c r="A362" s="13">
        <v>42000</v>
      </c>
      <c r="B362" s="8">
        <f t="shared" si="5"/>
        <v>8664</v>
      </c>
    </row>
    <row r="363" spans="1:2">
      <c r="A363" s="13">
        <v>42001</v>
      </c>
      <c r="B363" s="8">
        <f t="shared" si="5"/>
        <v>8688</v>
      </c>
    </row>
    <row r="364" spans="1:2">
      <c r="A364" s="13">
        <v>42002</v>
      </c>
      <c r="B364" s="8">
        <f t="shared" si="5"/>
        <v>8712</v>
      </c>
    </row>
    <row r="365" spans="1:2">
      <c r="A365" s="13">
        <v>42003</v>
      </c>
      <c r="B365" s="8">
        <f t="shared" si="5"/>
        <v>8736</v>
      </c>
    </row>
    <row r="366" spans="1:2">
      <c r="A366" s="13">
        <v>42004</v>
      </c>
      <c r="B366" s="8">
        <f t="shared" si="5"/>
        <v>8760</v>
      </c>
    </row>
    <row r="367" spans="1:2">
      <c r="A367" s="13"/>
    </row>
    <row r="368" spans="1:2">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vt:lpstr>
      <vt:lpstr>1a-Operational RE</vt:lpstr>
      <vt:lpstr>1b. InStateRPSCOD by 12-31-15</vt:lpstr>
      <vt:lpstr>1b.2. InState COD by 2015 &lt;1</vt:lpstr>
      <vt:lpstr>1d.InState RPS COD 2016</vt:lpstr>
      <vt:lpstr>1x. OOS RPS REC Only12-31-2015</vt:lpstr>
      <vt:lpstr>Sheet2</vt:lpstr>
      <vt:lpstr>1c. In State Small Hydro</vt:lpstr>
      <vt:lpstr>Sheet1</vt:lpstr>
      <vt:lpstr>1e.OOS RPS COD 12-31-15</vt:lpstr>
      <vt:lpstr>1f.OOS RPS COD 2016</vt:lpstr>
      <vt:lpstr>1ff.OOS RPS COD 2017</vt:lpstr>
      <vt:lpstr>1d.InState RPS COD 2017</vt:lpstr>
      <vt:lpstr>1g. Expiring OOS Contracts</vt:lpstr>
      <vt:lpstr>2016 Removed</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atanghet</dc:creator>
  <cp:lastModifiedBy>Aragon, Hazel@Energy</cp:lastModifiedBy>
  <cp:lastPrinted>2016-10-31T20:20:33Z</cp:lastPrinted>
  <dcterms:created xsi:type="dcterms:W3CDTF">2012-02-17T18:05:19Z</dcterms:created>
  <dcterms:modified xsi:type="dcterms:W3CDTF">2018-09-13T19:53:02Z</dcterms:modified>
</cp:coreProperties>
</file>