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0 Accessible document project\ADA compliant documents\Efficiency\Propostion 39\"/>
    </mc:Choice>
  </mc:AlternateContent>
  <workbookProtection workbookPassword="C33D" lockStructure="1"/>
  <bookViews>
    <workbookView xWindow="0" yWindow="0" windowWidth="26083" windowHeight="11452" tabRatio="690"/>
  </bookViews>
  <sheets>
    <sheet name="Benchmarking" sheetId="6" r:id="rId1"/>
    <sheet name="Lighting" sheetId="1" r:id="rId2"/>
    <sheet name="HVAC" sheetId="2" r:id="rId3"/>
    <sheet name="Plug Load" sheetId="3" r:id="rId4"/>
    <sheet name="Bldg Envelope" sheetId="12" r:id="rId5"/>
    <sheet name="EE Transformer" sheetId="11" r:id="rId6"/>
    <sheet name="PV " sheetId="8" r:id="rId7"/>
    <sheet name="Total-Summary" sheetId="4" r:id="rId8"/>
    <sheet name="AVG HVAC impact" sheetId="7" state="hidden" r:id="rId9"/>
    <sheet name="AVG lighting impact" sheetId="9" state="hidden" r:id="rId10"/>
    <sheet name="Lamp ratio" sheetId="10" state="hidden" r:id="rId11"/>
    <sheet name="Bldg Env Avg" sheetId="13" state="hidden" r:id="rId12"/>
  </sheets>
  <definedNames>
    <definedName name="_xlnm.Print_Area" localSheetId="7">'Total-Summary'!$N$7:$AA$39</definedName>
  </definedNames>
  <calcPr calcId="162913"/>
  <customWorkbookViews>
    <customWorkbookView name="Joseph Wang - Personal View" guid="{570718A7-A7FA-4CAF-BE18-A3F9233610F9}" mergeInterval="0" personalView="1" maximized="1" xWindow="1" yWindow="1" windowWidth="1194" windowHeight="768" activeSheetId="1"/>
  </customWorkbookViews>
</workbook>
</file>

<file path=xl/calcChain.xml><?xml version="1.0" encoding="utf-8"?>
<calcChain xmlns="http://schemas.openxmlformats.org/spreadsheetml/2006/main">
  <c r="D15" i="11" l="1"/>
  <c r="D26" i="11" s="1"/>
  <c r="G11" i="11" s="1"/>
  <c r="D9" i="6" l="1"/>
  <c r="O19" i="12" l="1"/>
  <c r="N19" i="12"/>
  <c r="M19" i="12"/>
  <c r="O30" i="2" l="1"/>
  <c r="M45" i="2" l="1"/>
  <c r="N45" i="2"/>
  <c r="B4" i="11" l="1"/>
  <c r="B5" i="11"/>
  <c r="B5" i="8"/>
  <c r="N24" i="8" l="1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M24" i="8"/>
  <c r="X32" i="4" l="1"/>
  <c r="Y31" i="12" l="1"/>
  <c r="Y21" i="12"/>
  <c r="Y11" i="12"/>
  <c r="Y35" i="1"/>
  <c r="C51" i="7" l="1"/>
  <c r="D16" i="11" l="1"/>
  <c r="D17" i="11"/>
  <c r="D18" i="11"/>
  <c r="D19" i="11"/>
  <c r="D20" i="11"/>
  <c r="D21" i="11"/>
  <c r="D22" i="11"/>
  <c r="D23" i="11"/>
  <c r="D24" i="11"/>
  <c r="D25" i="11"/>
  <c r="O15" i="11" l="1"/>
  <c r="X11" i="4"/>
  <c r="J11" i="4"/>
  <c r="O29" i="12" l="1"/>
  <c r="Q16" i="11" l="1"/>
  <c r="P15" i="11"/>
  <c r="O16" i="11"/>
  <c r="E23" i="6"/>
  <c r="U16" i="11" l="1"/>
  <c r="U15" i="11"/>
  <c r="P16" i="11"/>
  <c r="U14" i="11" s="1"/>
  <c r="O9" i="12"/>
  <c r="M9" i="12"/>
  <c r="P32" i="4" l="1"/>
  <c r="M24" i="2"/>
  <c r="M30" i="2" s="1"/>
  <c r="B5" i="12" l="1"/>
  <c r="B4" i="12"/>
  <c r="B3" i="12"/>
  <c r="O47" i="2"/>
  <c r="L44" i="2"/>
  <c r="L29" i="2"/>
  <c r="W31" i="4"/>
  <c r="X31" i="4" s="1"/>
  <c r="S31" i="12"/>
  <c r="N29" i="12"/>
  <c r="S29" i="12" s="1"/>
  <c r="M29" i="12"/>
  <c r="S30" i="12" s="1"/>
  <c r="W30" i="4"/>
  <c r="X30" i="4" s="1"/>
  <c r="O21" i="12"/>
  <c r="S19" i="12"/>
  <c r="S20" i="12"/>
  <c r="AU29" i="12"/>
  <c r="AV29" i="12" s="1"/>
  <c r="AW29" i="12" s="1"/>
  <c r="AX29" i="12" s="1"/>
  <c r="AY29" i="12" s="1"/>
  <c r="AZ29" i="12" s="1"/>
  <c r="BA29" i="12" s="1"/>
  <c r="BB29" i="12" s="1"/>
  <c r="BC29" i="12" s="1"/>
  <c r="BD29" i="12" s="1"/>
  <c r="BE29" i="12" s="1"/>
  <c r="BF29" i="12" s="1"/>
  <c r="BG29" i="12" s="1"/>
  <c r="BH29" i="12" s="1"/>
  <c r="BI29" i="12" s="1"/>
  <c r="BJ29" i="12" s="1"/>
  <c r="BK29" i="12" s="1"/>
  <c r="BL29" i="12" s="1"/>
  <c r="BM29" i="12" s="1"/>
  <c r="BN29" i="12" s="1"/>
  <c r="Y29" i="12"/>
  <c r="Z29" i="12" s="1"/>
  <c r="AA29" i="12" s="1"/>
  <c r="AB29" i="12" s="1"/>
  <c r="AC29" i="12" s="1"/>
  <c r="AD29" i="12" s="1"/>
  <c r="AE29" i="12" s="1"/>
  <c r="AF29" i="12" s="1"/>
  <c r="AG29" i="12" s="1"/>
  <c r="AH29" i="12" s="1"/>
  <c r="AI29" i="12" s="1"/>
  <c r="AJ29" i="12" s="1"/>
  <c r="AK29" i="12" s="1"/>
  <c r="AL29" i="12" s="1"/>
  <c r="AM29" i="12" s="1"/>
  <c r="AN29" i="12" s="1"/>
  <c r="AO29" i="12" s="1"/>
  <c r="AP29" i="12" s="1"/>
  <c r="AQ29" i="12" s="1"/>
  <c r="AR29" i="12" s="1"/>
  <c r="L28" i="12"/>
  <c r="L18" i="12"/>
  <c r="Y19" i="12"/>
  <c r="Z19" i="12" s="1"/>
  <c r="AA19" i="12" s="1"/>
  <c r="AB19" i="12" s="1"/>
  <c r="AC19" i="12" s="1"/>
  <c r="AD19" i="12" s="1"/>
  <c r="AE19" i="12" s="1"/>
  <c r="AF19" i="12" s="1"/>
  <c r="AG19" i="12" s="1"/>
  <c r="AH19" i="12" s="1"/>
  <c r="AI19" i="12" s="1"/>
  <c r="AJ19" i="12" s="1"/>
  <c r="AK19" i="12" s="1"/>
  <c r="AL19" i="12" s="1"/>
  <c r="AM19" i="12" s="1"/>
  <c r="AU19" i="12"/>
  <c r="AV19" i="12" s="1"/>
  <c r="AW19" i="12" s="1"/>
  <c r="AX19" i="12" s="1"/>
  <c r="AY19" i="12" s="1"/>
  <c r="AZ19" i="12" s="1"/>
  <c r="BA19" i="12" s="1"/>
  <c r="BB19" i="12" s="1"/>
  <c r="BC19" i="12" s="1"/>
  <c r="BD19" i="12" s="1"/>
  <c r="BE19" i="12" s="1"/>
  <c r="BF19" i="12" s="1"/>
  <c r="BG19" i="12" s="1"/>
  <c r="BH19" i="12" s="1"/>
  <c r="BI19" i="12" s="1"/>
  <c r="W32" i="4"/>
  <c r="S32" i="4"/>
  <c r="W29" i="4"/>
  <c r="X29" i="4" s="1"/>
  <c r="M3" i="12"/>
  <c r="S29" i="4"/>
  <c r="N9" i="12"/>
  <c r="S9" i="12" s="1"/>
  <c r="S10" i="12"/>
  <c r="Q29" i="4" l="1"/>
  <c r="R29" i="4"/>
  <c r="Q31" i="4"/>
  <c r="S31" i="4"/>
  <c r="R31" i="4"/>
  <c r="N31" i="12"/>
  <c r="M31" i="12"/>
  <c r="S21" i="12"/>
  <c r="Q30" i="4"/>
  <c r="R30" i="4"/>
  <c r="S30" i="4"/>
  <c r="M21" i="12"/>
  <c r="O31" i="12"/>
  <c r="N21" i="12"/>
  <c r="S11" i="12"/>
  <c r="AU9" i="12"/>
  <c r="AV9" i="12" s="1"/>
  <c r="AW9" i="12" s="1"/>
  <c r="AX9" i="12" s="1"/>
  <c r="AY9" i="12" s="1"/>
  <c r="AZ9" i="12" s="1"/>
  <c r="BA9" i="12" s="1"/>
  <c r="BB9" i="12" s="1"/>
  <c r="BC9" i="12" s="1"/>
  <c r="BD9" i="12" s="1"/>
  <c r="BE9" i="12" s="1"/>
  <c r="BF9" i="12" s="1"/>
  <c r="BG9" i="12" s="1"/>
  <c r="BH9" i="12" s="1"/>
  <c r="BI9" i="12" s="1"/>
  <c r="BJ9" i="12" s="1"/>
  <c r="BK9" i="12" s="1"/>
  <c r="BL9" i="12" s="1"/>
  <c r="BM9" i="12" s="1"/>
  <c r="BN9" i="12" s="1"/>
  <c r="Y9" i="12"/>
  <c r="Z9" i="12" s="1"/>
  <c r="AA9" i="12" s="1"/>
  <c r="AB9" i="12" s="1"/>
  <c r="AC9" i="12" s="1"/>
  <c r="AD9" i="12" s="1"/>
  <c r="AE9" i="12" s="1"/>
  <c r="AF9" i="12" s="1"/>
  <c r="AG9" i="12" s="1"/>
  <c r="AH9" i="12" s="1"/>
  <c r="AI9" i="12" s="1"/>
  <c r="AJ9" i="12" s="1"/>
  <c r="AK9" i="12" s="1"/>
  <c r="AL9" i="12" s="1"/>
  <c r="AM9" i="12" s="1"/>
  <c r="AN9" i="12" s="1"/>
  <c r="AO9" i="12" s="1"/>
  <c r="AP9" i="12" s="1"/>
  <c r="AQ9" i="12" s="1"/>
  <c r="AR9" i="12" s="1"/>
  <c r="O11" i="12"/>
  <c r="L8" i="12"/>
  <c r="M32" i="2" l="1"/>
  <c r="M11" i="12"/>
  <c r="N11" i="12"/>
  <c r="AA16" i="11" l="1"/>
  <c r="AB16" i="11" s="1"/>
  <c r="AC16" i="11" s="1"/>
  <c r="AD16" i="11" s="1"/>
  <c r="AE16" i="11" s="1"/>
  <c r="AF16" i="11" s="1"/>
  <c r="AG16" i="11" s="1"/>
  <c r="AH16" i="11" s="1"/>
  <c r="AI16" i="11" s="1"/>
  <c r="AJ16" i="11" s="1"/>
  <c r="AK16" i="11" s="1"/>
  <c r="AL16" i="11" s="1"/>
  <c r="AM16" i="11" s="1"/>
  <c r="AN16" i="11" s="1"/>
  <c r="AO16" i="11" s="1"/>
  <c r="AP16" i="11" s="1"/>
  <c r="AQ16" i="11" s="1"/>
  <c r="AR16" i="11" s="1"/>
  <c r="AS16" i="11" s="1"/>
  <c r="AT16" i="11" s="1"/>
  <c r="Z4" i="11"/>
  <c r="B3" i="11"/>
  <c r="AA14" i="11" l="1"/>
  <c r="AB14" i="11" s="1"/>
  <c r="AC14" i="11" s="1"/>
  <c r="AD14" i="11" s="1"/>
  <c r="AE14" i="11" s="1"/>
  <c r="AF14" i="11" s="1"/>
  <c r="AG14" i="11" s="1"/>
  <c r="AH14" i="11" s="1"/>
  <c r="AI14" i="11" s="1"/>
  <c r="AJ14" i="11" s="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N13" i="11"/>
  <c r="R32" i="4" l="1"/>
  <c r="D32" i="4" s="1"/>
  <c r="Q32" i="4"/>
  <c r="C32" i="4" s="1"/>
  <c r="M56" i="1"/>
  <c r="Y57" i="1" l="1"/>
  <c r="O77" i="2" l="1"/>
  <c r="M77" i="2" l="1"/>
  <c r="O24" i="2"/>
  <c r="O32" i="2" l="1"/>
  <c r="S26" i="2" s="1"/>
  <c r="O103" i="1"/>
  <c r="M103" i="1"/>
  <c r="Z57" i="1" l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M104" i="1"/>
  <c r="S103" i="1" s="1"/>
  <c r="R17" i="4" s="1"/>
  <c r="M23" i="1"/>
  <c r="M24" i="1"/>
  <c r="M44" i="1"/>
  <c r="O44" i="1" s="1"/>
  <c r="M55" i="1"/>
  <c r="M57" i="1" s="1"/>
  <c r="S56" i="1" s="1"/>
  <c r="M78" i="1"/>
  <c r="M79" i="1"/>
  <c r="M90" i="1"/>
  <c r="M91" i="1"/>
  <c r="O56" i="1"/>
  <c r="O55" i="1"/>
  <c r="M15" i="1"/>
  <c r="O23" i="1"/>
  <c r="O24" i="1"/>
  <c r="Y25" i="1"/>
  <c r="Z25" i="1" s="1"/>
  <c r="AA25" i="1" s="1"/>
  <c r="M26" i="2"/>
  <c r="N24" i="2"/>
  <c r="N30" i="2" s="1"/>
  <c r="O26" i="2"/>
  <c r="M39" i="2"/>
  <c r="N39" i="2"/>
  <c r="N47" i="2" s="1"/>
  <c r="S39" i="2" s="1"/>
  <c r="O41" i="2"/>
  <c r="S18" i="4"/>
  <c r="O104" i="1"/>
  <c r="S104" i="1" s="1"/>
  <c r="S17" i="4" s="1"/>
  <c r="Y104" i="1"/>
  <c r="Z104" i="1" s="1"/>
  <c r="AA104" i="1" s="1"/>
  <c r="AB104" i="1" s="1"/>
  <c r="AC104" i="1" s="1"/>
  <c r="AD104" i="1" s="1"/>
  <c r="AE104" i="1" s="1"/>
  <c r="AF104" i="1" s="1"/>
  <c r="Y70" i="1"/>
  <c r="Z35" i="1"/>
  <c r="Y45" i="1"/>
  <c r="Y80" i="1"/>
  <c r="Z80" i="1" s="1"/>
  <c r="AA80" i="1" s="1"/>
  <c r="AB80" i="1" s="1"/>
  <c r="Y92" i="1"/>
  <c r="N40" i="2"/>
  <c r="B14" i="4"/>
  <c r="J17" i="4"/>
  <c r="J16" i="4"/>
  <c r="J15" i="4"/>
  <c r="J13" i="4"/>
  <c r="J14" i="4"/>
  <c r="J12" i="4"/>
  <c r="P14" i="4"/>
  <c r="B67" i="1"/>
  <c r="AQ68" i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BC68" i="1" s="1"/>
  <c r="BD68" i="1" s="1"/>
  <c r="BE68" i="1" s="1"/>
  <c r="Y68" i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L67" i="1"/>
  <c r="E12" i="6"/>
  <c r="G66" i="2"/>
  <c r="G65" i="2"/>
  <c r="G56" i="2"/>
  <c r="G55" i="2"/>
  <c r="AI102" i="1"/>
  <c r="AJ102" i="1" s="1"/>
  <c r="AK102" i="1" s="1"/>
  <c r="AL102" i="1" s="1"/>
  <c r="AM102" i="1" s="1"/>
  <c r="AO102" i="1" s="1"/>
  <c r="AP102" i="1" s="1"/>
  <c r="AQ102" i="1" s="1"/>
  <c r="AQ90" i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BC90" i="1" s="1"/>
  <c r="BD90" i="1" s="1"/>
  <c r="BE90" i="1" s="1"/>
  <c r="AE78" i="1"/>
  <c r="AF78" i="1" s="1"/>
  <c r="AG78" i="1" s="1"/>
  <c r="AH78" i="1" s="1"/>
  <c r="AQ55" i="1"/>
  <c r="AR55" i="1"/>
  <c r="AS55" i="1" s="1"/>
  <c r="AT55" i="1" s="1"/>
  <c r="AU55" i="1" s="1"/>
  <c r="AV55" i="1" s="1"/>
  <c r="AW55" i="1" s="1"/>
  <c r="AX55" i="1" s="1"/>
  <c r="AY55" i="1" s="1"/>
  <c r="AZ55" i="1" s="1"/>
  <c r="BA55" i="1" s="1"/>
  <c r="BB55" i="1" s="1"/>
  <c r="BC55" i="1" s="1"/>
  <c r="BD55" i="1" s="1"/>
  <c r="BE55" i="1" s="1"/>
  <c r="AQ43" i="1"/>
  <c r="AR43" i="1" s="1"/>
  <c r="AS43" i="1" s="1"/>
  <c r="AT43" i="1" s="1"/>
  <c r="AU43" i="1" s="1"/>
  <c r="AV43" i="1" s="1"/>
  <c r="AW43" i="1" s="1"/>
  <c r="AX43" i="1" s="1"/>
  <c r="AY43" i="1" s="1"/>
  <c r="AZ43" i="1" s="1"/>
  <c r="BA43" i="1" s="1"/>
  <c r="BB43" i="1" s="1"/>
  <c r="BC43" i="1" s="1"/>
  <c r="BD43" i="1" s="1"/>
  <c r="BE43" i="1" s="1"/>
  <c r="BF43" i="1" s="1"/>
  <c r="AQ33" i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AE23" i="1"/>
  <c r="AF23" i="1"/>
  <c r="AG23" i="1" s="1"/>
  <c r="AP39" i="2"/>
  <c r="AQ39" i="2" s="1"/>
  <c r="AR39" i="2" s="1"/>
  <c r="AS39" i="2" s="1"/>
  <c r="AT39" i="2" s="1"/>
  <c r="AU39" i="2" s="1"/>
  <c r="AV39" i="2" s="1"/>
  <c r="AW39" i="2" s="1"/>
  <c r="AX39" i="2" s="1"/>
  <c r="AY39" i="2" s="1"/>
  <c r="AZ39" i="2" s="1"/>
  <c r="BA39" i="2" s="1"/>
  <c r="BB39" i="2" s="1"/>
  <c r="BC39" i="2" s="1"/>
  <c r="BD39" i="2" s="1"/>
  <c r="AP24" i="2"/>
  <c r="AQ24" i="2" s="1"/>
  <c r="AR24" i="2" s="1"/>
  <c r="AS24" i="2" s="1"/>
  <c r="AT24" i="2" s="1"/>
  <c r="AU24" i="2" s="1"/>
  <c r="AV24" i="2" s="1"/>
  <c r="AW24" i="2" s="1"/>
  <c r="AX24" i="2" s="1"/>
  <c r="AY24" i="2" s="1"/>
  <c r="AZ24" i="2" s="1"/>
  <c r="BA24" i="2" s="1"/>
  <c r="BB24" i="2" s="1"/>
  <c r="BC24" i="2" s="1"/>
  <c r="BD24" i="2" s="1"/>
  <c r="AG32" i="3"/>
  <c r="AH32" i="3" s="1"/>
  <c r="AI32" i="3" s="1"/>
  <c r="AJ32" i="3" s="1"/>
  <c r="AK32" i="3" s="1"/>
  <c r="AF21" i="3"/>
  <c r="AG21" i="3" s="1"/>
  <c r="AH21" i="3" s="1"/>
  <c r="AI21" i="3" s="1"/>
  <c r="AU120" i="2"/>
  <c r="AV120" i="2" s="1"/>
  <c r="AW120" i="2" s="1"/>
  <c r="AX120" i="2" s="1"/>
  <c r="AY120" i="2" s="1"/>
  <c r="AZ120" i="2" s="1"/>
  <c r="BA120" i="2" s="1"/>
  <c r="BB120" i="2" s="1"/>
  <c r="BC120" i="2" s="1"/>
  <c r="BD120" i="2" s="1"/>
  <c r="BE120" i="2" s="1"/>
  <c r="BF120" i="2" s="1"/>
  <c r="BG120" i="2" s="1"/>
  <c r="BH120" i="2" s="1"/>
  <c r="BI120" i="2" s="1"/>
  <c r="BJ120" i="2" s="1"/>
  <c r="BK120" i="2" s="1"/>
  <c r="BL120" i="2" s="1"/>
  <c r="BM120" i="2" s="1"/>
  <c r="BN120" i="2" s="1"/>
  <c r="AP109" i="2"/>
  <c r="AQ109" i="2" s="1"/>
  <c r="AR109" i="2" s="1"/>
  <c r="AS109" i="2" s="1"/>
  <c r="AT109" i="2" s="1"/>
  <c r="AU109" i="2" s="1"/>
  <c r="AV109" i="2" s="1"/>
  <c r="AW109" i="2" s="1"/>
  <c r="AX109" i="2" s="1"/>
  <c r="AY109" i="2" s="1"/>
  <c r="AZ109" i="2" s="1"/>
  <c r="BA109" i="2" s="1"/>
  <c r="BB109" i="2" s="1"/>
  <c r="BC109" i="2" s="1"/>
  <c r="BD109" i="2" s="1"/>
  <c r="AL98" i="2"/>
  <c r="AM98" i="2" s="1"/>
  <c r="AN98" i="2" s="1"/>
  <c r="AO98" i="2" s="1"/>
  <c r="AP98" i="2" s="1"/>
  <c r="AQ98" i="2" s="1"/>
  <c r="AR98" i="2" s="1"/>
  <c r="AS98" i="2" s="1"/>
  <c r="AT98" i="2" s="1"/>
  <c r="AU98" i="2" s="1"/>
  <c r="AV98" i="2" s="1"/>
  <c r="AP87" i="2"/>
  <c r="AQ87" i="2"/>
  <c r="AR87" i="2" s="1"/>
  <c r="AS87" i="2" s="1"/>
  <c r="AT87" i="2" s="1"/>
  <c r="AU87" i="2" s="1"/>
  <c r="AV87" i="2" s="1"/>
  <c r="AW87" i="2" s="1"/>
  <c r="AX87" i="2" s="1"/>
  <c r="AY87" i="2" s="1"/>
  <c r="AZ87" i="2" s="1"/>
  <c r="BA87" i="2" s="1"/>
  <c r="BB87" i="2" s="1"/>
  <c r="BC87" i="2" s="1"/>
  <c r="BD87" i="2" s="1"/>
  <c r="AL76" i="2"/>
  <c r="AM76" i="2" s="1"/>
  <c r="AN76" i="2" s="1"/>
  <c r="AO76" i="2" s="1"/>
  <c r="AP76" i="2" s="1"/>
  <c r="AQ76" i="2" s="1"/>
  <c r="AR76" i="2" s="1"/>
  <c r="AS76" i="2" s="1"/>
  <c r="AT76" i="2" s="1"/>
  <c r="AU76" i="2" s="1"/>
  <c r="AV76" i="2" s="1"/>
  <c r="AP65" i="2"/>
  <c r="AQ65" i="2" s="1"/>
  <c r="AR65" i="2" s="1"/>
  <c r="AS65" i="2" s="1"/>
  <c r="AT65" i="2" s="1"/>
  <c r="AU65" i="2" s="1"/>
  <c r="AV65" i="2" s="1"/>
  <c r="AW65" i="2" s="1"/>
  <c r="AX65" i="2" s="1"/>
  <c r="AY65" i="2" s="1"/>
  <c r="AZ65" i="2" s="1"/>
  <c r="BA65" i="2" s="1"/>
  <c r="BB65" i="2" s="1"/>
  <c r="BC65" i="2" s="1"/>
  <c r="BD65" i="2" s="1"/>
  <c r="AU55" i="2"/>
  <c r="AV55" i="2" s="1"/>
  <c r="AW55" i="2" s="1"/>
  <c r="AX55" i="2" s="1"/>
  <c r="AY55" i="2" s="1"/>
  <c r="AZ55" i="2" s="1"/>
  <c r="BA55" i="2" s="1"/>
  <c r="BB55" i="2" s="1"/>
  <c r="BC55" i="2" s="1"/>
  <c r="BD55" i="2" s="1"/>
  <c r="BE55" i="2" s="1"/>
  <c r="BF55" i="2" s="1"/>
  <c r="BG55" i="2" s="1"/>
  <c r="BH55" i="2" s="1"/>
  <c r="BI55" i="2" s="1"/>
  <c r="BJ55" i="2" s="1"/>
  <c r="BK55" i="2" s="1"/>
  <c r="BL55" i="2" s="1"/>
  <c r="BM55" i="2" s="1"/>
  <c r="BN55" i="2" s="1"/>
  <c r="O55" i="2"/>
  <c r="O57" i="2" s="1"/>
  <c r="M32" i="3"/>
  <c r="P28" i="4"/>
  <c r="P27" i="4"/>
  <c r="P26" i="4"/>
  <c r="P25" i="4"/>
  <c r="P24" i="4"/>
  <c r="P23" i="4"/>
  <c r="P21" i="4"/>
  <c r="P20" i="4"/>
  <c r="P18" i="4"/>
  <c r="P17" i="4"/>
  <c r="P16" i="4"/>
  <c r="P15" i="4"/>
  <c r="P13" i="4"/>
  <c r="P12" i="4"/>
  <c r="P11" i="4"/>
  <c r="P10" i="4"/>
  <c r="B28" i="4"/>
  <c r="B27" i="4"/>
  <c r="B26" i="4"/>
  <c r="B25" i="4"/>
  <c r="B24" i="4"/>
  <c r="B23" i="4"/>
  <c r="B21" i="4"/>
  <c r="B20" i="4"/>
  <c r="B18" i="4"/>
  <c r="B17" i="4"/>
  <c r="B16" i="4"/>
  <c r="B15" i="4"/>
  <c r="B11" i="4"/>
  <c r="B10" i="4"/>
  <c r="B13" i="4"/>
  <c r="B12" i="4"/>
  <c r="M21" i="8"/>
  <c r="N21" i="8" s="1"/>
  <c r="N44" i="1"/>
  <c r="C1" i="3"/>
  <c r="C1" i="8"/>
  <c r="E1" i="2"/>
  <c r="C1" i="1"/>
  <c r="O78" i="2"/>
  <c r="S78" i="2" s="1"/>
  <c r="S22" i="4" s="1"/>
  <c r="O65" i="2"/>
  <c r="O67" i="2" s="1"/>
  <c r="E29" i="7"/>
  <c r="E28" i="7"/>
  <c r="E26" i="7"/>
  <c r="E25" i="7"/>
  <c r="E23" i="7"/>
  <c r="E22" i="7"/>
  <c r="E19" i="7"/>
  <c r="E18" i="7"/>
  <c r="E16" i="7"/>
  <c r="E15" i="7"/>
  <c r="E47" i="7"/>
  <c r="M98" i="2" s="1"/>
  <c r="M100" i="2" s="1"/>
  <c r="S99" i="2" s="1"/>
  <c r="F47" i="7"/>
  <c r="O98" i="2" s="1"/>
  <c r="O100" i="2" s="1"/>
  <c r="S100" i="2" s="1"/>
  <c r="S24" i="4" s="1"/>
  <c r="D47" i="7"/>
  <c r="L101" i="1"/>
  <c r="L89" i="1"/>
  <c r="L77" i="1"/>
  <c r="L54" i="1"/>
  <c r="L42" i="1"/>
  <c r="L32" i="1"/>
  <c r="L22" i="1"/>
  <c r="L31" i="3"/>
  <c r="L20" i="3"/>
  <c r="L119" i="2"/>
  <c r="L108" i="2"/>
  <c r="L97" i="2"/>
  <c r="L86" i="2"/>
  <c r="L75" i="2"/>
  <c r="L64" i="2"/>
  <c r="L54" i="2"/>
  <c r="L38" i="2"/>
  <c r="L23" i="2"/>
  <c r="D4" i="9"/>
  <c r="O34" i="1" s="1"/>
  <c r="C4" i="9"/>
  <c r="B4" i="9"/>
  <c r="M33" i="1" s="1"/>
  <c r="N24" i="1"/>
  <c r="N23" i="1"/>
  <c r="Y33" i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B10" i="9"/>
  <c r="B3" i="4"/>
  <c r="B4" i="4"/>
  <c r="B2" i="4"/>
  <c r="B4" i="8"/>
  <c r="B3" i="8"/>
  <c r="B5" i="3"/>
  <c r="B4" i="3"/>
  <c r="B3" i="3"/>
  <c r="B5" i="2"/>
  <c r="B4" i="2"/>
  <c r="B3" i="2"/>
  <c r="B4" i="1"/>
  <c r="B5" i="1"/>
  <c r="B3" i="1"/>
  <c r="B119" i="2"/>
  <c r="B108" i="2"/>
  <c r="B97" i="2"/>
  <c r="B86" i="2"/>
  <c r="B75" i="2"/>
  <c r="B22" i="4" s="1"/>
  <c r="B64" i="2"/>
  <c r="B54" i="2"/>
  <c r="B38" i="2"/>
  <c r="P19" i="4" s="1"/>
  <c r="E43" i="10"/>
  <c r="M43" i="1" s="1"/>
  <c r="O92" i="1"/>
  <c r="N103" i="1"/>
  <c r="N104" i="1" s="1"/>
  <c r="S102" i="1" s="1"/>
  <c r="Q17" i="4" s="1"/>
  <c r="M23" i="8"/>
  <c r="N23" i="8" s="1"/>
  <c r="G26" i="8"/>
  <c r="M29" i="8" s="1"/>
  <c r="D10" i="9"/>
  <c r="Y122" i="2"/>
  <c r="Z122" i="2" s="1"/>
  <c r="AA122" i="2" s="1"/>
  <c r="AB122" i="2" s="1"/>
  <c r="AC122" i="2" s="1"/>
  <c r="AD122" i="2" s="1"/>
  <c r="AE122" i="2" s="1"/>
  <c r="AF122" i="2" s="1"/>
  <c r="AG122" i="2" s="1"/>
  <c r="AH122" i="2" s="1"/>
  <c r="AI122" i="2" s="1"/>
  <c r="AJ122" i="2" s="1"/>
  <c r="AK122" i="2" s="1"/>
  <c r="AL122" i="2" s="1"/>
  <c r="AM122" i="2" s="1"/>
  <c r="AN122" i="2" s="1"/>
  <c r="AO122" i="2" s="1"/>
  <c r="AP122" i="2" s="1"/>
  <c r="AQ122" i="2" s="1"/>
  <c r="AR122" i="2" s="1"/>
  <c r="Y100" i="2"/>
  <c r="Z100" i="2" s="1"/>
  <c r="AA100" i="2" s="1"/>
  <c r="AB100" i="2" s="1"/>
  <c r="AC100" i="2" s="1"/>
  <c r="AD100" i="2" s="1"/>
  <c r="AE100" i="2" s="1"/>
  <c r="AF100" i="2" s="1"/>
  <c r="AG100" i="2" s="1"/>
  <c r="AH100" i="2" s="1"/>
  <c r="AI100" i="2" s="1"/>
  <c r="Y111" i="2"/>
  <c r="Z111" i="2" s="1"/>
  <c r="AA111" i="2" s="1"/>
  <c r="AB111" i="2" s="1"/>
  <c r="AC111" i="2" s="1"/>
  <c r="AD111" i="2" s="1"/>
  <c r="AE111" i="2" s="1"/>
  <c r="AF111" i="2" s="1"/>
  <c r="AG111" i="2" s="1"/>
  <c r="AH111" i="2" s="1"/>
  <c r="AI111" i="2" s="1"/>
  <c r="AJ111" i="2" s="1"/>
  <c r="AK111" i="2" s="1"/>
  <c r="AL111" i="2" s="1"/>
  <c r="AM111" i="2" s="1"/>
  <c r="Y89" i="2"/>
  <c r="Y78" i="2"/>
  <c r="Z78" i="2" s="1"/>
  <c r="AA78" i="2" s="1"/>
  <c r="AB78" i="2" s="1"/>
  <c r="AC78" i="2" s="1"/>
  <c r="AD78" i="2" s="1"/>
  <c r="AE78" i="2" s="1"/>
  <c r="AF78" i="2" s="1"/>
  <c r="AG78" i="2" s="1"/>
  <c r="AH78" i="2" s="1"/>
  <c r="AI78" i="2" s="1"/>
  <c r="Y67" i="2"/>
  <c r="Z67" i="2" s="1"/>
  <c r="AA67" i="2" s="1"/>
  <c r="AB67" i="2" s="1"/>
  <c r="AC67" i="2" s="1"/>
  <c r="AD67" i="2" s="1"/>
  <c r="AE67" i="2" s="1"/>
  <c r="AF67" i="2" s="1"/>
  <c r="AG67" i="2" s="1"/>
  <c r="AH67" i="2" s="1"/>
  <c r="AI67" i="2" s="1"/>
  <c r="AJ67" i="2" s="1"/>
  <c r="AK67" i="2" s="1"/>
  <c r="AL67" i="2" s="1"/>
  <c r="AM67" i="2" s="1"/>
  <c r="Y57" i="2"/>
  <c r="Z57" i="2" s="1"/>
  <c r="AA57" i="2" s="1"/>
  <c r="Y26" i="2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Y41" i="2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AK41" i="2" s="1"/>
  <c r="AL41" i="2" s="1"/>
  <c r="AM41" i="2" s="1"/>
  <c r="G23" i="8"/>
  <c r="N43" i="1"/>
  <c r="N21" i="3"/>
  <c r="N22" i="3" s="1"/>
  <c r="M67" i="2"/>
  <c r="N67" i="2"/>
  <c r="Y65" i="2"/>
  <c r="Z65" i="2" s="1"/>
  <c r="AA65" i="2" s="1"/>
  <c r="AB65" i="2" s="1"/>
  <c r="AC65" i="2" s="1"/>
  <c r="AD65" i="2" s="1"/>
  <c r="AE65" i="2" s="1"/>
  <c r="AF65" i="2" s="1"/>
  <c r="AG65" i="2" s="1"/>
  <c r="AH65" i="2" s="1"/>
  <c r="AI65" i="2" s="1"/>
  <c r="AJ65" i="2" s="1"/>
  <c r="AK65" i="2" s="1"/>
  <c r="AL65" i="2" s="1"/>
  <c r="AM65" i="2" s="1"/>
  <c r="M57" i="2"/>
  <c r="N57" i="2"/>
  <c r="Y39" i="2"/>
  <c r="Z39" i="2" s="1"/>
  <c r="AA39" i="2" s="1"/>
  <c r="AB39" i="2" s="1"/>
  <c r="AC39" i="2" s="1"/>
  <c r="AD39" i="2" s="1"/>
  <c r="AE39" i="2" s="1"/>
  <c r="AF39" i="2" s="1"/>
  <c r="AG39" i="2" s="1"/>
  <c r="AH39" i="2" s="1"/>
  <c r="AI39" i="2" s="1"/>
  <c r="AJ39" i="2" s="1"/>
  <c r="AK39" i="2" s="1"/>
  <c r="AL39" i="2" s="1"/>
  <c r="AM39" i="2" s="1"/>
  <c r="D43" i="7"/>
  <c r="O120" i="2" s="1"/>
  <c r="O122" i="2" s="1"/>
  <c r="S122" i="2" s="1"/>
  <c r="S26" i="4" s="1"/>
  <c r="N77" i="2"/>
  <c r="N78" i="2" s="1"/>
  <c r="S76" i="2" s="1"/>
  <c r="Q22" i="4" s="1"/>
  <c r="O87" i="2"/>
  <c r="O89" i="2" s="1"/>
  <c r="S89" i="2" s="1"/>
  <c r="S23" i="4" s="1"/>
  <c r="N87" i="2"/>
  <c r="N89" i="2" s="1"/>
  <c r="S87" i="2" s="1"/>
  <c r="Q23" i="4" s="1"/>
  <c r="M87" i="2"/>
  <c r="M89" i="2" s="1"/>
  <c r="S88" i="2" s="1"/>
  <c r="T32" i="3"/>
  <c r="Q28" i="4" s="1"/>
  <c r="M22" i="3"/>
  <c r="M21" i="3"/>
  <c r="N109" i="2"/>
  <c r="N111" i="2" s="1"/>
  <c r="S109" i="2" s="1"/>
  <c r="Q25" i="4" s="1"/>
  <c r="O109" i="2"/>
  <c r="O111" i="2" s="1"/>
  <c r="S111" i="2" s="1"/>
  <c r="S25" i="4" s="1"/>
  <c r="M109" i="2"/>
  <c r="M111" i="2" s="1"/>
  <c r="S110" i="2" s="1"/>
  <c r="Y76" i="2"/>
  <c r="Z76" i="2" s="1"/>
  <c r="AA76" i="2" s="1"/>
  <c r="AB76" i="2" s="1"/>
  <c r="AC76" i="2" s="1"/>
  <c r="AD76" i="2" s="1"/>
  <c r="AE76" i="2" s="1"/>
  <c r="AF76" i="2" s="1"/>
  <c r="AG76" i="2" s="1"/>
  <c r="AH76" i="2" s="1"/>
  <c r="AI76" i="2" s="1"/>
  <c r="M78" i="2"/>
  <c r="S77" i="2" s="1"/>
  <c r="N98" i="2"/>
  <c r="N100" i="2" s="1"/>
  <c r="S98" i="2" s="1"/>
  <c r="Q24" i="4" s="1"/>
  <c r="S92" i="1"/>
  <c r="S16" i="4" s="1"/>
  <c r="E16" i="4" s="1"/>
  <c r="E26" i="6"/>
  <c r="E25" i="6"/>
  <c r="E24" i="6"/>
  <c r="O79" i="1"/>
  <c r="N79" i="1"/>
  <c r="O78" i="1"/>
  <c r="N78" i="1"/>
  <c r="N56" i="1"/>
  <c r="N55" i="1"/>
  <c r="H7" i="10"/>
  <c r="H6" i="10"/>
  <c r="H5" i="10"/>
  <c r="H4" i="10"/>
  <c r="H3" i="10"/>
  <c r="H2" i="10"/>
  <c r="M20" i="8"/>
  <c r="N20" i="8" s="1"/>
  <c r="O20" i="8" s="1"/>
  <c r="P20" i="8" s="1"/>
  <c r="Q20" i="8" s="1"/>
  <c r="R20" i="8" s="1"/>
  <c r="S20" i="8" s="1"/>
  <c r="T20" i="8" s="1"/>
  <c r="U20" i="8" s="1"/>
  <c r="V20" i="8" s="1"/>
  <c r="W20" i="8" s="1"/>
  <c r="X20" i="8" s="1"/>
  <c r="Y20" i="8" s="1"/>
  <c r="Z20" i="8" s="1"/>
  <c r="AA20" i="8" s="1"/>
  <c r="AB20" i="8" s="1"/>
  <c r="AC20" i="8" s="1"/>
  <c r="AD20" i="8" s="1"/>
  <c r="AE20" i="8" s="1"/>
  <c r="AF20" i="8" s="1"/>
  <c r="AG20" i="8" s="1"/>
  <c r="AH20" i="8" s="1"/>
  <c r="AI20" i="8" s="1"/>
  <c r="AJ20" i="8" s="1"/>
  <c r="AK20" i="8" s="1"/>
  <c r="Y102" i="1"/>
  <c r="Z102" i="1" s="1"/>
  <c r="AA102" i="1" s="1"/>
  <c r="AB102" i="1" s="1"/>
  <c r="AC102" i="1" s="1"/>
  <c r="AD102" i="1" s="1"/>
  <c r="AE102" i="1" s="1"/>
  <c r="AF102" i="1" s="1"/>
  <c r="Y78" i="1"/>
  <c r="Z78" i="1" s="1"/>
  <c r="AA78" i="1" s="1"/>
  <c r="AB78" i="1" s="1"/>
  <c r="Y23" i="1"/>
  <c r="Z23" i="1" s="1"/>
  <c r="AA23" i="1" s="1"/>
  <c r="Y43" i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Y55" i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Y90" i="1"/>
  <c r="Z90" i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Y120" i="2"/>
  <c r="Z120" i="2" s="1"/>
  <c r="AA120" i="2" s="1"/>
  <c r="AB120" i="2" s="1"/>
  <c r="AC120" i="2" s="1"/>
  <c r="AD120" i="2" s="1"/>
  <c r="AE120" i="2" s="1"/>
  <c r="AF120" i="2" s="1"/>
  <c r="AG120" i="2" s="1"/>
  <c r="AH120" i="2" s="1"/>
  <c r="AI120" i="2" s="1"/>
  <c r="AJ120" i="2" s="1"/>
  <c r="AK120" i="2" s="1"/>
  <c r="AL120" i="2" s="1"/>
  <c r="AM120" i="2" s="1"/>
  <c r="AN120" i="2" s="1"/>
  <c r="AO120" i="2" s="1"/>
  <c r="AP120" i="2" s="1"/>
  <c r="AQ120" i="2" s="1"/>
  <c r="AR120" i="2" s="1"/>
  <c r="Y109" i="2"/>
  <c r="Z109" i="2" s="1"/>
  <c r="AA109" i="2" s="1"/>
  <c r="AB109" i="2" s="1"/>
  <c r="AC109" i="2" s="1"/>
  <c r="AD109" i="2" s="1"/>
  <c r="AE109" i="2" s="1"/>
  <c r="AF109" i="2" s="1"/>
  <c r="AG109" i="2" s="1"/>
  <c r="AH109" i="2" s="1"/>
  <c r="AI109" i="2" s="1"/>
  <c r="AJ109" i="2" s="1"/>
  <c r="AK109" i="2" s="1"/>
  <c r="AL109" i="2" s="1"/>
  <c r="AM109" i="2" s="1"/>
  <c r="Y98" i="2"/>
  <c r="Z98" i="2" s="1"/>
  <c r="AA98" i="2" s="1"/>
  <c r="AB98" i="2" s="1"/>
  <c r="AC98" i="2" s="1"/>
  <c r="AD98" i="2" s="1"/>
  <c r="AE98" i="2" s="1"/>
  <c r="AF98" i="2" s="1"/>
  <c r="AG98" i="2" s="1"/>
  <c r="AH98" i="2" s="1"/>
  <c r="AI98" i="2" s="1"/>
  <c r="Y87" i="2"/>
  <c r="Z87" i="2" s="1"/>
  <c r="AA87" i="2" s="1"/>
  <c r="AB87" i="2" s="1"/>
  <c r="AC87" i="2" s="1"/>
  <c r="AD87" i="2" s="1"/>
  <c r="AE87" i="2" s="1"/>
  <c r="AF87" i="2" s="1"/>
  <c r="AG87" i="2" s="1"/>
  <c r="AH87" i="2" s="1"/>
  <c r="AI87" i="2" s="1"/>
  <c r="AJ87" i="2" s="1"/>
  <c r="AK87" i="2" s="1"/>
  <c r="AL87" i="2" s="1"/>
  <c r="AM87" i="2" s="1"/>
  <c r="Y55" i="2"/>
  <c r="Z55" i="2" s="1"/>
  <c r="AA55" i="2" s="1"/>
  <c r="AB55" i="2" s="1"/>
  <c r="AC55" i="2" s="1"/>
  <c r="AD55" i="2" s="1"/>
  <c r="AE55" i="2" s="1"/>
  <c r="AF55" i="2" s="1"/>
  <c r="AG55" i="2" s="1"/>
  <c r="AH55" i="2" s="1"/>
  <c r="AI55" i="2" s="1"/>
  <c r="AJ55" i="2" s="1"/>
  <c r="AK55" i="2" s="1"/>
  <c r="AL55" i="2" s="1"/>
  <c r="AM55" i="2" s="1"/>
  <c r="AN55" i="2" s="1"/>
  <c r="AO55" i="2" s="1"/>
  <c r="AP55" i="2" s="1"/>
  <c r="AQ55" i="2" s="1"/>
  <c r="AR55" i="2" s="1"/>
  <c r="Y24" i="2"/>
  <c r="Z24" i="2" s="1"/>
  <c r="AA24" i="2" s="1"/>
  <c r="AB24" i="2" s="1"/>
  <c r="AC24" i="2" s="1"/>
  <c r="AD24" i="2" s="1"/>
  <c r="AE24" i="2" s="1"/>
  <c r="AF24" i="2" s="1"/>
  <c r="AG24" i="2" s="1"/>
  <c r="AH24" i="2" s="1"/>
  <c r="AI24" i="2" s="1"/>
  <c r="AJ24" i="2" s="1"/>
  <c r="AK24" i="2" s="1"/>
  <c r="AL24" i="2" s="1"/>
  <c r="AM24" i="2" s="1"/>
  <c r="Z32" i="3"/>
  <c r="AA32" i="3" s="1"/>
  <c r="AB32" i="3" s="1"/>
  <c r="AC32" i="3" s="1"/>
  <c r="AD32" i="3" s="1"/>
  <c r="Z21" i="3"/>
  <c r="AA21" i="3"/>
  <c r="AB21" i="3" s="1"/>
  <c r="AC21" i="3" s="1"/>
  <c r="F9" i="6"/>
  <c r="F10" i="6"/>
  <c r="H12" i="6"/>
  <c r="H11" i="6"/>
  <c r="H10" i="6"/>
  <c r="H9" i="6"/>
  <c r="D11" i="6"/>
  <c r="D10" i="6"/>
  <c r="O32" i="3"/>
  <c r="M14" i="3"/>
  <c r="M14" i="2"/>
  <c r="B31" i="3"/>
  <c r="L22" i="3"/>
  <c r="B20" i="3"/>
  <c r="N122" i="2"/>
  <c r="S121" i="2" s="1"/>
  <c r="R26" i="4" s="1"/>
  <c r="S120" i="2"/>
  <c r="B23" i="2"/>
  <c r="B101" i="1"/>
  <c r="B89" i="1"/>
  <c r="B77" i="1"/>
  <c r="B54" i="1"/>
  <c r="B42" i="1"/>
  <c r="B22" i="1"/>
  <c r="N92" i="1"/>
  <c r="S90" i="1" s="1"/>
  <c r="Q16" i="4" s="1"/>
  <c r="Z34" i="3"/>
  <c r="AA34" i="3" s="1"/>
  <c r="AB34" i="3" s="1"/>
  <c r="AC34" i="3" s="1"/>
  <c r="AD34" i="3" s="1"/>
  <c r="Z23" i="3"/>
  <c r="AA23" i="3" s="1"/>
  <c r="AB23" i="3" s="1"/>
  <c r="AC23" i="3" s="1"/>
  <c r="Z89" i="2"/>
  <c r="AA89" i="2" s="1"/>
  <c r="AB89" i="2" s="1"/>
  <c r="AC89" i="2" s="1"/>
  <c r="AD89" i="2" s="1"/>
  <c r="AE89" i="2" s="1"/>
  <c r="AF89" i="2" s="1"/>
  <c r="AG89" i="2" s="1"/>
  <c r="AH89" i="2" s="1"/>
  <c r="AI89" i="2" s="1"/>
  <c r="AJ89" i="2" s="1"/>
  <c r="AK89" i="2" s="1"/>
  <c r="AL89" i="2" s="1"/>
  <c r="AM89" i="2" s="1"/>
  <c r="Q26" i="4"/>
  <c r="M33" i="3"/>
  <c r="M23" i="3" l="1"/>
  <c r="T21" i="3" s="1"/>
  <c r="Q27" i="4" s="1"/>
  <c r="O22" i="3"/>
  <c r="N23" i="3"/>
  <c r="B19" i="4"/>
  <c r="P22" i="4"/>
  <c r="M92" i="1"/>
  <c r="S91" i="1" s="1"/>
  <c r="S94" i="1" s="1"/>
  <c r="O80" i="1"/>
  <c r="S80" i="1" s="1"/>
  <c r="S15" i="4" s="1"/>
  <c r="I123" i="2"/>
  <c r="U17" i="11"/>
  <c r="U18" i="11" s="1"/>
  <c r="V32" i="4" s="1"/>
  <c r="O21" i="3"/>
  <c r="O23" i="3"/>
  <c r="T22" i="3" s="1"/>
  <c r="R27" i="4" s="1"/>
  <c r="N80" i="1"/>
  <c r="S78" i="1" s="1"/>
  <c r="Q15" i="4" s="1"/>
  <c r="M80" i="1"/>
  <c r="S79" i="1" s="1"/>
  <c r="R15" i="4" s="1"/>
  <c r="M25" i="1"/>
  <c r="S24" i="1" s="1"/>
  <c r="R10" i="4" s="1"/>
  <c r="N45" i="1"/>
  <c r="N25" i="1"/>
  <c r="S23" i="1" s="1"/>
  <c r="Q10" i="4" s="1"/>
  <c r="I22" i="12"/>
  <c r="I32" i="12"/>
  <c r="U22" i="12"/>
  <c r="U32" i="12"/>
  <c r="S32" i="12"/>
  <c r="S33" i="12" s="1"/>
  <c r="S22" i="12"/>
  <c r="S23" i="12" s="1"/>
  <c r="S27" i="2"/>
  <c r="S12" i="12"/>
  <c r="S13" i="12" s="1"/>
  <c r="S41" i="2"/>
  <c r="D9" i="9"/>
  <c r="O68" i="1" s="1"/>
  <c r="O33" i="1"/>
  <c r="O35" i="1" s="1"/>
  <c r="M41" i="2"/>
  <c r="M47" i="2"/>
  <c r="N34" i="1"/>
  <c r="N33" i="1"/>
  <c r="N26" i="2"/>
  <c r="N32" i="2"/>
  <c r="S24" i="2" s="1"/>
  <c r="M34" i="1"/>
  <c r="M35" i="1" s="1"/>
  <c r="S25" i="2"/>
  <c r="O43" i="1"/>
  <c r="M45" i="1"/>
  <c r="S44" i="1" s="1"/>
  <c r="I93" i="1"/>
  <c r="I12" i="12"/>
  <c r="U12" i="12"/>
  <c r="W17" i="11"/>
  <c r="K17" i="11"/>
  <c r="C9" i="9"/>
  <c r="B9" i="9"/>
  <c r="N41" i="2"/>
  <c r="Q19" i="4" s="1"/>
  <c r="O25" i="1"/>
  <c r="S25" i="1" s="1"/>
  <c r="S10" i="4" s="1"/>
  <c r="Q38" i="4"/>
  <c r="N22" i="8"/>
  <c r="N26" i="8" s="1"/>
  <c r="G21" i="8"/>
  <c r="M22" i="8"/>
  <c r="O33" i="3"/>
  <c r="O36" i="3" s="1"/>
  <c r="P22" i="3"/>
  <c r="P23" i="3" s="1"/>
  <c r="T23" i="3" s="1"/>
  <c r="I58" i="1"/>
  <c r="I36" i="1"/>
  <c r="I81" i="1"/>
  <c r="I46" i="1"/>
  <c r="I58" i="2"/>
  <c r="I105" i="1"/>
  <c r="I71" i="1"/>
  <c r="R23" i="4"/>
  <c r="O21" i="8"/>
  <c r="O22" i="8" s="1"/>
  <c r="G20" i="8"/>
  <c r="D33" i="4" s="1"/>
  <c r="I101" i="2"/>
  <c r="I42" i="2"/>
  <c r="U105" i="1"/>
  <c r="S42" i="2"/>
  <c r="R25" i="4"/>
  <c r="R24" i="4"/>
  <c r="R22" i="4"/>
  <c r="I27" i="2"/>
  <c r="I79" i="2"/>
  <c r="I112" i="2"/>
  <c r="I68" i="2"/>
  <c r="U58" i="1"/>
  <c r="V24" i="3"/>
  <c r="U81" i="1"/>
  <c r="S101" i="2"/>
  <c r="S102" i="2" s="1"/>
  <c r="V35" i="3"/>
  <c r="S112" i="2"/>
  <c r="S113" i="2" s="1"/>
  <c r="S123" i="2"/>
  <c r="S124" i="2" s="1"/>
  <c r="Y121" i="2" s="1"/>
  <c r="Z121" i="2" s="1"/>
  <c r="Z124" i="2" s="1"/>
  <c r="U46" i="1"/>
  <c r="U93" i="1"/>
  <c r="S93" i="1"/>
  <c r="S79" i="2"/>
  <c r="S80" i="2" s="1"/>
  <c r="S90" i="2"/>
  <c r="U36" i="1"/>
  <c r="I90" i="2"/>
  <c r="U66" i="2"/>
  <c r="U56" i="2"/>
  <c r="U42" i="2"/>
  <c r="T19" i="4" s="1"/>
  <c r="U27" i="2"/>
  <c r="S66" i="2"/>
  <c r="S56" i="2"/>
  <c r="I26" i="1"/>
  <c r="I24" i="3"/>
  <c r="S105" i="1"/>
  <c r="U123" i="2"/>
  <c r="U112" i="2"/>
  <c r="U101" i="2"/>
  <c r="U90" i="2"/>
  <c r="U79" i="2"/>
  <c r="S65" i="2"/>
  <c r="S55" i="2"/>
  <c r="S26" i="1"/>
  <c r="S27" i="1" s="1"/>
  <c r="I35" i="3"/>
  <c r="U71" i="1"/>
  <c r="U26" i="1"/>
  <c r="Z92" i="1"/>
  <c r="N57" i="1"/>
  <c r="S55" i="1" s="1"/>
  <c r="Q13" i="4" s="1"/>
  <c r="Z45" i="1"/>
  <c r="G36" i="1"/>
  <c r="AA35" i="1"/>
  <c r="AB57" i="2"/>
  <c r="O57" i="1"/>
  <c r="R13" i="4"/>
  <c r="Z70" i="1"/>
  <c r="O23" i="8"/>
  <c r="T18" i="4" l="1"/>
  <c r="S35" i="1"/>
  <c r="S11" i="4" s="1"/>
  <c r="R16" i="4"/>
  <c r="T24" i="3"/>
  <c r="G24" i="3" s="1"/>
  <c r="S81" i="1"/>
  <c r="S82" i="1" s="1"/>
  <c r="Y79" i="1" s="1"/>
  <c r="M26" i="8"/>
  <c r="G22" i="8"/>
  <c r="S43" i="1"/>
  <c r="Q12" i="4" s="1"/>
  <c r="S34" i="1"/>
  <c r="R11" i="4" s="1"/>
  <c r="S36" i="1"/>
  <c r="U11" i="4" s="1"/>
  <c r="S28" i="1"/>
  <c r="S40" i="2"/>
  <c r="R19" i="4" s="1"/>
  <c r="C28" i="4"/>
  <c r="G32" i="3" s="1"/>
  <c r="C27" i="4"/>
  <c r="G21" i="3" s="1"/>
  <c r="O34" i="3"/>
  <c r="T33" i="3" s="1"/>
  <c r="T36" i="3" s="1"/>
  <c r="P33" i="3"/>
  <c r="P34" i="3" s="1"/>
  <c r="Y30" i="12"/>
  <c r="S34" i="12"/>
  <c r="Y31" i="4" s="1"/>
  <c r="V31" i="4"/>
  <c r="T31" i="4"/>
  <c r="F31" i="4" s="1"/>
  <c r="U31" i="4"/>
  <c r="G31" i="4" s="1"/>
  <c r="T17" i="4"/>
  <c r="T30" i="4"/>
  <c r="F30" i="4" s="1"/>
  <c r="U30" i="4"/>
  <c r="G30" i="4" s="1"/>
  <c r="N35" i="1"/>
  <c r="S33" i="1" s="1"/>
  <c r="Q11" i="4" s="1"/>
  <c r="V30" i="4"/>
  <c r="S24" i="12"/>
  <c r="Y30" i="4" s="1"/>
  <c r="Y20" i="12"/>
  <c r="T29" i="4"/>
  <c r="F29" i="4" s="1"/>
  <c r="U29" i="4"/>
  <c r="G29" i="4" s="1"/>
  <c r="O69" i="1"/>
  <c r="O70" i="1" s="1"/>
  <c r="S70" i="1" s="1"/>
  <c r="S14" i="4" s="1"/>
  <c r="Y10" i="12"/>
  <c r="V29" i="4"/>
  <c r="S14" i="12"/>
  <c r="Y29" i="4" s="1"/>
  <c r="N69" i="1"/>
  <c r="N68" i="1"/>
  <c r="M69" i="1"/>
  <c r="M68" i="1"/>
  <c r="R33" i="4"/>
  <c r="O45" i="1"/>
  <c r="S45" i="1" s="1"/>
  <c r="G24" i="8"/>
  <c r="AA15" i="11"/>
  <c r="AB15" i="11" s="1"/>
  <c r="AC15" i="11" s="1"/>
  <c r="AD15" i="11" s="1"/>
  <c r="AE15" i="11" s="1"/>
  <c r="AF15" i="11" s="1"/>
  <c r="AG15" i="11" s="1"/>
  <c r="AH15" i="11" s="1"/>
  <c r="AI15" i="11" s="1"/>
  <c r="AJ15" i="11" s="1"/>
  <c r="AK15" i="11" s="1"/>
  <c r="AL15" i="11" s="1"/>
  <c r="AM15" i="11" s="1"/>
  <c r="AN15" i="11" s="1"/>
  <c r="AO15" i="11" s="1"/>
  <c r="AP15" i="11" s="1"/>
  <c r="U19" i="11"/>
  <c r="C33" i="4"/>
  <c r="Q33" i="4"/>
  <c r="P21" i="8"/>
  <c r="S106" i="1"/>
  <c r="V17" i="4" s="1"/>
  <c r="X17" i="4" s="1"/>
  <c r="S58" i="1"/>
  <c r="U13" i="4" s="1"/>
  <c r="S57" i="1"/>
  <c r="S13" i="4" s="1"/>
  <c r="T25" i="3"/>
  <c r="Z22" i="3" s="1"/>
  <c r="AA22" i="3" s="1"/>
  <c r="AA25" i="3" s="1"/>
  <c r="T13" i="4"/>
  <c r="F13" i="4" s="1"/>
  <c r="T21" i="4"/>
  <c r="T20" i="4"/>
  <c r="S27" i="4"/>
  <c r="S91" i="2"/>
  <c r="Y88" i="2" s="1"/>
  <c r="Y124" i="2"/>
  <c r="S125" i="2"/>
  <c r="V26" i="4"/>
  <c r="AA121" i="2"/>
  <c r="V25" i="4"/>
  <c r="Y110" i="2"/>
  <c r="S114" i="2"/>
  <c r="V24" i="4"/>
  <c r="S103" i="2"/>
  <c r="Y99" i="2"/>
  <c r="V22" i="4"/>
  <c r="S81" i="2"/>
  <c r="Y77" i="2"/>
  <c r="S19" i="4"/>
  <c r="T16" i="4"/>
  <c r="F16" i="4" s="1"/>
  <c r="U16" i="4"/>
  <c r="G16" i="4" s="1"/>
  <c r="T15" i="4"/>
  <c r="F15" i="4" s="1"/>
  <c r="U10" i="4"/>
  <c r="G10" i="4" s="1"/>
  <c r="U18" i="4"/>
  <c r="U20" i="4"/>
  <c r="U21" i="4"/>
  <c r="U17" i="4"/>
  <c r="T11" i="4"/>
  <c r="F11" i="4" s="1"/>
  <c r="T10" i="4"/>
  <c r="F10" i="4" s="1"/>
  <c r="S21" i="4"/>
  <c r="S67" i="2"/>
  <c r="U23" i="4"/>
  <c r="T23" i="4"/>
  <c r="U25" i="4"/>
  <c r="T25" i="4"/>
  <c r="S20" i="4"/>
  <c r="S57" i="2"/>
  <c r="U22" i="4"/>
  <c r="T22" i="4"/>
  <c r="U24" i="4"/>
  <c r="T24" i="4"/>
  <c r="U26" i="4"/>
  <c r="T26" i="4"/>
  <c r="V16" i="4"/>
  <c r="Y91" i="1"/>
  <c r="S95" i="1"/>
  <c r="AA92" i="1"/>
  <c r="S83" i="1"/>
  <c r="Y15" i="4" s="1"/>
  <c r="AA45" i="1"/>
  <c r="AB35" i="1"/>
  <c r="AC57" i="2"/>
  <c r="Y24" i="1"/>
  <c r="V10" i="4"/>
  <c r="AA70" i="1"/>
  <c r="P23" i="8"/>
  <c r="O26" i="8"/>
  <c r="S28" i="2"/>
  <c r="S29" i="2" s="1"/>
  <c r="R18" i="4"/>
  <c r="Q18" i="4"/>
  <c r="Q37" i="4" s="1"/>
  <c r="T27" i="4" l="1"/>
  <c r="U27" i="4"/>
  <c r="V15" i="4"/>
  <c r="X15" i="4" s="1"/>
  <c r="U15" i="4"/>
  <c r="R37" i="4"/>
  <c r="C18" i="4" s="1"/>
  <c r="S71" i="1"/>
  <c r="S37" i="1"/>
  <c r="Y34" i="1" s="1"/>
  <c r="Z34" i="1" s="1"/>
  <c r="S43" i="2"/>
  <c r="S44" i="2" s="1"/>
  <c r="T34" i="3"/>
  <c r="S28" i="4" s="1"/>
  <c r="T35" i="3"/>
  <c r="T28" i="4" s="1"/>
  <c r="T38" i="4" s="1"/>
  <c r="S12" i="4"/>
  <c r="S36" i="4" s="1"/>
  <c r="E17" i="4" s="1"/>
  <c r="G104" i="1" s="1"/>
  <c r="S46" i="1"/>
  <c r="S37" i="4"/>
  <c r="C30" i="4"/>
  <c r="C29" i="4"/>
  <c r="C31" i="4"/>
  <c r="S107" i="1"/>
  <c r="R28" i="4"/>
  <c r="R38" i="4" s="1"/>
  <c r="Z31" i="12"/>
  <c r="AA31" i="12" s="1"/>
  <c r="AB31" i="12" s="1"/>
  <c r="Z30" i="12"/>
  <c r="Z20" i="12"/>
  <c r="H33" i="4"/>
  <c r="I33" i="4" s="1"/>
  <c r="J33" i="4" s="1"/>
  <c r="N70" i="1"/>
  <c r="S68" i="1" s="1"/>
  <c r="Q14" i="4" s="1"/>
  <c r="Q36" i="4" s="1"/>
  <c r="W17" i="4"/>
  <c r="Y17" i="4" s="1"/>
  <c r="V33" i="4"/>
  <c r="W33" i="4" s="1"/>
  <c r="Y33" i="4" s="1"/>
  <c r="S38" i="1"/>
  <c r="M70" i="1"/>
  <c r="S69" i="1" s="1"/>
  <c r="R14" i="4" s="1"/>
  <c r="Z10" i="12"/>
  <c r="AA10" i="12" s="1"/>
  <c r="AB10" i="12" s="1"/>
  <c r="AC10" i="12" s="1"/>
  <c r="AD10" i="12" s="1"/>
  <c r="AE10" i="12" s="1"/>
  <c r="AF10" i="12" s="1"/>
  <c r="AG10" i="12" s="1"/>
  <c r="AH10" i="12" s="1"/>
  <c r="AI10" i="12" s="1"/>
  <c r="AJ10" i="12" s="1"/>
  <c r="AK10" i="12" s="1"/>
  <c r="AL10" i="12" s="1"/>
  <c r="AM10" i="12" s="1"/>
  <c r="AN10" i="12" s="1"/>
  <c r="S47" i="1"/>
  <c r="S48" i="1" s="1"/>
  <c r="R12" i="4"/>
  <c r="Y103" i="1"/>
  <c r="AQ15" i="11"/>
  <c r="AP18" i="11"/>
  <c r="AA18" i="11"/>
  <c r="P22" i="8"/>
  <c r="P26" i="8" s="1"/>
  <c r="Q21" i="8"/>
  <c r="S59" i="1"/>
  <c r="S60" i="1" s="1"/>
  <c r="G92" i="1"/>
  <c r="S92" i="2"/>
  <c r="T26" i="3"/>
  <c r="V27" i="4"/>
  <c r="Z25" i="3"/>
  <c r="AB22" i="3"/>
  <c r="Y91" i="2"/>
  <c r="Z88" i="2"/>
  <c r="AA88" i="2" s="1"/>
  <c r="V23" i="4"/>
  <c r="X23" i="4" s="1"/>
  <c r="Z33" i="3"/>
  <c r="T37" i="3"/>
  <c r="V28" i="4"/>
  <c r="X26" i="4"/>
  <c r="W26" i="4"/>
  <c r="Y26" i="4" s="1"/>
  <c r="AA124" i="2"/>
  <c r="AB121" i="2"/>
  <c r="Z110" i="2"/>
  <c r="Y113" i="2"/>
  <c r="X25" i="4"/>
  <c r="W25" i="4"/>
  <c r="T37" i="4"/>
  <c r="F25" i="4" s="1"/>
  <c r="Z99" i="2"/>
  <c r="Y102" i="2"/>
  <c r="X24" i="4"/>
  <c r="W24" i="4"/>
  <c r="Y80" i="2"/>
  <c r="Z77" i="2"/>
  <c r="X22" i="4"/>
  <c r="W22" i="4"/>
  <c r="U19" i="4"/>
  <c r="V20" i="4"/>
  <c r="Y56" i="2"/>
  <c r="S58" i="2"/>
  <c r="V21" i="4"/>
  <c r="S68" i="2"/>
  <c r="Y66" i="2"/>
  <c r="Z91" i="1"/>
  <c r="Y94" i="1"/>
  <c r="W16" i="4"/>
  <c r="X16" i="4"/>
  <c r="AB92" i="1"/>
  <c r="Y82" i="1"/>
  <c r="Z79" i="1"/>
  <c r="AB45" i="1"/>
  <c r="AC35" i="1"/>
  <c r="AD57" i="2"/>
  <c r="W10" i="4"/>
  <c r="Y10" i="4" s="1"/>
  <c r="X10" i="4"/>
  <c r="J10" i="4"/>
  <c r="Z24" i="1"/>
  <c r="Y27" i="1"/>
  <c r="AB70" i="1"/>
  <c r="Q23" i="8"/>
  <c r="C24" i="4"/>
  <c r="Y25" i="2"/>
  <c r="V18" i="4"/>
  <c r="X18" i="4" s="1"/>
  <c r="E30" i="4" l="1"/>
  <c r="E29" i="4"/>
  <c r="E31" i="4"/>
  <c r="U14" i="4"/>
  <c r="G14" i="4" s="1"/>
  <c r="T14" i="4"/>
  <c r="F14" i="4" s="1"/>
  <c r="F22" i="4"/>
  <c r="F21" i="4"/>
  <c r="F20" i="4"/>
  <c r="F23" i="4"/>
  <c r="F28" i="4"/>
  <c r="F27" i="4"/>
  <c r="E23" i="4"/>
  <c r="G89" i="2" s="1"/>
  <c r="E20" i="4"/>
  <c r="G57" i="2" s="1"/>
  <c r="E21" i="4"/>
  <c r="E22" i="4"/>
  <c r="G78" i="2" s="1"/>
  <c r="D29" i="4"/>
  <c r="S72" i="1"/>
  <c r="Y69" i="1" s="1"/>
  <c r="Y72" i="1" s="1"/>
  <c r="W15" i="4"/>
  <c r="C19" i="4"/>
  <c r="G39" i="2" s="1"/>
  <c r="D31" i="4"/>
  <c r="D30" i="4"/>
  <c r="Y37" i="1"/>
  <c r="V11" i="4"/>
  <c r="W11" i="4" s="1"/>
  <c r="Y11" i="4" s="1"/>
  <c r="U12" i="4"/>
  <c r="U36" i="4" s="1"/>
  <c r="G11" i="4" s="1"/>
  <c r="T12" i="4"/>
  <c r="V19" i="4"/>
  <c r="X19" i="4" s="1"/>
  <c r="Y40" i="2"/>
  <c r="Z40" i="2" s="1"/>
  <c r="AA40" i="2" s="1"/>
  <c r="S38" i="4"/>
  <c r="S34" i="4"/>
  <c r="G35" i="3"/>
  <c r="U28" i="4"/>
  <c r="U38" i="4" s="1"/>
  <c r="G17" i="4"/>
  <c r="G15" i="4"/>
  <c r="G81" i="1" s="1"/>
  <c r="E18" i="4"/>
  <c r="G26" i="2" s="1"/>
  <c r="AO10" i="12"/>
  <c r="AP10" i="12" s="1"/>
  <c r="AQ10" i="12" s="1"/>
  <c r="AR10" i="12" s="1"/>
  <c r="D27" i="4"/>
  <c r="G22" i="3" s="1"/>
  <c r="D28" i="4"/>
  <c r="G33" i="3" s="1"/>
  <c r="K33" i="4"/>
  <c r="X33" i="4"/>
  <c r="Y33" i="12"/>
  <c r="AA30" i="12"/>
  <c r="Z33" i="12"/>
  <c r="AC31" i="12"/>
  <c r="AD31" i="12" s="1"/>
  <c r="AE31" i="12" s="1"/>
  <c r="AF31" i="12" s="1"/>
  <c r="AG31" i="12" s="1"/>
  <c r="E15" i="4"/>
  <c r="G80" i="1" s="1"/>
  <c r="E10" i="4"/>
  <c r="G25" i="1" s="1"/>
  <c r="W23" i="4"/>
  <c r="Y23" i="4" s="1"/>
  <c r="Q39" i="4"/>
  <c r="AA20" i="12"/>
  <c r="R34" i="4"/>
  <c r="Y23" i="12"/>
  <c r="Z21" i="12"/>
  <c r="AA21" i="12" s="1"/>
  <c r="AB21" i="12" s="1"/>
  <c r="E11" i="4"/>
  <c r="G35" i="1" s="1"/>
  <c r="F17" i="4"/>
  <c r="R36" i="4"/>
  <c r="Z11" i="12"/>
  <c r="Y13" i="12"/>
  <c r="Y106" i="1"/>
  <c r="Z103" i="1"/>
  <c r="V12" i="4"/>
  <c r="Y44" i="1"/>
  <c r="AR15" i="11"/>
  <c r="AQ18" i="11"/>
  <c r="AB18" i="11"/>
  <c r="Y56" i="1"/>
  <c r="Z56" i="1" s="1"/>
  <c r="AA56" i="1" s="1"/>
  <c r="V13" i="4"/>
  <c r="X13" i="4" s="1"/>
  <c r="Q22" i="8"/>
  <c r="Q26" i="8" s="1"/>
  <c r="R21" i="8"/>
  <c r="E13" i="4"/>
  <c r="G57" i="1" s="1"/>
  <c r="E12" i="4"/>
  <c r="G45" i="1" s="1"/>
  <c r="E26" i="4"/>
  <c r="G122" i="2" s="1"/>
  <c r="E24" i="4"/>
  <c r="G100" i="2" s="1"/>
  <c r="E25" i="4"/>
  <c r="G111" i="2" s="1"/>
  <c r="F24" i="4"/>
  <c r="F26" i="4"/>
  <c r="F18" i="4"/>
  <c r="S73" i="1"/>
  <c r="G13" i="4"/>
  <c r="G58" i="1" s="1"/>
  <c r="E14" i="4"/>
  <c r="G70" i="1" s="1"/>
  <c r="G26" i="1"/>
  <c r="G93" i="1"/>
  <c r="W27" i="4"/>
  <c r="Y27" i="4" s="1"/>
  <c r="X27" i="4"/>
  <c r="Z91" i="2"/>
  <c r="AB25" i="3"/>
  <c r="AC22" i="3"/>
  <c r="AC25" i="3" s="1"/>
  <c r="U37" i="4"/>
  <c r="C26" i="4"/>
  <c r="G120" i="2" s="1"/>
  <c r="X28" i="4"/>
  <c r="V38" i="4"/>
  <c r="W28" i="4"/>
  <c r="Z36" i="3"/>
  <c r="AA33" i="3"/>
  <c r="C25" i="4"/>
  <c r="G109" i="2" s="1"/>
  <c r="AC121" i="2"/>
  <c r="AB124" i="2"/>
  <c r="Y25" i="4"/>
  <c r="AA110" i="2"/>
  <c r="Z113" i="2"/>
  <c r="AA99" i="2"/>
  <c r="Z102" i="2"/>
  <c r="Y24" i="4"/>
  <c r="C23" i="4"/>
  <c r="G87" i="2" s="1"/>
  <c r="C22" i="4"/>
  <c r="G76" i="2" s="1"/>
  <c r="Y22" i="4"/>
  <c r="Z80" i="2"/>
  <c r="AA77" i="2"/>
  <c r="D19" i="4"/>
  <c r="AA91" i="2"/>
  <c r="AB88" i="2"/>
  <c r="Z66" i="2"/>
  <c r="Y69" i="2"/>
  <c r="W21" i="4"/>
  <c r="X21" i="4"/>
  <c r="Z56" i="2"/>
  <c r="Y59" i="2"/>
  <c r="G42" i="2"/>
  <c r="X20" i="4"/>
  <c r="W20" i="4"/>
  <c r="G41" i="2"/>
  <c r="Y16" i="4"/>
  <c r="AA91" i="1"/>
  <c r="Z94" i="1"/>
  <c r="AC92" i="1"/>
  <c r="AA79" i="1"/>
  <c r="Z82" i="1"/>
  <c r="AC45" i="1"/>
  <c r="AA34" i="1"/>
  <c r="Z37" i="1"/>
  <c r="AD35" i="1"/>
  <c r="AE57" i="2"/>
  <c r="AA24" i="1"/>
  <c r="AA27" i="1" s="1"/>
  <c r="Z27" i="1"/>
  <c r="AC70" i="1"/>
  <c r="R23" i="8"/>
  <c r="V37" i="4"/>
  <c r="W18" i="4"/>
  <c r="Y28" i="2"/>
  <c r="Z25" i="2"/>
  <c r="D18" i="4"/>
  <c r="G98" i="2"/>
  <c r="D25" i="4"/>
  <c r="D23" i="4"/>
  <c r="D26" i="4"/>
  <c r="D24" i="4"/>
  <c r="D22" i="4"/>
  <c r="C17" i="4" l="1"/>
  <c r="G102" i="1" s="1"/>
  <c r="C13" i="4"/>
  <c r="C16" i="4"/>
  <c r="G90" i="1" s="1"/>
  <c r="C12" i="4"/>
  <c r="G43" i="1" s="1"/>
  <c r="C15" i="4"/>
  <c r="C11" i="4"/>
  <c r="C14" i="4"/>
  <c r="C10" i="4"/>
  <c r="G23" i="1" s="1"/>
  <c r="S39" i="4"/>
  <c r="E28" i="4"/>
  <c r="G34" i="3" s="1"/>
  <c r="E27" i="4"/>
  <c r="G23" i="3" s="1"/>
  <c r="G18" i="4"/>
  <c r="G25" i="4"/>
  <c r="G71" i="1"/>
  <c r="G22" i="4"/>
  <c r="G79" i="2" s="1"/>
  <c r="G21" i="4"/>
  <c r="H21" i="4" s="1"/>
  <c r="G20" i="4"/>
  <c r="G58" i="2" s="1"/>
  <c r="G23" i="4"/>
  <c r="G90" i="2" s="1"/>
  <c r="G28" i="4"/>
  <c r="G27" i="4"/>
  <c r="Z69" i="1"/>
  <c r="AA69" i="1" s="1"/>
  <c r="AA72" i="1" s="1"/>
  <c r="V14" i="4"/>
  <c r="Y14" i="4" s="1"/>
  <c r="W19" i="4"/>
  <c r="Y19" i="4" s="1"/>
  <c r="G12" i="4"/>
  <c r="F12" i="4"/>
  <c r="T34" i="4"/>
  <c r="T36" i="4"/>
  <c r="T39" i="4" s="1"/>
  <c r="Z43" i="2"/>
  <c r="Y43" i="2"/>
  <c r="Y59" i="1"/>
  <c r="U39" i="4"/>
  <c r="U34" i="4"/>
  <c r="G105" i="1"/>
  <c r="G21" i="12"/>
  <c r="G11" i="12"/>
  <c r="G31" i="12"/>
  <c r="AB30" i="12"/>
  <c r="AA33" i="12"/>
  <c r="AH31" i="12"/>
  <c r="AI31" i="12" s="1"/>
  <c r="G29" i="12"/>
  <c r="G19" i="12"/>
  <c r="G9" i="12"/>
  <c r="G55" i="1"/>
  <c r="Z23" i="12"/>
  <c r="AC21" i="12"/>
  <c r="AD21" i="12" s="1"/>
  <c r="AE21" i="12" s="1"/>
  <c r="AB20" i="12"/>
  <c r="AC20" i="12" s="1"/>
  <c r="AA23" i="12"/>
  <c r="Z59" i="1"/>
  <c r="D14" i="4"/>
  <c r="G69" i="1" s="1"/>
  <c r="R39" i="4"/>
  <c r="I15" i="11" s="1"/>
  <c r="I18" i="11" s="1"/>
  <c r="I19" i="11" s="1"/>
  <c r="Y32" i="4" s="1"/>
  <c r="G68" i="1"/>
  <c r="G78" i="1"/>
  <c r="D15" i="4"/>
  <c r="G79" i="1" s="1"/>
  <c r="D11" i="4"/>
  <c r="H11" i="4" s="1"/>
  <c r="I11" i="4" s="1"/>
  <c r="D12" i="4"/>
  <c r="G44" i="1" s="1"/>
  <c r="D10" i="4"/>
  <c r="D17" i="4"/>
  <c r="G103" i="1" s="1"/>
  <c r="D16" i="4"/>
  <c r="D13" i="4"/>
  <c r="G56" i="1" s="1"/>
  <c r="G33" i="1"/>
  <c r="AA11" i="12"/>
  <c r="Z13" i="12"/>
  <c r="W12" i="4"/>
  <c r="Y12" i="4" s="1"/>
  <c r="X12" i="4"/>
  <c r="W13" i="4"/>
  <c r="Y13" i="4" s="1"/>
  <c r="AA103" i="1"/>
  <c r="Z106" i="1"/>
  <c r="Z44" i="1"/>
  <c r="Y47" i="1"/>
  <c r="AS15" i="11"/>
  <c r="AR18" i="11"/>
  <c r="AC18" i="11"/>
  <c r="S21" i="8"/>
  <c r="R22" i="8"/>
  <c r="R26" i="8" s="1"/>
  <c r="X38" i="4"/>
  <c r="G112" i="2"/>
  <c r="G26" i="4"/>
  <c r="G123" i="2" s="1"/>
  <c r="G24" i="4"/>
  <c r="G101" i="2" s="1"/>
  <c r="Z26" i="3"/>
  <c r="T27" i="3" s="1"/>
  <c r="Z27" i="4" s="1"/>
  <c r="AA36" i="3"/>
  <c r="AB33" i="3"/>
  <c r="Y28" i="4"/>
  <c r="W38" i="4"/>
  <c r="AD121" i="2"/>
  <c r="AC124" i="2"/>
  <c r="AB110" i="2"/>
  <c r="AA113" i="2"/>
  <c r="AB99" i="2"/>
  <c r="AA102" i="2"/>
  <c r="AA80" i="2"/>
  <c r="AB77" i="2"/>
  <c r="AB91" i="2"/>
  <c r="AC88" i="2"/>
  <c r="G67" i="2"/>
  <c r="Y21" i="4"/>
  <c r="AA66" i="2"/>
  <c r="Z69" i="2"/>
  <c r="Y28" i="1"/>
  <c r="S29" i="1" s="1"/>
  <c r="Z10" i="4" s="1"/>
  <c r="Y20" i="4"/>
  <c r="AA56" i="2"/>
  <c r="Z59" i="2"/>
  <c r="AB91" i="1"/>
  <c r="AA94" i="1"/>
  <c r="AD92" i="1"/>
  <c r="AA82" i="1"/>
  <c r="AB79" i="1"/>
  <c r="AB82" i="1" s="1"/>
  <c r="AD45" i="1"/>
  <c r="AB34" i="1"/>
  <c r="AA37" i="1"/>
  <c r="AE35" i="1"/>
  <c r="AF57" i="2"/>
  <c r="AA59" i="1"/>
  <c r="AB56" i="1"/>
  <c r="AD70" i="1"/>
  <c r="S23" i="8"/>
  <c r="AB40" i="2"/>
  <c r="AA43" i="2"/>
  <c r="G77" i="2"/>
  <c r="G121" i="2"/>
  <c r="G88" i="2"/>
  <c r="AA25" i="2"/>
  <c r="Z28" i="2"/>
  <c r="Y18" i="4"/>
  <c r="G24" i="2"/>
  <c r="G99" i="2"/>
  <c r="G40" i="2"/>
  <c r="H19" i="4"/>
  <c r="G110" i="2"/>
  <c r="G25" i="2"/>
  <c r="X37" i="4"/>
  <c r="W14" i="4" l="1"/>
  <c r="X14" i="4" s="1"/>
  <c r="X36" i="4" s="1"/>
  <c r="V34" i="4"/>
  <c r="AB69" i="1"/>
  <c r="AB72" i="1" s="1"/>
  <c r="Z72" i="1"/>
  <c r="V36" i="4"/>
  <c r="W37" i="4"/>
  <c r="Y37" i="4" s="1"/>
  <c r="G46" i="1"/>
  <c r="G32" i="12"/>
  <c r="G24" i="1"/>
  <c r="H32" i="4"/>
  <c r="AJ31" i="12"/>
  <c r="AC30" i="12"/>
  <c r="AB33" i="12"/>
  <c r="H15" i="4"/>
  <c r="G82" i="1" s="1"/>
  <c r="G83" i="1" s="1"/>
  <c r="AD20" i="12"/>
  <c r="AC23" i="12"/>
  <c r="H14" i="4"/>
  <c r="G72" i="1" s="1"/>
  <c r="G73" i="1" s="1"/>
  <c r="AF21" i="12"/>
  <c r="AG21" i="12" s="1"/>
  <c r="AB23" i="12"/>
  <c r="G34" i="1"/>
  <c r="H12" i="4"/>
  <c r="I12" i="4" s="1"/>
  <c r="H10" i="4"/>
  <c r="H17" i="4"/>
  <c r="H13" i="4"/>
  <c r="G91" i="1"/>
  <c r="H16" i="4"/>
  <c r="AB11" i="12"/>
  <c r="AA13" i="12"/>
  <c r="AA44" i="1"/>
  <c r="Z47" i="1"/>
  <c r="AB103" i="1"/>
  <c r="AA106" i="1"/>
  <c r="AT15" i="11"/>
  <c r="AS18" i="11"/>
  <c r="AD18" i="11"/>
  <c r="T21" i="8"/>
  <c r="S22" i="8"/>
  <c r="S26" i="8" s="1"/>
  <c r="H26" i="4"/>
  <c r="AU121" i="2" s="1"/>
  <c r="H23" i="4"/>
  <c r="AP88" i="2" s="1"/>
  <c r="H22" i="4"/>
  <c r="I22" i="4" s="1"/>
  <c r="H20" i="4"/>
  <c r="G59" i="2" s="1"/>
  <c r="G60" i="2" s="1"/>
  <c r="G68" i="2"/>
  <c r="H25" i="4"/>
  <c r="G113" i="2" s="1"/>
  <c r="G114" i="2" s="1"/>
  <c r="H24" i="4"/>
  <c r="I24" i="4" s="1"/>
  <c r="Y38" i="4"/>
  <c r="AC33" i="3"/>
  <c r="AB36" i="3"/>
  <c r="AE121" i="2"/>
  <c r="AD124" i="2"/>
  <c r="AC110" i="2"/>
  <c r="AB113" i="2"/>
  <c r="AB102" i="2"/>
  <c r="AC99" i="2"/>
  <c r="AC77" i="2"/>
  <c r="AB80" i="2"/>
  <c r="AC91" i="2"/>
  <c r="AD88" i="2"/>
  <c r="AB56" i="2"/>
  <c r="AA59" i="2"/>
  <c r="AA69" i="2"/>
  <c r="AB66" i="2"/>
  <c r="G69" i="2"/>
  <c r="G70" i="2" s="1"/>
  <c r="I21" i="4"/>
  <c r="AP66" i="2"/>
  <c r="Y83" i="1"/>
  <c r="S84" i="1" s="1"/>
  <c r="Z15" i="4" s="1"/>
  <c r="AC91" i="1"/>
  <c r="AB94" i="1"/>
  <c r="AE92" i="1"/>
  <c r="AE45" i="1"/>
  <c r="AC34" i="1"/>
  <c r="AB37" i="1"/>
  <c r="AF35" i="1"/>
  <c r="AG57" i="2"/>
  <c r="AB59" i="1"/>
  <c r="AC56" i="1"/>
  <c r="AE70" i="1"/>
  <c r="T23" i="8"/>
  <c r="AC40" i="2"/>
  <c r="AB43" i="2"/>
  <c r="I19" i="4"/>
  <c r="J19" i="4" s="1"/>
  <c r="G43" i="2"/>
  <c r="G44" i="2" s="1"/>
  <c r="AP40" i="2"/>
  <c r="AA28" i="2"/>
  <c r="AB25" i="2"/>
  <c r="W36" i="4" l="1"/>
  <c r="X34" i="4"/>
  <c r="W34" i="4"/>
  <c r="AC69" i="1"/>
  <c r="AD69" i="1" s="1"/>
  <c r="G12" i="12"/>
  <c r="G22" i="12"/>
  <c r="I32" i="4"/>
  <c r="K32" i="4" s="1"/>
  <c r="Y36" i="4"/>
  <c r="I13" i="4"/>
  <c r="K13" i="4" s="1"/>
  <c r="AD30" i="12"/>
  <c r="AC33" i="12"/>
  <c r="AK31" i="12"/>
  <c r="AL31" i="12" s="1"/>
  <c r="AM31" i="12" s="1"/>
  <c r="AN31" i="12" s="1"/>
  <c r="AO31" i="12" s="1"/>
  <c r="AP31" i="12" s="1"/>
  <c r="G47" i="1"/>
  <c r="G48" i="1" s="1"/>
  <c r="I15" i="4"/>
  <c r="K15" i="4" s="1"/>
  <c r="G10" i="12"/>
  <c r="H29" i="4"/>
  <c r="AE79" i="1"/>
  <c r="AE82" i="1" s="1"/>
  <c r="G20" i="12"/>
  <c r="H30" i="4"/>
  <c r="D34" i="4"/>
  <c r="G30" i="12"/>
  <c r="H31" i="4"/>
  <c r="AQ69" i="1"/>
  <c r="AR69" i="1" s="1"/>
  <c r="AS69" i="1" s="1"/>
  <c r="AT69" i="1" s="1"/>
  <c r="K12" i="4"/>
  <c r="I14" i="4"/>
  <c r="K14" i="4" s="1"/>
  <c r="AH21" i="12"/>
  <c r="AI21" i="12" s="1"/>
  <c r="AE20" i="12"/>
  <c r="AD23" i="12"/>
  <c r="AQ44" i="1"/>
  <c r="AR44" i="1" s="1"/>
  <c r="AQ34" i="1"/>
  <c r="G37" i="1"/>
  <c r="G38" i="1" s="1"/>
  <c r="K11" i="4"/>
  <c r="AE24" i="1"/>
  <c r="G27" i="1"/>
  <c r="G28" i="1" s="1"/>
  <c r="I10" i="4"/>
  <c r="K10" i="4" s="1"/>
  <c r="I17" i="4"/>
  <c r="K17" i="4" s="1"/>
  <c r="G106" i="1"/>
  <c r="G107" i="1" s="1"/>
  <c r="AI103" i="1"/>
  <c r="I16" i="4"/>
  <c r="K16" i="4" s="1"/>
  <c r="G94" i="1"/>
  <c r="G95" i="1" s="1"/>
  <c r="AQ91" i="1"/>
  <c r="AQ56" i="1"/>
  <c r="G59" i="1"/>
  <c r="G60" i="1" s="1"/>
  <c r="AB13" i="12"/>
  <c r="AC11" i="12"/>
  <c r="I26" i="4"/>
  <c r="J26" i="4" s="1"/>
  <c r="K26" i="4" s="1"/>
  <c r="AC103" i="1"/>
  <c r="AB106" i="1"/>
  <c r="AB44" i="1"/>
  <c r="AA47" i="1"/>
  <c r="AT18" i="11"/>
  <c r="AE18" i="11"/>
  <c r="T22" i="8"/>
  <c r="T26" i="8" s="1"/>
  <c r="U21" i="8"/>
  <c r="G124" i="2"/>
  <c r="G125" i="2" s="1"/>
  <c r="I23" i="4"/>
  <c r="J23" i="4" s="1"/>
  <c r="K23" i="4" s="1"/>
  <c r="G91" i="2"/>
  <c r="G92" i="2" s="1"/>
  <c r="G80" i="2"/>
  <c r="G81" i="2" s="1"/>
  <c r="AP110" i="2"/>
  <c r="AQ110" i="2" s="1"/>
  <c r="AL99" i="2"/>
  <c r="AM99" i="2" s="1"/>
  <c r="AL77" i="2"/>
  <c r="AM77" i="2" s="1"/>
  <c r="I25" i="4"/>
  <c r="J25" i="4" s="1"/>
  <c r="K25" i="4" s="1"/>
  <c r="AU56" i="2"/>
  <c r="AU59" i="2" s="1"/>
  <c r="I20" i="4"/>
  <c r="J20" i="4" s="1"/>
  <c r="K20" i="4" s="1"/>
  <c r="G102" i="2"/>
  <c r="G103" i="2" s="1"/>
  <c r="AC36" i="3"/>
  <c r="AD33" i="3"/>
  <c r="AD36" i="3" s="1"/>
  <c r="AF121" i="2"/>
  <c r="AE124" i="2"/>
  <c r="AD110" i="2"/>
  <c r="AC113" i="2"/>
  <c r="AD99" i="2"/>
  <c r="AC102" i="2"/>
  <c r="AC80" i="2"/>
  <c r="AD77" i="2"/>
  <c r="AE88" i="2"/>
  <c r="AD91" i="2"/>
  <c r="J21" i="4"/>
  <c r="K21" i="4" s="1"/>
  <c r="AC56" i="2"/>
  <c r="AB59" i="2"/>
  <c r="AQ66" i="2"/>
  <c r="AP69" i="2"/>
  <c r="AB69" i="2"/>
  <c r="AC66" i="2"/>
  <c r="AD91" i="1"/>
  <c r="AC94" i="1"/>
  <c r="AF92" i="1"/>
  <c r="AF45" i="1"/>
  <c r="AD34" i="1"/>
  <c r="AC37" i="1"/>
  <c r="AG35" i="1"/>
  <c r="AH57" i="2"/>
  <c r="AC59" i="1"/>
  <c r="AD56" i="1"/>
  <c r="AF70" i="1"/>
  <c r="U23" i="8"/>
  <c r="AC43" i="2"/>
  <c r="AD40" i="2"/>
  <c r="AB28" i="2"/>
  <c r="AC25" i="2"/>
  <c r="AP43" i="2"/>
  <c r="AQ40" i="2"/>
  <c r="K19" i="4"/>
  <c r="AV121" i="2"/>
  <c r="AU124" i="2"/>
  <c r="J24" i="4"/>
  <c r="K24" i="4" s="1"/>
  <c r="J22" i="4"/>
  <c r="K22" i="4" s="1"/>
  <c r="AP91" i="2"/>
  <c r="AQ88" i="2"/>
  <c r="Y34" i="4" l="1"/>
  <c r="AC72" i="1"/>
  <c r="J32" i="4"/>
  <c r="AE30" i="12"/>
  <c r="AD33" i="12"/>
  <c r="AQ47" i="1"/>
  <c r="AS72" i="1"/>
  <c r="AR72" i="1"/>
  <c r="AQ72" i="1"/>
  <c r="AF79" i="1"/>
  <c r="AG79" i="1" s="1"/>
  <c r="AH79" i="1" s="1"/>
  <c r="AH82" i="1" s="1"/>
  <c r="I30" i="4"/>
  <c r="G23" i="12"/>
  <c r="G24" i="12" s="1"/>
  <c r="AU20" i="12"/>
  <c r="G13" i="12"/>
  <c r="G14" i="12" s="1"/>
  <c r="I29" i="4"/>
  <c r="J29" i="4" s="1"/>
  <c r="AU10" i="12"/>
  <c r="AU30" i="12"/>
  <c r="I31" i="4"/>
  <c r="G33" i="12"/>
  <c r="G34" i="12" s="1"/>
  <c r="AF20" i="12"/>
  <c r="AE23" i="12"/>
  <c r="AJ21" i="12"/>
  <c r="AK21" i="12" s="1"/>
  <c r="AQ37" i="1"/>
  <c r="AR34" i="1"/>
  <c r="AJ103" i="1"/>
  <c r="AI106" i="1"/>
  <c r="AE27" i="1"/>
  <c r="AF24" i="1"/>
  <c r="AR91" i="1"/>
  <c r="AQ94" i="1"/>
  <c r="AR56" i="1"/>
  <c r="AQ59" i="1"/>
  <c r="AC13" i="12"/>
  <c r="AD11" i="12"/>
  <c r="AQ31" i="12"/>
  <c r="AB47" i="1"/>
  <c r="AC44" i="1"/>
  <c r="AV56" i="2"/>
  <c r="AW56" i="2" s="1"/>
  <c r="AD103" i="1"/>
  <c r="AC106" i="1"/>
  <c r="AF18" i="11"/>
  <c r="U22" i="8"/>
  <c r="U26" i="8" s="1"/>
  <c r="V21" i="8"/>
  <c r="AP113" i="2"/>
  <c r="AL80" i="2"/>
  <c r="AR47" i="1"/>
  <c r="AS44" i="1"/>
  <c r="AL102" i="2"/>
  <c r="Z37" i="3"/>
  <c r="T38" i="3" s="1"/>
  <c r="Z28" i="4" s="1"/>
  <c r="AF124" i="2"/>
  <c r="AG121" i="2"/>
  <c r="AD113" i="2"/>
  <c r="AE110" i="2"/>
  <c r="AD102" i="2"/>
  <c r="AE99" i="2"/>
  <c r="AD80" i="2"/>
  <c r="AE77" i="2"/>
  <c r="AF88" i="2"/>
  <c r="AE91" i="2"/>
  <c r="AR66" i="2"/>
  <c r="AQ69" i="2"/>
  <c r="AD56" i="2"/>
  <c r="AC59" i="2"/>
  <c r="AC69" i="2"/>
  <c r="AD66" i="2"/>
  <c r="AE91" i="1"/>
  <c r="AD94" i="1"/>
  <c r="AG92" i="1"/>
  <c r="AG45" i="1"/>
  <c r="AE34" i="1"/>
  <c r="AD37" i="1"/>
  <c r="AH35" i="1"/>
  <c r="AE69" i="1"/>
  <c r="AD72" i="1"/>
  <c r="AI57" i="2"/>
  <c r="AU69" i="1"/>
  <c r="AT72" i="1"/>
  <c r="AD59" i="1"/>
  <c r="AE56" i="1"/>
  <c r="AG70" i="1"/>
  <c r="V23" i="8"/>
  <c r="AE40" i="2"/>
  <c r="AD43" i="2"/>
  <c r="AR88" i="2"/>
  <c r="AQ91" i="2"/>
  <c r="AM102" i="2"/>
  <c r="AN99" i="2"/>
  <c r="AN77" i="2"/>
  <c r="AM80" i="2"/>
  <c r="AR40" i="2"/>
  <c r="AQ43" i="2"/>
  <c r="AC28" i="2"/>
  <c r="AD25" i="2"/>
  <c r="AR110" i="2"/>
  <c r="AQ113" i="2"/>
  <c r="AW121" i="2"/>
  <c r="AV124" i="2"/>
  <c r="J31" i="4" l="1"/>
  <c r="K31" i="4" s="1"/>
  <c r="J30" i="4"/>
  <c r="K30" i="4" s="1"/>
  <c r="AF30" i="12"/>
  <c r="AE33" i="12"/>
  <c r="AG82" i="1"/>
  <c r="AF82" i="1"/>
  <c r="K29" i="4"/>
  <c r="AU33" i="12"/>
  <c r="AV30" i="12"/>
  <c r="AV20" i="12"/>
  <c r="AU23" i="12"/>
  <c r="AV10" i="12"/>
  <c r="AU13" i="12"/>
  <c r="AL21" i="12"/>
  <c r="AG20" i="12"/>
  <c r="AF23" i="12"/>
  <c r="AS34" i="1"/>
  <c r="AR37" i="1"/>
  <c r="AG24" i="1"/>
  <c r="AG27" i="1" s="1"/>
  <c r="AF27" i="1"/>
  <c r="AK103" i="1"/>
  <c r="AJ106" i="1"/>
  <c r="AS91" i="1"/>
  <c r="AR94" i="1"/>
  <c r="AR59" i="1"/>
  <c r="AS56" i="1"/>
  <c r="AV59" i="2"/>
  <c r="AD13" i="12"/>
  <c r="AE11" i="12"/>
  <c r="AR31" i="12"/>
  <c r="AD106" i="1"/>
  <c r="AE103" i="1"/>
  <c r="AD44" i="1"/>
  <c r="AC47" i="1"/>
  <c r="AG18" i="11"/>
  <c r="W21" i="8"/>
  <c r="V22" i="8"/>
  <c r="V26" i="8" s="1"/>
  <c r="AS47" i="1"/>
  <c r="AT44" i="1"/>
  <c r="Z38" i="4"/>
  <c r="AG124" i="2"/>
  <c r="AH121" i="2"/>
  <c r="AF110" i="2"/>
  <c r="AE113" i="2"/>
  <c r="AE102" i="2"/>
  <c r="AF99" i="2"/>
  <c r="AF77" i="2"/>
  <c r="AE80" i="2"/>
  <c r="AF91" i="2"/>
  <c r="AG88" i="2"/>
  <c r="AD69" i="2"/>
  <c r="AE66" i="2"/>
  <c r="AE56" i="2"/>
  <c r="AD59" i="2"/>
  <c r="AX56" i="2"/>
  <c r="AW59" i="2"/>
  <c r="AS66" i="2"/>
  <c r="AR69" i="2"/>
  <c r="AF91" i="1"/>
  <c r="AE94" i="1"/>
  <c r="AH92" i="1"/>
  <c r="AH45" i="1"/>
  <c r="AF34" i="1"/>
  <c r="AE37" i="1"/>
  <c r="AI35" i="1"/>
  <c r="AF69" i="1"/>
  <c r="AE72" i="1"/>
  <c r="AJ57" i="2"/>
  <c r="AV69" i="1"/>
  <c r="AU72" i="1"/>
  <c r="AE59" i="1"/>
  <c r="AF56" i="1"/>
  <c r="AH70" i="1"/>
  <c r="W23" i="8"/>
  <c r="AE43" i="2"/>
  <c r="AF40" i="2"/>
  <c r="AE25" i="2"/>
  <c r="AD28" i="2"/>
  <c r="AO99" i="2"/>
  <c r="AN102" i="2"/>
  <c r="AW124" i="2"/>
  <c r="AX121" i="2"/>
  <c r="AS110" i="2"/>
  <c r="AR113" i="2"/>
  <c r="AS40" i="2"/>
  <c r="AR43" i="2"/>
  <c r="AO77" i="2"/>
  <c r="AN80" i="2"/>
  <c r="AS88" i="2"/>
  <c r="AR91" i="2"/>
  <c r="AG30" i="12" l="1"/>
  <c r="AF33" i="12"/>
  <c r="Y84" i="1"/>
  <c r="G84" i="1" s="1"/>
  <c r="L15" i="4" s="1"/>
  <c r="AW30" i="12"/>
  <c r="AV33" i="12"/>
  <c r="AW20" i="12"/>
  <c r="AV23" i="12"/>
  <c r="AW10" i="12"/>
  <c r="AV13" i="12"/>
  <c r="Y29" i="1"/>
  <c r="G29" i="1" s="1"/>
  <c r="L10" i="4" s="1"/>
  <c r="AH20" i="12"/>
  <c r="AG23" i="12"/>
  <c r="AM21" i="12"/>
  <c r="AS37" i="1"/>
  <c r="AT34" i="1"/>
  <c r="AK106" i="1"/>
  <c r="AL103" i="1"/>
  <c r="AS94" i="1"/>
  <c r="AT91" i="1"/>
  <c r="AS59" i="1"/>
  <c r="AT56" i="1"/>
  <c r="AE13" i="12"/>
  <c r="AF11" i="12"/>
  <c r="AD47" i="1"/>
  <c r="AE44" i="1"/>
  <c r="AF103" i="1"/>
  <c r="AF106" i="1" s="1"/>
  <c r="AE106" i="1"/>
  <c r="AH18" i="11"/>
  <c r="W22" i="8"/>
  <c r="W26" i="8" s="1"/>
  <c r="X21" i="8"/>
  <c r="AT47" i="1"/>
  <c r="AU44" i="1"/>
  <c r="AH124" i="2"/>
  <c r="AI121" i="2"/>
  <c r="AG110" i="2"/>
  <c r="AF113" i="2"/>
  <c r="AG99" i="2"/>
  <c r="AF102" i="2"/>
  <c r="AG77" i="2"/>
  <c r="AF80" i="2"/>
  <c r="AH88" i="2"/>
  <c r="AG91" i="2"/>
  <c r="AS69" i="2"/>
  <c r="AT66" i="2"/>
  <c r="AY56" i="2"/>
  <c r="AX59" i="2"/>
  <c r="AF56" i="2"/>
  <c r="AE59" i="2"/>
  <c r="AF66" i="2"/>
  <c r="AE69" i="2"/>
  <c r="AG91" i="1"/>
  <c r="AF94" i="1"/>
  <c r="AI92" i="1"/>
  <c r="AI45" i="1"/>
  <c r="AG34" i="1"/>
  <c r="AF37" i="1"/>
  <c r="AJ35" i="1"/>
  <c r="AG69" i="1"/>
  <c r="AF72" i="1"/>
  <c r="AK57" i="2"/>
  <c r="AW69" i="1"/>
  <c r="AV72" i="1"/>
  <c r="AF59" i="1"/>
  <c r="AG56" i="1"/>
  <c r="AI70" i="1"/>
  <c r="X23" i="8"/>
  <c r="AF43" i="2"/>
  <c r="AG40" i="2"/>
  <c r="AY121" i="2"/>
  <c r="AX124" i="2"/>
  <c r="AT88" i="2"/>
  <c r="AS91" i="2"/>
  <c r="AP77" i="2"/>
  <c r="AO80" i="2"/>
  <c r="AS43" i="2"/>
  <c r="AT40" i="2"/>
  <c r="AT110" i="2"/>
  <c r="AS113" i="2"/>
  <c r="AO102" i="2"/>
  <c r="AP99" i="2"/>
  <c r="AF25" i="2"/>
  <c r="AE28" i="2"/>
  <c r="AH30" i="12" l="1"/>
  <c r="AG33" i="12"/>
  <c r="AX20" i="12"/>
  <c r="AW23" i="12"/>
  <c r="AW13" i="12"/>
  <c r="AX10" i="12"/>
  <c r="AW33" i="12"/>
  <c r="AX30" i="12"/>
  <c r="AI20" i="12"/>
  <c r="AH23" i="12"/>
  <c r="Y107" i="1"/>
  <c r="S108" i="1" s="1"/>
  <c r="Z17" i="4" s="1"/>
  <c r="AT37" i="1"/>
  <c r="AU34" i="1"/>
  <c r="AM103" i="1"/>
  <c r="AL106" i="1"/>
  <c r="AT59" i="1"/>
  <c r="AU56" i="1"/>
  <c r="AU91" i="1"/>
  <c r="AT94" i="1"/>
  <c r="AG11" i="12"/>
  <c r="AF13" i="12"/>
  <c r="AF44" i="1"/>
  <c r="AE47" i="1"/>
  <c r="AI18" i="11"/>
  <c r="Y21" i="8"/>
  <c r="X22" i="8"/>
  <c r="X26" i="8" s="1"/>
  <c r="AU47" i="1"/>
  <c r="AV44" i="1"/>
  <c r="AI124" i="2"/>
  <c r="AJ121" i="2"/>
  <c r="AH110" i="2"/>
  <c r="AG113" i="2"/>
  <c r="AH99" i="2"/>
  <c r="AG102" i="2"/>
  <c r="AH77" i="2"/>
  <c r="AG80" i="2"/>
  <c r="AI88" i="2"/>
  <c r="AH91" i="2"/>
  <c r="AU66" i="2"/>
  <c r="AT69" i="2"/>
  <c r="AG66" i="2"/>
  <c r="AF69" i="2"/>
  <c r="AG56" i="2"/>
  <c r="AF59" i="2"/>
  <c r="AZ56" i="2"/>
  <c r="AY59" i="2"/>
  <c r="AH91" i="1"/>
  <c r="AG94" i="1"/>
  <c r="AJ92" i="1"/>
  <c r="AJ45" i="1"/>
  <c r="AH34" i="1"/>
  <c r="AG37" i="1"/>
  <c r="AK35" i="1"/>
  <c r="AH69" i="1"/>
  <c r="AG72" i="1"/>
  <c r="AL57" i="2"/>
  <c r="AG59" i="1"/>
  <c r="AH56" i="1"/>
  <c r="AX69" i="1"/>
  <c r="AW72" i="1"/>
  <c r="AJ70" i="1"/>
  <c r="Y23" i="8"/>
  <c r="AH40" i="2"/>
  <c r="AG43" i="2"/>
  <c r="AP102" i="2"/>
  <c r="AQ99" i="2"/>
  <c r="AT43" i="2"/>
  <c r="AU40" i="2"/>
  <c r="AG25" i="2"/>
  <c r="AF28" i="2"/>
  <c r="AT113" i="2"/>
  <c r="AU110" i="2"/>
  <c r="AP80" i="2"/>
  <c r="AQ77" i="2"/>
  <c r="AT91" i="2"/>
  <c r="AU88" i="2"/>
  <c r="AY124" i="2"/>
  <c r="AZ121" i="2"/>
  <c r="AI30" i="12" l="1"/>
  <c r="AH33" i="12"/>
  <c r="AX13" i="12"/>
  <c r="AY10" i="12"/>
  <c r="AX33" i="12"/>
  <c r="AY30" i="12"/>
  <c r="AY20" i="12"/>
  <c r="AX23" i="12"/>
  <c r="AJ20" i="12"/>
  <c r="AI23" i="12"/>
  <c r="AU37" i="1"/>
  <c r="AV34" i="1"/>
  <c r="AM106" i="1"/>
  <c r="AO103" i="1"/>
  <c r="AV91" i="1"/>
  <c r="AU94" i="1"/>
  <c r="AU59" i="1"/>
  <c r="AV56" i="1"/>
  <c r="AG13" i="12"/>
  <c r="AH11" i="12"/>
  <c r="AF47" i="1"/>
  <c r="AG44" i="1"/>
  <c r="AJ18" i="11"/>
  <c r="Y22" i="8"/>
  <c r="Y26" i="8" s="1"/>
  <c r="Z21" i="8"/>
  <c r="AV47" i="1"/>
  <c r="AW44" i="1"/>
  <c r="AJ124" i="2"/>
  <c r="AK121" i="2"/>
  <c r="AH113" i="2"/>
  <c r="AI110" i="2"/>
  <c r="AH102" i="2"/>
  <c r="AI99" i="2"/>
  <c r="AI102" i="2" s="1"/>
  <c r="AH80" i="2"/>
  <c r="AI77" i="2"/>
  <c r="AI80" i="2" s="1"/>
  <c r="AI91" i="2"/>
  <c r="AJ88" i="2"/>
  <c r="BA56" i="2"/>
  <c r="AZ59" i="2"/>
  <c r="AH56" i="2"/>
  <c r="AG59" i="2"/>
  <c r="AG69" i="2"/>
  <c r="AH66" i="2"/>
  <c r="AV66" i="2"/>
  <c r="AU69" i="2"/>
  <c r="AI91" i="1"/>
  <c r="AH94" i="1"/>
  <c r="AK92" i="1"/>
  <c r="AK45" i="1"/>
  <c r="AI34" i="1"/>
  <c r="AH37" i="1"/>
  <c r="AL35" i="1"/>
  <c r="AI69" i="1"/>
  <c r="AH72" i="1"/>
  <c r="AM57" i="2"/>
  <c r="AH59" i="1"/>
  <c r="AI56" i="1"/>
  <c r="AY69" i="1"/>
  <c r="AX72" i="1"/>
  <c r="AK70" i="1"/>
  <c r="Z23" i="8"/>
  <c r="AI40" i="2"/>
  <c r="AH43" i="2"/>
  <c r="AZ124" i="2"/>
  <c r="BA121" i="2"/>
  <c r="AU91" i="2"/>
  <c r="AV88" i="2"/>
  <c r="AQ80" i="2"/>
  <c r="AR77" i="2"/>
  <c r="AU113" i="2"/>
  <c r="AV110" i="2"/>
  <c r="AU43" i="2"/>
  <c r="AV40" i="2"/>
  <c r="AQ102" i="2"/>
  <c r="AR99" i="2"/>
  <c r="AG28" i="2"/>
  <c r="AH25" i="2"/>
  <c r="AJ30" i="12" l="1"/>
  <c r="AI33" i="12"/>
  <c r="AZ30" i="12"/>
  <c r="AY33" i="12"/>
  <c r="AZ10" i="12"/>
  <c r="AY13" i="12"/>
  <c r="AY23" i="12"/>
  <c r="AZ20" i="12"/>
  <c r="AK20" i="12"/>
  <c r="AJ23" i="12"/>
  <c r="AV37" i="1"/>
  <c r="AW34" i="1"/>
  <c r="AO106" i="1"/>
  <c r="AP103" i="1"/>
  <c r="AV59" i="1"/>
  <c r="AW56" i="1"/>
  <c r="AW91" i="1"/>
  <c r="AV94" i="1"/>
  <c r="AI11" i="12"/>
  <c r="AH13" i="12"/>
  <c r="AH44" i="1"/>
  <c r="AG47" i="1"/>
  <c r="AK18" i="11"/>
  <c r="AA21" i="8"/>
  <c r="Z22" i="8"/>
  <c r="Z26" i="8" s="1"/>
  <c r="AW47" i="1"/>
  <c r="AX44" i="1"/>
  <c r="Y103" i="2"/>
  <c r="S104" i="2" s="1"/>
  <c r="Z24" i="4" s="1"/>
  <c r="AL121" i="2"/>
  <c r="AK124" i="2"/>
  <c r="AJ110" i="2"/>
  <c r="AI113" i="2"/>
  <c r="Y81" i="2"/>
  <c r="S82" i="2" s="1"/>
  <c r="Z22" i="4" s="1"/>
  <c r="AJ91" i="2"/>
  <c r="AK88" i="2"/>
  <c r="AH69" i="2"/>
  <c r="AI66" i="2"/>
  <c r="AV69" i="2"/>
  <c r="AW66" i="2"/>
  <c r="AI56" i="2"/>
  <c r="AH59" i="2"/>
  <c r="BA59" i="2"/>
  <c r="BB56" i="2"/>
  <c r="AJ91" i="1"/>
  <c r="AI94" i="1"/>
  <c r="AL92" i="1"/>
  <c r="AL45" i="1"/>
  <c r="AJ34" i="1"/>
  <c r="AI37" i="1"/>
  <c r="AM35" i="1"/>
  <c r="AJ69" i="1"/>
  <c r="AI72" i="1"/>
  <c r="AN57" i="2"/>
  <c r="AI59" i="1"/>
  <c r="AJ56" i="1"/>
  <c r="AZ69" i="1"/>
  <c r="AY72" i="1"/>
  <c r="AL70" i="1"/>
  <c r="AA23" i="8"/>
  <c r="AJ40" i="2"/>
  <c r="AI43" i="2"/>
  <c r="AI25" i="2"/>
  <c r="AH28" i="2"/>
  <c r="AS99" i="2"/>
  <c r="AR102" i="2"/>
  <c r="AW40" i="2"/>
  <c r="AV43" i="2"/>
  <c r="AW110" i="2"/>
  <c r="AV113" i="2"/>
  <c r="AS77" i="2"/>
  <c r="AR80" i="2"/>
  <c r="AW88" i="2"/>
  <c r="AV91" i="2"/>
  <c r="BB121" i="2"/>
  <c r="BA124" i="2"/>
  <c r="AK30" i="12" l="1"/>
  <c r="AJ33" i="12"/>
  <c r="BA10" i="12"/>
  <c r="AZ13" i="12"/>
  <c r="AZ23" i="12"/>
  <c r="BA20" i="12"/>
  <c r="AZ33" i="12"/>
  <c r="BA30" i="12"/>
  <c r="AL20" i="12"/>
  <c r="AK23" i="12"/>
  <c r="AW37" i="1"/>
  <c r="AX34" i="1"/>
  <c r="AQ103" i="1"/>
  <c r="AQ106" i="1" s="1"/>
  <c r="AP106" i="1"/>
  <c r="AW94" i="1"/>
  <c r="AX91" i="1"/>
  <c r="AW59" i="1"/>
  <c r="AX56" i="1"/>
  <c r="AJ11" i="12"/>
  <c r="AI13" i="12"/>
  <c r="AI44" i="1"/>
  <c r="AH47" i="1"/>
  <c r="AL18" i="11"/>
  <c r="AA22" i="8"/>
  <c r="AA26" i="8" s="1"/>
  <c r="AB21" i="8"/>
  <c r="AX47" i="1"/>
  <c r="AY44" i="1"/>
  <c r="AL124" i="2"/>
  <c r="AM121" i="2"/>
  <c r="AK110" i="2"/>
  <c r="AJ113" i="2"/>
  <c r="AK91" i="2"/>
  <c r="AL88" i="2"/>
  <c r="BC56" i="2"/>
  <c r="BB59" i="2"/>
  <c r="AX66" i="2"/>
  <c r="AW69" i="2"/>
  <c r="AI69" i="2"/>
  <c r="AJ66" i="2"/>
  <c r="AJ56" i="2"/>
  <c r="AI59" i="2"/>
  <c r="AK91" i="1"/>
  <c r="AJ94" i="1"/>
  <c r="AM92" i="1"/>
  <c r="AM45" i="1"/>
  <c r="AK34" i="1"/>
  <c r="AJ37" i="1"/>
  <c r="AK69" i="1"/>
  <c r="AJ72" i="1"/>
  <c r="AO57" i="2"/>
  <c r="AJ59" i="1"/>
  <c r="AK56" i="1"/>
  <c r="BA69" i="1"/>
  <c r="AZ72" i="1"/>
  <c r="AM70" i="1"/>
  <c r="AB23" i="8"/>
  <c r="AK40" i="2"/>
  <c r="AJ43" i="2"/>
  <c r="BC121" i="2"/>
  <c r="BB124" i="2"/>
  <c r="AX88" i="2"/>
  <c r="AW91" i="2"/>
  <c r="AT77" i="2"/>
  <c r="AS80" i="2"/>
  <c r="AX110" i="2"/>
  <c r="AW113" i="2"/>
  <c r="AX40" i="2"/>
  <c r="AW43" i="2"/>
  <c r="AT99" i="2"/>
  <c r="AS102" i="2"/>
  <c r="AI28" i="2"/>
  <c r="AJ25" i="2"/>
  <c r="AL30" i="12" l="1"/>
  <c r="AK33" i="12"/>
  <c r="BB20" i="12"/>
  <c r="BA23" i="12"/>
  <c r="BB30" i="12"/>
  <c r="BA33" i="12"/>
  <c r="BA13" i="12"/>
  <c r="BB10" i="12"/>
  <c r="AM20" i="12"/>
  <c r="AL23" i="12"/>
  <c r="Y108" i="1"/>
  <c r="G108" i="1" s="1"/>
  <c r="L17" i="4" s="1"/>
  <c r="AY34" i="1"/>
  <c r="AX37" i="1"/>
  <c r="AX59" i="1"/>
  <c r="AY56" i="1"/>
  <c r="AX94" i="1"/>
  <c r="AY91" i="1"/>
  <c r="AK11" i="12"/>
  <c r="AJ13" i="12"/>
  <c r="AJ44" i="1"/>
  <c r="AI47" i="1"/>
  <c r="AM18" i="11"/>
  <c r="AC21" i="8"/>
  <c r="AB22" i="8"/>
  <c r="AB26" i="8" s="1"/>
  <c r="AY47" i="1"/>
  <c r="AZ44" i="1"/>
  <c r="AM124" i="2"/>
  <c r="AN121" i="2"/>
  <c r="AL110" i="2"/>
  <c r="AK113" i="2"/>
  <c r="AM88" i="2"/>
  <c r="AM91" i="2" s="1"/>
  <c r="AL91" i="2"/>
  <c r="AJ69" i="2"/>
  <c r="AK66" i="2"/>
  <c r="AK56" i="2"/>
  <c r="AJ59" i="2"/>
  <c r="AY66" i="2"/>
  <c r="AX69" i="2"/>
  <c r="BC59" i="2"/>
  <c r="BD56" i="2"/>
  <c r="AL91" i="1"/>
  <c r="AK94" i="1"/>
  <c r="AN45" i="1"/>
  <c r="AL34" i="1"/>
  <c r="AK37" i="1"/>
  <c r="AL69" i="1"/>
  <c r="AK72" i="1"/>
  <c r="AP57" i="2"/>
  <c r="AK59" i="1"/>
  <c r="AL56" i="1"/>
  <c r="BB69" i="1"/>
  <c r="BA72" i="1"/>
  <c r="AC23" i="8"/>
  <c r="AL40" i="2"/>
  <c r="AK43" i="2"/>
  <c r="AK25" i="2"/>
  <c r="AJ28" i="2"/>
  <c r="AT102" i="2"/>
  <c r="AU99" i="2"/>
  <c r="AX43" i="2"/>
  <c r="AY40" i="2"/>
  <c r="AX113" i="2"/>
  <c r="AY110" i="2"/>
  <c r="AU77" i="2"/>
  <c r="AT80" i="2"/>
  <c r="AX91" i="2"/>
  <c r="AY88" i="2"/>
  <c r="BD121" i="2"/>
  <c r="BC124" i="2"/>
  <c r="AM30" i="12" l="1"/>
  <c r="AL33" i="12"/>
  <c r="BC30" i="12"/>
  <c r="BB33" i="12"/>
  <c r="BB13" i="12"/>
  <c r="BC10" i="12"/>
  <c r="BC20" i="12"/>
  <c r="BB23" i="12"/>
  <c r="AM23" i="12"/>
  <c r="Y24" i="12" s="1"/>
  <c r="AZ34" i="1"/>
  <c r="AY37" i="1"/>
  <c r="AZ91" i="1"/>
  <c r="AY94" i="1"/>
  <c r="AZ56" i="1"/>
  <c r="AY59" i="1"/>
  <c r="AK13" i="12"/>
  <c r="AL11" i="12"/>
  <c r="AK44" i="1"/>
  <c r="AJ47" i="1"/>
  <c r="AN18" i="11"/>
  <c r="AO18" i="11"/>
  <c r="AC22" i="8"/>
  <c r="AC26" i="8" s="1"/>
  <c r="AD21" i="8"/>
  <c r="AZ47" i="1"/>
  <c r="BA44" i="1"/>
  <c r="AN124" i="2"/>
  <c r="AO121" i="2"/>
  <c r="AL113" i="2"/>
  <c r="AM110" i="2"/>
  <c r="AM113" i="2" s="1"/>
  <c r="Y92" i="2"/>
  <c r="S93" i="2" s="1"/>
  <c r="Z23" i="4" s="1"/>
  <c r="BD59" i="2"/>
  <c r="BE56" i="2"/>
  <c r="AK69" i="2"/>
  <c r="AL66" i="2"/>
  <c r="AY69" i="2"/>
  <c r="AZ66" i="2"/>
  <c r="AL56" i="2"/>
  <c r="AK59" i="2"/>
  <c r="AM91" i="1"/>
  <c r="AM94" i="1" s="1"/>
  <c r="AL94" i="1"/>
  <c r="AM34" i="1"/>
  <c r="AM37" i="1" s="1"/>
  <c r="AL37" i="1"/>
  <c r="AM69" i="1"/>
  <c r="AM72" i="1" s="1"/>
  <c r="AL72" i="1"/>
  <c r="AQ57" i="2"/>
  <c r="AL59" i="1"/>
  <c r="AM56" i="1"/>
  <c r="AM59" i="1" s="1"/>
  <c r="BC69" i="1"/>
  <c r="BB72" i="1"/>
  <c r="AD23" i="8"/>
  <c r="AM40" i="2"/>
  <c r="AM43" i="2" s="1"/>
  <c r="AL43" i="2"/>
  <c r="BE121" i="2"/>
  <c r="BD124" i="2"/>
  <c r="AU80" i="2"/>
  <c r="AV77" i="2"/>
  <c r="AV80" i="2" s="1"/>
  <c r="AY91" i="2"/>
  <c r="AZ88" i="2"/>
  <c r="AZ110" i="2"/>
  <c r="AY113" i="2"/>
  <c r="AY43" i="2"/>
  <c r="AZ40" i="2"/>
  <c r="AU102" i="2"/>
  <c r="AV99" i="2"/>
  <c r="AV102" i="2" s="1"/>
  <c r="AK28" i="2"/>
  <c r="AL25" i="2"/>
  <c r="AA19" i="11" l="1"/>
  <c r="U20" i="11" s="1"/>
  <c r="AN30" i="12"/>
  <c r="AM33" i="12"/>
  <c r="BD10" i="12"/>
  <c r="BC13" i="12"/>
  <c r="BC23" i="12"/>
  <c r="BD20" i="12"/>
  <c r="BD30" i="12"/>
  <c r="BC33" i="12"/>
  <c r="BA34" i="1"/>
  <c r="AZ37" i="1"/>
  <c r="AZ59" i="1"/>
  <c r="BA56" i="1"/>
  <c r="AZ94" i="1"/>
  <c r="BA91" i="1"/>
  <c r="AM11" i="12"/>
  <c r="AL13" i="12"/>
  <c r="AK47" i="1"/>
  <c r="AL44" i="1"/>
  <c r="AE21" i="8"/>
  <c r="AD22" i="8"/>
  <c r="AD26" i="8" s="1"/>
  <c r="BA47" i="1"/>
  <c r="BB44" i="1"/>
  <c r="Y114" i="2"/>
  <c r="S115" i="2" s="1"/>
  <c r="Z25" i="4" s="1"/>
  <c r="AO124" i="2"/>
  <c r="AP121" i="2"/>
  <c r="Y73" i="1"/>
  <c r="S74" i="1" s="1"/>
  <c r="Z14" i="4" s="1"/>
  <c r="BA66" i="2"/>
  <c r="AZ69" i="2"/>
  <c r="AM66" i="2"/>
  <c r="AM69" i="2" s="1"/>
  <c r="AL69" i="2"/>
  <c r="BF56" i="2"/>
  <c r="BE59" i="2"/>
  <c r="AM56" i="2"/>
  <c r="AL59" i="2"/>
  <c r="Y95" i="1"/>
  <c r="S96" i="1" s="1"/>
  <c r="Z16" i="4" s="1"/>
  <c r="Y38" i="1"/>
  <c r="S39" i="1" s="1"/>
  <c r="Z11" i="4" s="1"/>
  <c r="AR57" i="2"/>
  <c r="Y60" i="1"/>
  <c r="S61" i="1" s="1"/>
  <c r="BD69" i="1"/>
  <c r="BC72" i="1"/>
  <c r="AE23" i="8"/>
  <c r="Y44" i="2"/>
  <c r="Y104" i="2"/>
  <c r="G104" i="2" s="1"/>
  <c r="L24" i="4" s="1"/>
  <c r="AL28" i="2"/>
  <c r="AM25" i="2"/>
  <c r="AM28" i="2" s="1"/>
  <c r="BA110" i="2"/>
  <c r="AZ113" i="2"/>
  <c r="Y82" i="2"/>
  <c r="G82" i="2" s="1"/>
  <c r="L22" i="4" s="1"/>
  <c r="BF121" i="2"/>
  <c r="BE124" i="2"/>
  <c r="BA40" i="2"/>
  <c r="AZ43" i="2"/>
  <c r="BA88" i="2"/>
  <c r="AZ91" i="2"/>
  <c r="S45" i="2" l="1"/>
  <c r="Z19" i="4" s="1"/>
  <c r="Z32" i="4"/>
  <c r="I20" i="11"/>
  <c r="AO30" i="12"/>
  <c r="AN33" i="12"/>
  <c r="BE20" i="12"/>
  <c r="BD23" i="12"/>
  <c r="BE30" i="12"/>
  <c r="BD33" i="12"/>
  <c r="BE10" i="12"/>
  <c r="BD13" i="12"/>
  <c r="BB34" i="1"/>
  <c r="BA37" i="1"/>
  <c r="BB91" i="1"/>
  <c r="BA94" i="1"/>
  <c r="BB56" i="1"/>
  <c r="BA59" i="1"/>
  <c r="AN11" i="12"/>
  <c r="AN13" i="12" s="1"/>
  <c r="AM13" i="12"/>
  <c r="AL47" i="1"/>
  <c r="AM44" i="1"/>
  <c r="AE22" i="8"/>
  <c r="AE26" i="8" s="1"/>
  <c r="AF21" i="8"/>
  <c r="BB47" i="1"/>
  <c r="BC44" i="1"/>
  <c r="AP124" i="2"/>
  <c r="AQ121" i="2"/>
  <c r="Y70" i="2"/>
  <c r="S69" i="2" s="1"/>
  <c r="AN56" i="2"/>
  <c r="AM59" i="2"/>
  <c r="BF59" i="2"/>
  <c r="BG56" i="2"/>
  <c r="BA69" i="2"/>
  <c r="BB66" i="2"/>
  <c r="Z13" i="4"/>
  <c r="BE69" i="1"/>
  <c r="BE72" i="1" s="1"/>
  <c r="BD72" i="1"/>
  <c r="AF23" i="8"/>
  <c r="Y29" i="2"/>
  <c r="S30" i="2" s="1"/>
  <c r="BA113" i="2"/>
  <c r="BB110" i="2"/>
  <c r="BA91" i="2"/>
  <c r="BB88" i="2"/>
  <c r="BB40" i="2"/>
  <c r="BA43" i="2"/>
  <c r="BF124" i="2"/>
  <c r="BG121" i="2"/>
  <c r="AP30" i="12" l="1"/>
  <c r="AO33" i="12"/>
  <c r="BF30" i="12"/>
  <c r="BE33" i="12"/>
  <c r="BF10" i="12"/>
  <c r="BE13" i="12"/>
  <c r="BF20" i="12"/>
  <c r="BE23" i="12"/>
  <c r="BB37" i="1"/>
  <c r="BC34" i="1"/>
  <c r="BB59" i="1"/>
  <c r="BC56" i="1"/>
  <c r="BB94" i="1"/>
  <c r="BC91" i="1"/>
  <c r="AO11" i="12"/>
  <c r="AN44" i="1"/>
  <c r="AN47" i="1" s="1"/>
  <c r="AM47" i="1"/>
  <c r="AG21" i="8"/>
  <c r="AF22" i="8"/>
  <c r="AF26" i="8" s="1"/>
  <c r="M27" i="8" s="1"/>
  <c r="BC47" i="1"/>
  <c r="BD44" i="1"/>
  <c r="AQ124" i="2"/>
  <c r="AR121" i="2"/>
  <c r="AR124" i="2" s="1"/>
  <c r="Z21" i="4"/>
  <c r="AO56" i="2"/>
  <c r="AN59" i="2"/>
  <c r="BC66" i="2"/>
  <c r="BB69" i="2"/>
  <c r="BH56" i="2"/>
  <c r="BG59" i="2"/>
  <c r="Y74" i="1"/>
  <c r="G74" i="1" s="1"/>
  <c r="L14" i="4" s="1"/>
  <c r="AG23" i="8"/>
  <c r="BH121" i="2"/>
  <c r="BG124" i="2"/>
  <c r="BC88" i="2"/>
  <c r="BB91" i="2"/>
  <c r="BC110" i="2"/>
  <c r="BB113" i="2"/>
  <c r="BC40" i="2"/>
  <c r="BB43" i="2"/>
  <c r="Z18" i="4"/>
  <c r="AQ30" i="12" l="1"/>
  <c r="AP33" i="12"/>
  <c r="BG10" i="12"/>
  <c r="BF13" i="12"/>
  <c r="BG20" i="12"/>
  <c r="BF23" i="12"/>
  <c r="BG30" i="12"/>
  <c r="BF33" i="12"/>
  <c r="BC37" i="1"/>
  <c r="BD34" i="1"/>
  <c r="BC94" i="1"/>
  <c r="BD91" i="1"/>
  <c r="BD56" i="1"/>
  <c r="BC59" i="1"/>
  <c r="Y48" i="1"/>
  <c r="AP11" i="12"/>
  <c r="AO13" i="12"/>
  <c r="AG22" i="8"/>
  <c r="AG26" i="8" s="1"/>
  <c r="AH21" i="8"/>
  <c r="BD47" i="1"/>
  <c r="BE44" i="1"/>
  <c r="Y125" i="2"/>
  <c r="S126" i="2" s="1"/>
  <c r="Z26" i="4" s="1"/>
  <c r="BI56" i="2"/>
  <c r="BH59" i="2"/>
  <c r="BD66" i="2"/>
  <c r="BD69" i="2" s="1"/>
  <c r="BC69" i="2"/>
  <c r="AP56" i="2"/>
  <c r="AO59" i="2"/>
  <c r="AH23" i="8"/>
  <c r="BC43" i="2"/>
  <c r="BD40" i="2"/>
  <c r="BD43" i="2" s="1"/>
  <c r="BC113" i="2"/>
  <c r="BD110" i="2"/>
  <c r="BD113" i="2" s="1"/>
  <c r="BD88" i="2"/>
  <c r="BD91" i="2" s="1"/>
  <c r="BC91" i="2"/>
  <c r="BH124" i="2"/>
  <c r="BI121" i="2"/>
  <c r="Z36" i="4" l="1"/>
  <c r="S49" i="1"/>
  <c r="Z12" i="4" s="1"/>
  <c r="AR30" i="12"/>
  <c r="AR33" i="12" s="1"/>
  <c r="AQ33" i="12"/>
  <c r="BH20" i="12"/>
  <c r="BG23" i="12"/>
  <c r="BH30" i="12"/>
  <c r="BG33" i="12"/>
  <c r="BH10" i="12"/>
  <c r="BG13" i="12"/>
  <c r="S25" i="12"/>
  <c r="Z30" i="4" s="1"/>
  <c r="BE34" i="1"/>
  <c r="BE37" i="1" s="1"/>
  <c r="BD37" i="1"/>
  <c r="BD59" i="1"/>
  <c r="BE56" i="1"/>
  <c r="BE59" i="1" s="1"/>
  <c r="BD94" i="1"/>
  <c r="BE91" i="1"/>
  <c r="BE94" i="1" s="1"/>
  <c r="AQ11" i="12"/>
  <c r="AP13" i="12"/>
  <c r="AH22" i="8"/>
  <c r="AH26" i="8" s="1"/>
  <c r="AI21" i="8"/>
  <c r="BE47" i="1"/>
  <c r="BF44" i="1"/>
  <c r="BF47" i="1" s="1"/>
  <c r="Y71" i="2"/>
  <c r="G71" i="2" s="1"/>
  <c r="L21" i="4" s="1"/>
  <c r="AQ56" i="2"/>
  <c r="AP59" i="2"/>
  <c r="BJ56" i="2"/>
  <c r="BI59" i="2"/>
  <c r="AI23" i="8"/>
  <c r="Y93" i="2"/>
  <c r="G93" i="2" s="1"/>
  <c r="L23" i="4" s="1"/>
  <c r="Y115" i="2"/>
  <c r="G115" i="2" s="1"/>
  <c r="L25" i="4" s="1"/>
  <c r="Y45" i="2"/>
  <c r="G45" i="2" s="1"/>
  <c r="L19" i="4" s="1"/>
  <c r="BI124" i="2"/>
  <c r="BJ121" i="2"/>
  <c r="Y34" i="12" l="1"/>
  <c r="BI30" i="12"/>
  <c r="BH33" i="12"/>
  <c r="BI10" i="12"/>
  <c r="BH13" i="12"/>
  <c r="BI20" i="12"/>
  <c r="BH23" i="12"/>
  <c r="Y39" i="1"/>
  <c r="G39" i="1" s="1"/>
  <c r="L11" i="4" s="1"/>
  <c r="Y96" i="1"/>
  <c r="G96" i="1" s="1"/>
  <c r="L16" i="4" s="1"/>
  <c r="Y61" i="1"/>
  <c r="G61" i="1" s="1"/>
  <c r="L13" i="4" s="1"/>
  <c r="AR11" i="12"/>
  <c r="AR13" i="12" s="1"/>
  <c r="AQ13" i="12"/>
  <c r="AJ21" i="8"/>
  <c r="AI22" i="8"/>
  <c r="AI26" i="8" s="1"/>
  <c r="Y49" i="1"/>
  <c r="G49" i="1" s="1"/>
  <c r="L12" i="4" s="1"/>
  <c r="BJ59" i="2"/>
  <c r="BK56" i="2"/>
  <c r="AR56" i="2"/>
  <c r="AR59" i="2" s="1"/>
  <c r="AQ59" i="2"/>
  <c r="AJ23" i="8"/>
  <c r="BJ124" i="2"/>
  <c r="BK121" i="2"/>
  <c r="S35" i="12" l="1"/>
  <c r="Z31" i="4" s="1"/>
  <c r="BJ10" i="12"/>
  <c r="BI13" i="12"/>
  <c r="BI23" i="12"/>
  <c r="Y25" i="12" s="1"/>
  <c r="BJ30" i="12"/>
  <c r="BI33" i="12"/>
  <c r="Y14" i="12"/>
  <c r="S15" i="12" s="1"/>
  <c r="AJ22" i="8"/>
  <c r="AJ26" i="8" s="1"/>
  <c r="AK21" i="8"/>
  <c r="AK22" i="8" s="1"/>
  <c r="Y60" i="2"/>
  <c r="BL56" i="2"/>
  <c r="BK59" i="2"/>
  <c r="AK23" i="8"/>
  <c r="BL121" i="2"/>
  <c r="BK124" i="2"/>
  <c r="Z29" i="4" l="1"/>
  <c r="BK30" i="12"/>
  <c r="BJ33" i="12"/>
  <c r="BJ13" i="12"/>
  <c r="BK10" i="12"/>
  <c r="AK26" i="8"/>
  <c r="M28" i="8" s="1"/>
  <c r="G25" i="8" s="1"/>
  <c r="Z33" i="4" s="1"/>
  <c r="S59" i="2"/>
  <c r="Z37" i="4"/>
  <c r="BL59" i="2"/>
  <c r="BM56" i="2"/>
  <c r="BM121" i="2"/>
  <c r="BL124" i="2"/>
  <c r="BK33" i="12" l="1"/>
  <c r="BL30" i="12"/>
  <c r="BL10" i="12"/>
  <c r="BK13" i="12"/>
  <c r="L33" i="4"/>
  <c r="Z20" i="4"/>
  <c r="BM59" i="2"/>
  <c r="BN56" i="2"/>
  <c r="BN59" i="2" s="1"/>
  <c r="BN121" i="2"/>
  <c r="BN124" i="2" s="1"/>
  <c r="BM124" i="2"/>
  <c r="BL33" i="12" l="1"/>
  <c r="BM30" i="12"/>
  <c r="BL13" i="12"/>
  <c r="BM10" i="12"/>
  <c r="Y61" i="2"/>
  <c r="G61" i="2" s="1"/>
  <c r="L20" i="4" s="1"/>
  <c r="Y126" i="2"/>
  <c r="G126" i="2" s="1"/>
  <c r="L26" i="4" s="1"/>
  <c r="L32" i="4" l="1"/>
  <c r="BM33" i="12"/>
  <c r="BN30" i="12"/>
  <c r="BN33" i="12" s="1"/>
  <c r="BN10" i="12"/>
  <c r="BN13" i="12" s="1"/>
  <c r="BM13" i="12"/>
  <c r="G34" i="4"/>
  <c r="G25" i="12" l="1"/>
  <c r="L30" i="4" s="1"/>
  <c r="Y15" i="12"/>
  <c r="Y35" i="12"/>
  <c r="G35" i="12" s="1"/>
  <c r="L31" i="4" s="1"/>
  <c r="G15" i="12" l="1"/>
  <c r="L29" i="4" s="1"/>
  <c r="H28" i="4"/>
  <c r="I28" i="4" l="1"/>
  <c r="AG33" i="3"/>
  <c r="G36" i="3"/>
  <c r="G37" i="3" s="1"/>
  <c r="J28" i="4" l="1"/>
  <c r="AH33" i="3"/>
  <c r="AG36" i="3"/>
  <c r="AH36" i="3" l="1"/>
  <c r="AI33" i="3"/>
  <c r="K28" i="4"/>
  <c r="AI36" i="3" l="1"/>
  <c r="AJ33" i="3"/>
  <c r="AJ36" i="3" l="1"/>
  <c r="AK33" i="3"/>
  <c r="AK36" i="3" s="1"/>
  <c r="Z38" i="3" l="1"/>
  <c r="G38" i="3" s="1"/>
  <c r="L28" i="4" s="1"/>
  <c r="E34" i="4"/>
  <c r="H27" i="4" l="1"/>
  <c r="AF22" i="3" l="1"/>
  <c r="I27" i="4"/>
  <c r="G25" i="3"/>
  <c r="G26" i="3" s="1"/>
  <c r="AG22" i="3" l="1"/>
  <c r="AF25" i="3"/>
  <c r="J27" i="4"/>
  <c r="K27" i="4" l="1"/>
  <c r="AG25" i="3"/>
  <c r="AH22" i="3"/>
  <c r="AI22" i="3" l="1"/>
  <c r="AI25" i="3" s="1"/>
  <c r="AH25" i="3"/>
  <c r="Z27" i="3" l="1"/>
  <c r="G27" i="3" s="1"/>
  <c r="L27" i="4" s="1"/>
  <c r="F34" i="4"/>
  <c r="G27" i="2"/>
  <c r="H18" i="4"/>
  <c r="H34" i="4" s="1"/>
  <c r="Z34" i="4" s="1"/>
  <c r="AP25" i="2" l="1"/>
  <c r="AQ25" i="2" s="1"/>
  <c r="AQ28" i="2" s="1"/>
  <c r="I18" i="4"/>
  <c r="J18" i="4" s="1"/>
  <c r="G28" i="2"/>
  <c r="G29" i="2" s="1"/>
  <c r="AP28" i="2" l="1"/>
  <c r="AR25" i="2"/>
  <c r="AR28" i="2" s="1"/>
  <c r="I34" i="4"/>
  <c r="J34" i="4"/>
  <c r="AS25" i="2" l="1"/>
  <c r="AS28" i="2" s="1"/>
  <c r="K18" i="4"/>
  <c r="K34" i="4"/>
  <c r="AT25" i="2" l="1"/>
  <c r="AU25" i="2" s="1"/>
  <c r="AT28" i="2" l="1"/>
  <c r="AU28" i="2"/>
  <c r="AV25" i="2"/>
  <c r="AV28" i="2" l="1"/>
  <c r="AW25" i="2"/>
  <c r="AW28" i="2" l="1"/>
  <c r="AX25" i="2"/>
  <c r="AY25" i="2" l="1"/>
  <c r="AX28" i="2"/>
  <c r="AY28" i="2" l="1"/>
  <c r="AZ25" i="2"/>
  <c r="AZ28" i="2" l="1"/>
  <c r="BA25" i="2"/>
  <c r="BA28" i="2" l="1"/>
  <c r="BB25" i="2"/>
  <c r="BC25" i="2" l="1"/>
  <c r="BB28" i="2"/>
  <c r="BD25" i="2" l="1"/>
  <c r="BD28" i="2" s="1"/>
  <c r="BC28" i="2"/>
  <c r="Y30" i="2" l="1"/>
  <c r="L34" i="4" s="1"/>
  <c r="G30" i="2" l="1"/>
  <c r="L18" i="4" s="1"/>
  <c r="Q34" i="4" l="1"/>
  <c r="I14" i="11"/>
  <c r="C34" i="4" l="1"/>
</calcChain>
</file>

<file path=xl/sharedStrings.xml><?xml version="1.0" encoding="utf-8"?>
<sst xmlns="http://schemas.openxmlformats.org/spreadsheetml/2006/main" count="3123" uniqueCount="687">
  <si>
    <t>Calculators for Simple Lighting Project</t>
  </si>
  <si>
    <t>Annual Hours</t>
  </si>
  <si>
    <t>Savings</t>
  </si>
  <si>
    <t>kW Demand</t>
  </si>
  <si>
    <t xml:space="preserve">This project saves </t>
  </si>
  <si>
    <t xml:space="preserve">and </t>
  </si>
  <si>
    <t>kWh energy use.</t>
  </si>
  <si>
    <t>Existing</t>
  </si>
  <si>
    <t>Proposed</t>
  </si>
  <si>
    <t>The following calculators can be used to calculate energy Savings for your energy efficiency project.</t>
  </si>
  <si>
    <t>Calculators for Simple HVAC Project</t>
  </si>
  <si>
    <t xml:space="preserve">If your school would like to replace some HVAC systems, it is better to combine your HVAC project with short payback projects. </t>
  </si>
  <si>
    <t>kWh electricity use.</t>
  </si>
  <si>
    <t>$/kWh</t>
  </si>
  <si>
    <t xml:space="preserve">or </t>
  </si>
  <si>
    <t>energy cost annually.</t>
  </si>
  <si>
    <t>Simple Payback is</t>
  </si>
  <si>
    <t>years.</t>
  </si>
  <si>
    <t>$/therm</t>
  </si>
  <si>
    <t>AC VFD</t>
  </si>
  <si>
    <t>Calculators for Simple Plug Load Project</t>
  </si>
  <si>
    <t>What is the proposed computer control?</t>
  </si>
  <si>
    <t>Reduction  Factor</t>
  </si>
  <si>
    <t>Pick the project you would like to install and answer the questions for that project (highlighted in yellow), energy and cost savings will be calculated for you.</t>
  </si>
  <si>
    <t>Maintenance saving</t>
  </si>
  <si>
    <t>Discount Rate</t>
  </si>
  <si>
    <t>Electricity Escalation</t>
  </si>
  <si>
    <t>Inflation rate</t>
  </si>
  <si>
    <t>Non-Energy Benefit</t>
  </si>
  <si>
    <t>Year</t>
  </si>
  <si>
    <t>Energy Cost Savings</t>
  </si>
  <si>
    <t>Maintenance Savings</t>
  </si>
  <si>
    <t xml:space="preserve">Financing cost </t>
  </si>
  <si>
    <t>Net Cost/Savings</t>
  </si>
  <si>
    <t>SIR</t>
  </si>
  <si>
    <t>Total</t>
  </si>
  <si>
    <t>Demand Savings</t>
  </si>
  <si>
    <t>kW</t>
  </si>
  <si>
    <t>kWh Savings</t>
  </si>
  <si>
    <t>kWh</t>
  </si>
  <si>
    <t>Therm Savings</t>
  </si>
  <si>
    <t>Gallons</t>
  </si>
  <si>
    <t>Therms</t>
  </si>
  <si>
    <t>$</t>
  </si>
  <si>
    <t>Project Cost</t>
  </si>
  <si>
    <t>Simple Payback</t>
  </si>
  <si>
    <t>Years</t>
  </si>
  <si>
    <t>Natural Gas</t>
  </si>
  <si>
    <t xml:space="preserve">gallons of </t>
  </si>
  <si>
    <t>Propane</t>
  </si>
  <si>
    <t>No Control</t>
  </si>
  <si>
    <t>Fill in your answers</t>
  </si>
  <si>
    <t>Install variable speed drive for pumps and fans</t>
  </si>
  <si>
    <t>Replace old motor with premium efficiency motor</t>
  </si>
  <si>
    <t xml:space="preserve">Install smart strip/PC management to control computers/printers </t>
  </si>
  <si>
    <t>Replace 32 Watt T8 lamps with 28 Watt T8 Lamps</t>
  </si>
  <si>
    <t>Energy Efficiency Project</t>
  </si>
  <si>
    <t>Install vending machine occupancy control</t>
  </si>
  <si>
    <t>Calculators for Simple Photovoltaic Project</t>
  </si>
  <si>
    <t>or saves</t>
  </si>
  <si>
    <t>Installing Photovoltaic System</t>
  </si>
  <si>
    <t>How many PV panels will be installed?</t>
  </si>
  <si>
    <t>kWh first year</t>
  </si>
  <si>
    <t>energy cost first year.</t>
  </si>
  <si>
    <t>What is the total project cost without rebate?</t>
  </si>
  <si>
    <t>Annual Cost Savings</t>
  </si>
  <si>
    <t>Net Savings</t>
  </si>
  <si>
    <t>Inverter Replacement Cost</t>
  </si>
  <si>
    <t xml:space="preserve">Annual PV production degradation rate is assumed to be 0.7%. </t>
  </si>
  <si>
    <t>Install photovoltaic system</t>
  </si>
  <si>
    <t>kW demand</t>
  </si>
  <si>
    <t>and approximately</t>
  </si>
  <si>
    <t>PV Annual kWh Production</t>
  </si>
  <si>
    <t xml:space="preserve">This PV project produces </t>
  </si>
  <si>
    <t>Energy Savings Summary</t>
  </si>
  <si>
    <t>Total Annual Electric Use (kWh):</t>
  </si>
  <si>
    <t>Total Annual Electric Charges ($)</t>
  </si>
  <si>
    <t>Total Annual Gas Charges ($):</t>
  </si>
  <si>
    <t>Other Fuels</t>
  </si>
  <si>
    <t>Total Annual Propane Use(gals):</t>
  </si>
  <si>
    <t>Electric Utility:</t>
  </si>
  <si>
    <t>Gas Utility:</t>
  </si>
  <si>
    <t>Total Annual Fuel Oil Use(gals):</t>
  </si>
  <si>
    <t>Electricity</t>
  </si>
  <si>
    <t/>
  </si>
  <si>
    <t>Energy Costs/SF/Year:</t>
  </si>
  <si>
    <t>W/SF</t>
  </si>
  <si>
    <t>Energy EUI(Kbtu)/SF/Year:</t>
  </si>
  <si>
    <t>Total Annual Propane Charges($):</t>
  </si>
  <si>
    <t>Total Annual Fuel Oil Costs($):</t>
  </si>
  <si>
    <t>(Same as Energy Star and DOE)</t>
  </si>
  <si>
    <t>Btu/gal</t>
  </si>
  <si>
    <t>Btu/kWh</t>
  </si>
  <si>
    <t>Fuel Oil</t>
  </si>
  <si>
    <t>kWh/SF/Yr</t>
  </si>
  <si>
    <t>Cost/SF/Yr</t>
  </si>
  <si>
    <t>Propane gal/SF/Yr</t>
  </si>
  <si>
    <t>Fuel Oil gal/SF/Yr</t>
  </si>
  <si>
    <t>Fuel Cost/SF/Yr</t>
  </si>
  <si>
    <t>Therms/SF/Yr</t>
  </si>
  <si>
    <t>Gas Cost/SF/Yr</t>
  </si>
  <si>
    <t>Total Annual Natural Gas Use (therms):</t>
  </si>
  <si>
    <t>Go to cell A19</t>
  </si>
  <si>
    <t>Added Maintenance</t>
  </si>
  <si>
    <t>Average Cost</t>
  </si>
  <si>
    <t>$/gal</t>
  </si>
  <si>
    <t>Btu/therm</t>
  </si>
  <si>
    <t>Life Cycle Cost Analysis (EUL= 15 years)</t>
  </si>
  <si>
    <t>Life Cycle Cost Analysis (EUL= 20 years)</t>
  </si>
  <si>
    <t>Life Cycle Cost Analysis (EUL= 11 years)</t>
  </si>
  <si>
    <t>Life Cycle Cost Analysis (EUL= 8 years)</t>
  </si>
  <si>
    <t>Life Cycle Cost Analysis (EUL= 4 years)</t>
  </si>
  <si>
    <t>Life Cycle Cost Analysis (EUL= 5 years)</t>
  </si>
  <si>
    <t>Annual Energy Savings Analysis</t>
  </si>
  <si>
    <t>Energy Use Intensity (EUI) Calculator</t>
  </si>
  <si>
    <t>Present Value of Savings</t>
  </si>
  <si>
    <t>Go To cell A30</t>
  </si>
  <si>
    <t>T8 32 Watt Lamps</t>
  </si>
  <si>
    <t>T8 28 Watt Lamps</t>
  </si>
  <si>
    <t>Manual Control</t>
  </si>
  <si>
    <t>Other Fuels (if applicable)</t>
  </si>
  <si>
    <t>Assuming Net Energy Metering will be signed to claim credit.</t>
  </si>
  <si>
    <t>MeasureID</t>
  </si>
  <si>
    <t>AvgOfkWh/unit</t>
  </si>
  <si>
    <t>AvgOfkW/unit</t>
  </si>
  <si>
    <t>AvgOftherm/unit</t>
  </si>
  <si>
    <t>AvgOfHours</t>
  </si>
  <si>
    <t>AvgOfPeak Frac</t>
  </si>
  <si>
    <t>Com-Iltg-dWatt-CFL</t>
  </si>
  <si>
    <t>Com-Iltg-dWatt-Exit</t>
  </si>
  <si>
    <t>Com-Iltg-dWatt-LF</t>
  </si>
  <si>
    <t>CFL_Lamp</t>
  </si>
  <si>
    <t>CFLratio0357</t>
  </si>
  <si>
    <t>CFL Ratio for all nonres CFLs</t>
  </si>
  <si>
    <t>ResInCFL_LampOth</t>
  </si>
  <si>
    <t>CFLratio0347</t>
  </si>
  <si>
    <t>CFL Ratio for all res interior non-reflector CFLs</t>
  </si>
  <si>
    <t>ResInCFL_LampRefl</t>
  </si>
  <si>
    <t>CFLratio0409</t>
  </si>
  <si>
    <t>CFL Ratio for res interior reflector CFLs</t>
  </si>
  <si>
    <t>ResOutCFL_Lamp</t>
  </si>
  <si>
    <t>CFLratio0407</t>
  </si>
  <si>
    <t>CFL Ratio for all res exterior CFLs</t>
  </si>
  <si>
    <t>ResOutCFL_LampOth</t>
  </si>
  <si>
    <t>ResOutCFL_LampRefl</t>
  </si>
  <si>
    <t>CFL_Fixt</t>
  </si>
  <si>
    <t>CFLratio0353</t>
  </si>
  <si>
    <t>CFL Ratio for all CFL fixtures</t>
  </si>
  <si>
    <t>CFL_Lamp-CC</t>
  </si>
  <si>
    <t>IOU proposed value for cold cathode</t>
  </si>
  <si>
    <t>LED_LampPAR20</t>
  </si>
  <si>
    <t>LEDratio0470</t>
  </si>
  <si>
    <t>LED PAR20 Basecase, Total Watts = 4.70 x Msr Watts</t>
  </si>
  <si>
    <t>LED_LampPAR30</t>
  </si>
  <si>
    <t>LEDratio0342</t>
  </si>
  <si>
    <t>LED PAR30 Basecase, Total Watts = 3.42 x Msr Watts</t>
  </si>
  <si>
    <t>LED_LampPAR38</t>
  </si>
  <si>
    <t>LEDratio0381</t>
  </si>
  <si>
    <t>LED PAR38 Basecase, Total Watts = 3.81 x Msr Watts</t>
  </si>
  <si>
    <t>LED_LampA19</t>
  </si>
  <si>
    <t>LEDratio0296</t>
  </si>
  <si>
    <t>LED A19 Basecase, Total Watts = 2.96 x Msr Watts</t>
  </si>
  <si>
    <t>LED_LampCandle</t>
  </si>
  <si>
    <t>LEDratio0735</t>
  </si>
  <si>
    <t>LED Candelabra Basecase, Total Watts = 7.35 x Msr Watts</t>
  </si>
  <si>
    <t>LED_LampGlb&lt;3W</t>
  </si>
  <si>
    <t>LEDratio0747</t>
  </si>
  <si>
    <t>LED Globe less than 3 Watts Basecase, Total Watts = 7.47 x Msr Watts</t>
  </si>
  <si>
    <t>LED_LampGlb&gt;=3W</t>
  </si>
  <si>
    <t>LEDratio0494</t>
  </si>
  <si>
    <t>LED Globe greater than or equal to 3 Watts Basecase, Total Watts = 4.94 x Msr Watts</t>
  </si>
  <si>
    <t>LED_LampMR16</t>
  </si>
  <si>
    <t>LEDratio0424</t>
  </si>
  <si>
    <t>LED MR16 Basecase, Total Watts = 4.24 x Msr Watts</t>
  </si>
  <si>
    <t>LED_LampR&lt;11W</t>
  </si>
  <si>
    <t>LEDratio0609</t>
  </si>
  <si>
    <t>LED R/BR Basecase less than 11 Watts, Total Watts = 6.09 x Msr Watts</t>
  </si>
  <si>
    <t>LED_LampR11-14W</t>
  </si>
  <si>
    <t>LEDratio0480</t>
  </si>
  <si>
    <t>LED R/BR Basecase greater than or equal to 11, less than 14 Watts, Total Watts = 4.80 x Msr Watts</t>
  </si>
  <si>
    <t>LED_LampR&gt;=14W</t>
  </si>
  <si>
    <t>LEDratio0434</t>
  </si>
  <si>
    <t>LED R/BR Basecase greater than or egual to 14 Watts, Total Watts = 4.34 x Msr Watts</t>
  </si>
  <si>
    <t>LED_LampBR&lt;11W</t>
  </si>
  <si>
    <t>LED_LampBR11-14W</t>
  </si>
  <si>
    <t>LED_LampBR&gt;=14W</t>
  </si>
  <si>
    <t>LED_Fixt</t>
  </si>
  <si>
    <t>LED_Fixture</t>
  </si>
  <si>
    <t>LED_LampCanRet</t>
  </si>
  <si>
    <t>LED Can Retrofit</t>
  </si>
  <si>
    <t>LED_LampAny</t>
  </si>
  <si>
    <t>LED Any Basecase, Total Watts = 2.96 x Msr Watts</t>
  </si>
  <si>
    <t>CMH_Lamp</t>
  </si>
  <si>
    <t>CMHratio0286</t>
  </si>
  <si>
    <t>Ballasted cermaic metal halide lamps</t>
  </si>
  <si>
    <t>Building Type</t>
  </si>
  <si>
    <t>Savings Units</t>
  </si>
  <si>
    <t>Lighting Measure Categories</t>
  </si>
  <si>
    <t>Code</t>
  </si>
  <si>
    <t>Description</t>
  </si>
  <si>
    <t>Energy Impact ID</t>
  </si>
  <si>
    <t>ECC</t>
  </si>
  <si>
    <t>Education - Community College</t>
  </si>
  <si>
    <t>Cap-Tons</t>
  </si>
  <si>
    <t>Capacity of equipment in Tons of cooling</t>
  </si>
  <si>
    <t>Linear Fluorescent and HID lighting measures - savings are per deltaWatt for measure</t>
  </si>
  <si>
    <t>EPr</t>
  </si>
  <si>
    <t>Education - Primary School</t>
  </si>
  <si>
    <t>Cap-kBTUh</t>
  </si>
  <si>
    <t>Capacity of equipment in kBTUh</t>
  </si>
  <si>
    <t>Exit fixture lighting measures - savings are per deltaWatt for measure</t>
  </si>
  <si>
    <t>ERC</t>
  </si>
  <si>
    <t>Education - Relocatable Classroom</t>
  </si>
  <si>
    <t>Cap-kW</t>
  </si>
  <si>
    <t>Capacity of equipment in kW</t>
  </si>
  <si>
    <t>CFL and LED lamps and fixtures - savings are per deltaWatt for measure</t>
  </si>
  <si>
    <t>ESe</t>
  </si>
  <si>
    <t>Education - Secondary School</t>
  </si>
  <si>
    <t>Area-1kFP</t>
  </si>
  <si>
    <t>Area of measure: 1000 square feet of footprint</t>
  </si>
  <si>
    <t>EUn</t>
  </si>
  <si>
    <t>Education - University</t>
  </si>
  <si>
    <t>Measure type and application</t>
  </si>
  <si>
    <t>Wattage Ratio</t>
  </si>
  <si>
    <t>CFL fixtures, interior and exterior:</t>
  </si>
  <si>
    <t>Screw-in CFL lamps, interior and exterior:</t>
  </si>
  <si>
    <t>LED lamps and fixtures, interior and exterior:</t>
  </si>
  <si>
    <t>For CFL and LED measures, the delta Watts is determined as:</t>
  </si>
  <si>
    <t>Measure deltaWatts = Measure Technology Watts x (WattageRatio - 1)</t>
  </si>
  <si>
    <t>e.g. 13 Watt CFL fixture: dWatts = 13 * (3.53 -1) = 33 Watts</t>
  </si>
  <si>
    <t>Measure 1</t>
  </si>
  <si>
    <t>Measure 3</t>
  </si>
  <si>
    <t>Measure 4</t>
  </si>
  <si>
    <t>LEDs</t>
  </si>
  <si>
    <t>Incandescent to LED exit sign wattage ratio</t>
  </si>
  <si>
    <t>What is the total installed cost?</t>
  </si>
  <si>
    <t>What is the utility rebate for this measure?</t>
  </si>
  <si>
    <t>4 ft. T8 Linear fluorescent to LED (19 watt) tube</t>
  </si>
  <si>
    <t>4 ft. T12 40 watt Linear fluorescent to LED (19 watt) tube</t>
  </si>
  <si>
    <t>4 ft. T12 34 watt Linear fluorescent to LED (19 watt) tube</t>
  </si>
  <si>
    <t>4 ft. T12 linear fluorescent to T8 wattage ratio Total Watt (34 Watt)</t>
  </si>
  <si>
    <t>4 ft. T12 linear fluorescent to T8 wattage ratio Total Watt (40 Watt)</t>
  </si>
  <si>
    <t>4 ft. T8 Linear fluorescent to T8 (28 watt) or reduced ballast factor</t>
  </si>
  <si>
    <t>What is the new T8 lamp wattage?</t>
  </si>
  <si>
    <t>choose one</t>
  </si>
  <si>
    <t>T8 or LED</t>
  </si>
  <si>
    <t>DEER kWh Impact</t>
  </si>
  <si>
    <t>DEER kW Impact</t>
  </si>
  <si>
    <t>DEER therm impact</t>
  </si>
  <si>
    <t>Measure 6</t>
  </si>
  <si>
    <t>Measure 5</t>
  </si>
  <si>
    <t>Measure 8</t>
  </si>
  <si>
    <t>average of above LED</t>
  </si>
  <si>
    <t>Mercury vapor fixtures to Induction or LED lights</t>
  </si>
  <si>
    <t>High Pressure sodium fixtures to Induction or LED lights</t>
  </si>
  <si>
    <t>Induction or LED</t>
  </si>
  <si>
    <t>Measure 9</t>
  </si>
  <si>
    <t>Saving to Investment Ratio</t>
  </si>
  <si>
    <t>ECM</t>
  </si>
  <si>
    <t>ECM 3&amp;4</t>
  </si>
  <si>
    <t>ECM 5&amp;6</t>
  </si>
  <si>
    <t>ECM 10</t>
  </si>
  <si>
    <t>ECM 7</t>
  </si>
  <si>
    <t>ECM 8&amp;9</t>
  </si>
  <si>
    <t>airAC-SpltPkg-gte760kBtuh-10p0eer-wtd</t>
  </si>
  <si>
    <t>Com-RefrigCharge-wtd</t>
  </si>
  <si>
    <t>NB-HVAC-DuctSeal-high</t>
  </si>
  <si>
    <t>NB-HVAC-DuctSeal-low</t>
  </si>
  <si>
    <t>NG-WtrHt-MedInst-Gas-76to200kBtuh-0p80Et</t>
  </si>
  <si>
    <t>NG-WtrHt-MedInst-Gas-76to200kBtuh-0p85Et</t>
  </si>
  <si>
    <t>NG-WtrHt-MedInst-Gas-76to200kBtuh-0p90Et</t>
  </si>
  <si>
    <t>NG-WtrHt-SmlInst-Gas-lte75kBtuh-lt2G-0p82EF</t>
  </si>
  <si>
    <t>Fiscal year</t>
  </si>
  <si>
    <t>Average Maximum Demand (kW):</t>
  </si>
  <si>
    <t>Old Motor</t>
  </si>
  <si>
    <t>Prem. Eff. Motor</t>
  </si>
  <si>
    <t>Manual Thermostat</t>
  </si>
  <si>
    <t>Programmable Type</t>
  </si>
  <si>
    <t>Efficient HVAC Motors - Average-Epc-Epr-Ese</t>
  </si>
  <si>
    <t>Com-Iltg-dWatt-CFL-Avg-Epc-Epr-Ese</t>
  </si>
  <si>
    <t>Com-Iltg-dWatt-Exit-Avg-Epc-Epr-Ese</t>
  </si>
  <si>
    <t>Com-Iltg-dWatt-LF-Avg-Epc-Epr-Ese</t>
  </si>
  <si>
    <t>LF-Relamping-28 Watt-Avg-Epc-Epr-Ese</t>
  </si>
  <si>
    <t>Occupancy Sensor(all)-Avg-Epc-Epr-Ese</t>
  </si>
  <si>
    <t>Old Drives</t>
  </si>
  <si>
    <t>Old duct</t>
  </si>
  <si>
    <t>Sealed duct</t>
  </si>
  <si>
    <t>Vending Miser control</t>
  </si>
  <si>
    <t>Therm Impact</t>
  </si>
  <si>
    <t>Measure 20</t>
  </si>
  <si>
    <t>Measure 19</t>
  </si>
  <si>
    <t>ECM 19</t>
  </si>
  <si>
    <t>ECM 20</t>
  </si>
  <si>
    <t>ECM 11</t>
  </si>
  <si>
    <t>ECM 12</t>
  </si>
  <si>
    <t>ECM 14</t>
  </si>
  <si>
    <t>ECM 15</t>
  </si>
  <si>
    <t>ECM 16</t>
  </si>
  <si>
    <t>ECM 17</t>
  </si>
  <si>
    <t>ECM 18</t>
  </si>
  <si>
    <t>ECM 21</t>
  </si>
  <si>
    <t>Replace old heat pump with high efficiency heat pump</t>
  </si>
  <si>
    <t>Replace old packaged/split HVAC unit with high efficiency HVAC</t>
  </si>
  <si>
    <t>Quantity of incandescent exit signs to be replaced with LEDs?</t>
  </si>
  <si>
    <t>Quantity of incandescent lights to be replaced with CFLs?</t>
  </si>
  <si>
    <t>Quantity of incandescent bulbs to be replaced with LED lights?</t>
  </si>
  <si>
    <t>Quantity of mercury vapor fixtures to be replaced?</t>
  </si>
  <si>
    <t>Quantity of occupancy sensors to be installed?</t>
  </si>
  <si>
    <t>New Packaged AC</t>
  </si>
  <si>
    <t>Old Packaged AC</t>
  </si>
  <si>
    <t>VariableSpeedDrive HVAC-pumps- Fans -Average-ESe</t>
  </si>
  <si>
    <t>Quantity of storage heater to be replaced with new instantaneous water heater?</t>
  </si>
  <si>
    <t>Storage Water Heater</t>
  </si>
  <si>
    <t>Tankless Water Heater</t>
  </si>
  <si>
    <t xml:space="preserve">This measure saves </t>
  </si>
  <si>
    <t>NE-HVAC-airAC-Pkg-lt65kBtuh-13p0seer (PGE)</t>
  </si>
  <si>
    <t>NE-HVAC-airAC-Pkg-lt65kBtuh-13p0seer (SDGE)</t>
  </si>
  <si>
    <t>NE-HVAC-airAC-Pkg-lt65kBtuh-14p0seer (PGE)</t>
  </si>
  <si>
    <t>NE-HVAC-airAC-Pkg-lt65kBtuh-14p0seer (SDGE)</t>
  </si>
  <si>
    <t>dxHP-spltSEER-lt65kBtuh-13p0seer-7p7hspf (PGE)</t>
  </si>
  <si>
    <t>NE-HVAC-airAC-Pkg-lt65kBtuh-13p0seer (SCE&amp;SCG)</t>
  </si>
  <si>
    <t>NE-HVAC-airAC-Pkg-lt65kBtuh-14p0seer (SCE&amp;SCG)</t>
  </si>
  <si>
    <t>dxHP-spltSEER-lt65kBtuh-13p0seer-7p7hspf (SCE&amp;SCG)</t>
  </si>
  <si>
    <t>dxHP-spltSEER-lt65kBtuh-13p0seer-7p7hspf (SDGE)</t>
  </si>
  <si>
    <t>dxHP-spltSEER-lt65kBtuh-14p0seer-8p3hspf (PGE)</t>
  </si>
  <si>
    <t>dxHP-spltSEER-lt65kBtuh-14p0seer-8p3hspf (SCE&amp;SCG)</t>
  </si>
  <si>
    <t>dxHP-spltSEER-lt65kBtuh-14p0seer-8p3hspf (SDGE)</t>
  </si>
  <si>
    <t>dxHP-spltSEER-lt65kBtuh-15p0seer-8p8hspf (PGE)</t>
  </si>
  <si>
    <t>dxHP-spltSEER-lt65kBtuh-15p0seer-8p8hspf (SCE&amp;SCG)</t>
  </si>
  <si>
    <t>dxHP-spltSEER-lt65kBtuh-15p0seer-8p8hspf (SDGE)</t>
  </si>
  <si>
    <t>What is the total AC tonnage to be replaced with SEER 14 unit?</t>
  </si>
  <si>
    <t>Old Heat Pump</t>
  </si>
  <si>
    <t>New Heat Pump</t>
  </si>
  <si>
    <t>Non Condensing Unit</t>
  </si>
  <si>
    <t>Condensing Unit</t>
  </si>
  <si>
    <t>Quantity of boiler to be replaced with AFUE 92-94 unit?</t>
  </si>
  <si>
    <t>Quantity of boiler to be replaced with AFUE 95-97 unit?</t>
  </si>
  <si>
    <t>Quantity of furnace to be replaced with AFUE 92-94 unit?</t>
  </si>
  <si>
    <t>Quantity of furnace to be replaced with AFUE 95-97 unit?</t>
  </si>
  <si>
    <t>ECM 13A</t>
  </si>
  <si>
    <t>ECM 13B</t>
  </si>
  <si>
    <t>DEER Database Lamp Replacement Ratio</t>
  </si>
  <si>
    <t>Average Energy Impact For Select DEER Database HVAC &amp; Mechanical Measures</t>
  </si>
  <si>
    <t>Average Energy Impact for Select DEER Database Lighting Measures</t>
  </si>
  <si>
    <t>Condensing Boiler/Furnace D03-065-AFUE 92-94 (PGE)</t>
  </si>
  <si>
    <t>Condensing Boiler/Furnace D03-065-AFUE 92-94 (SCE&amp;SCG)</t>
  </si>
  <si>
    <t>Condensing Boiler/Furnace D03-065-AFUE 92-94 (SDGE)</t>
  </si>
  <si>
    <t>Condensing Boiler/Furnace D03-065-AFUE 95-97 (PGE)</t>
  </si>
  <si>
    <t>Condensing Boiler/Furnace D03-065-AFUE 95-97 (SCE&amp;SCG)</t>
  </si>
  <si>
    <t>Condensing Boiler/Furnace D03-065-AFUE 95-97 (SDGE)</t>
  </si>
  <si>
    <t>School Information</t>
  </si>
  <si>
    <t>School Name</t>
  </si>
  <si>
    <t>School CDS Code</t>
  </si>
  <si>
    <t>Mailing Address</t>
  </si>
  <si>
    <t>(not used in calculator)</t>
  </si>
  <si>
    <t>Go to cell A23</t>
  </si>
  <si>
    <t>Go to cell A35</t>
  </si>
  <si>
    <t>Go To cell A49</t>
  </si>
  <si>
    <t>Go To cell A51</t>
  </si>
  <si>
    <t>Go To cell A59</t>
  </si>
  <si>
    <t>Go To cell A70</t>
  </si>
  <si>
    <t>Go To cell A81</t>
  </si>
  <si>
    <t>Go To cell A92</t>
  </si>
  <si>
    <t>Go To cell A103</t>
  </si>
  <si>
    <t>If you have the following plug loads but without control, the following calculators can be used to calculate energy Savings for your energy efficiency project.</t>
  </si>
  <si>
    <t>(not used)</t>
  </si>
  <si>
    <t>Integrated KWH Impact</t>
  </si>
  <si>
    <t>Convert incandescent/CFL exit sign to LED exit sign</t>
  </si>
  <si>
    <t>What is the total installed cost for this measure?</t>
  </si>
  <si>
    <t xml:space="preserve">What is the PTC (PVUSA Test Con.) Wattage of each panel? </t>
  </si>
  <si>
    <t>**PV Size (kWac)</t>
  </si>
  <si>
    <t>PC power management interactive factor(extrapolated)</t>
  </si>
  <si>
    <t>Propane Savings</t>
  </si>
  <si>
    <t>Fuel Oil Savings</t>
  </si>
  <si>
    <t>Seal existing HVAC leaky duct</t>
  </si>
  <si>
    <t>Total Square Footage of School</t>
  </si>
  <si>
    <t>Billing Period (Fiscal Year)</t>
  </si>
  <si>
    <t>This ECM is for 4-foot linear fluorescent or 2 foot U-tube retrofit. If 8-foot fluorescent is converted to two 4-foot, multiply the quantity of lamp by two.</t>
  </si>
  <si>
    <t>kW peak demand</t>
  </si>
  <si>
    <t>therms natural gas</t>
  </si>
  <si>
    <t>KWh Impact</t>
  </si>
  <si>
    <t>Therm impact</t>
  </si>
  <si>
    <t>KW Impact</t>
  </si>
  <si>
    <t>How many smart strips or PC management tools will be installed?</t>
  </si>
  <si>
    <t>extrapolated</t>
  </si>
  <si>
    <t>extrapolated from ARRA data</t>
  </si>
  <si>
    <t>Lamp Ratio</t>
  </si>
  <si>
    <t>extrapolated Linear retrofit</t>
  </si>
  <si>
    <t>kWh and therm impact extrapolated</t>
  </si>
  <si>
    <t>What is the total HP tonnage to be replaced with SEER 14 unit?</t>
  </si>
  <si>
    <t>What is the total HP tonnage to be replaced with SEER 15 unit?</t>
  </si>
  <si>
    <t>Quantity of HP to be replaced with SEER 14 (HSPF 8.3) unit?</t>
  </si>
  <si>
    <t>Quantity of HP to be replaced with SEER 15 (HSPF 8.8) unit?</t>
  </si>
  <si>
    <t>What is the total motor horsepower that will have VSD?</t>
  </si>
  <si>
    <t>What is the total premium efficiency horsepower capacity to be installed?</t>
  </si>
  <si>
    <t>What is the name plate efficiency of the inverter?</t>
  </si>
  <si>
    <t>What is the total name plate capacity of the inverter?</t>
  </si>
  <si>
    <t>Benchmarking Calculator</t>
  </si>
  <si>
    <t xml:space="preserve"> Quantity of vending machine misers to be installed in beverage machines?</t>
  </si>
  <si>
    <t>Quantity of vending machine misers to be installed in snack machines?</t>
  </si>
  <si>
    <t>ECM 1</t>
  </si>
  <si>
    <t>ECM 2</t>
  </si>
  <si>
    <t>Replace incandescent light with compact fluorescent light</t>
  </si>
  <si>
    <t>CFL lights</t>
  </si>
  <si>
    <t>Led Lights</t>
  </si>
  <si>
    <t>Incand./Halogen</t>
  </si>
  <si>
    <t>Com-Iltg-dWatt-LED</t>
  </si>
  <si>
    <t xml:space="preserve">Go to cell A22 </t>
  </si>
  <si>
    <t>ECM 3,4</t>
  </si>
  <si>
    <t>ECM 5,6</t>
  </si>
  <si>
    <t>ECM 8,9</t>
  </si>
  <si>
    <t>Extrapolated from inc to CFL</t>
  </si>
  <si>
    <t>PG&amp;E</t>
  </si>
  <si>
    <t>Annual kWh production for each kWac installed is assumed to be 1500 kWh/kW.</t>
  </si>
  <si>
    <t>Quantity of 40 watt T12 lamps to be replaced with T8?</t>
  </si>
  <si>
    <t>Quantity of 34 watt T12 lamps to be replaced with T8?</t>
  </si>
  <si>
    <t>Quantity of 34 watt T12 lamps to be replace with LED lamps?</t>
  </si>
  <si>
    <t>Quantity of 40 watt T12 lamps to be replaced with LED lamps?</t>
  </si>
  <si>
    <t>Quantity of 32 watt T8 lamps to be replaced?</t>
  </si>
  <si>
    <t>What is the total wattage of all new LED or Induction lamps?</t>
  </si>
  <si>
    <t>What is the total wattage of all new CFL lamps?</t>
  </si>
  <si>
    <t>What is the total wattage of all new LED lamps?</t>
  </si>
  <si>
    <t>Quantity of CFL exit signs to be replaced with LEDs?</t>
  </si>
  <si>
    <t>Replace boiler with high efficiency condensing boiler</t>
  </si>
  <si>
    <t>Replace furnace with high efficiency condensing furnace</t>
  </si>
  <si>
    <t>What is the total kBtu/hr of the new AFUE92-94 units?</t>
  </si>
  <si>
    <t>What is the total kBtu/hr of the new AFUE95-97 units?</t>
  </si>
  <si>
    <t>How many total tons of AC where ducts will be sealed?</t>
  </si>
  <si>
    <t>What is the IOU (or nearest IOU)area the unit is installed?</t>
  </si>
  <si>
    <t>Replace storage water heater with gas-fired tankless water heater</t>
  </si>
  <si>
    <t>PG&amp;E or SCE etc</t>
  </si>
  <si>
    <t>**PV Size(CEC AC rating)=Number of panels x PTC panel wattage x inverter efficiency</t>
  </si>
  <si>
    <t>This calculator only applies to AC up to 65KBtu/hr or 5.4 tons</t>
  </si>
  <si>
    <t>This calculator only applies to heat pump up to 65KBtu/hr or 5.4 tons</t>
  </si>
  <si>
    <t>NG-WtrHt-SmlInst-Gas-lte75kBtuh-lt2G-0p82EF-AVG</t>
  </si>
  <si>
    <t>What is the total KBtu per hour capacity of the old water heater?</t>
  </si>
  <si>
    <t xml:space="preserve">Note: If multiple fuels are used, enter primary fuel only, otherwise savings will be calculated using natural gas cost. </t>
  </si>
  <si>
    <t>NG-WtrHt-LrgInst-Gas-gt225kBtuh-0p80Et</t>
  </si>
  <si>
    <t>NG-WtrHt-LrgInst-Gas-gt225kBtuh-0p85Et</t>
  </si>
  <si>
    <t>NG-WtrHt-LrgInst-Gas-gt225kBtuh-0p90Et</t>
  </si>
  <si>
    <t>Setback Network or Programmable Thermostats-Average-Epc-Epr-Ese</t>
  </si>
  <si>
    <t>Replace manual thermostat with programmable/smart thermostat</t>
  </si>
  <si>
    <t>Ratio</t>
  </si>
  <si>
    <t>Annual PV Electricity Production(kWh)</t>
  </si>
  <si>
    <t>Electricity Purchase from Utility(kWh)</t>
  </si>
  <si>
    <t>Do you have onsite PV? enter 0 if no PV.</t>
  </si>
  <si>
    <t>Source Energy Conversion Factors</t>
  </si>
  <si>
    <t>What is the total wattage of new LED Exit sign?</t>
  </si>
  <si>
    <t>What is the total wattage of new LED exit sign?</t>
  </si>
  <si>
    <t>Does PV vendor provide 25 year system warranty?</t>
  </si>
  <si>
    <t>Estimated Energy Efficiency Measure Savings Summary</t>
  </si>
  <si>
    <t xml:space="preserve">Lighting Total </t>
  </si>
  <si>
    <t>Plug Load Total</t>
  </si>
  <si>
    <t>Grouped</t>
  </si>
  <si>
    <t>Adjusted NPV of Savings</t>
  </si>
  <si>
    <t>choose your utility</t>
  </si>
  <si>
    <t>Choose your utility</t>
  </si>
  <si>
    <t>Annual system maintenance cost is assumed to be 0.3% of project cost.</t>
  </si>
  <si>
    <t>Adjusted Energy Savings Summary</t>
  </si>
  <si>
    <t>Adjusted SIR</t>
  </si>
  <si>
    <t>Life Cycle Analysis Based on Adjusted Savings</t>
  </si>
  <si>
    <t>Adjusted Savings</t>
  </si>
  <si>
    <t>per Watt</t>
  </si>
  <si>
    <t>*For PV &lt; 30 kW, What is the approved EPBB rebate amount?</t>
  </si>
  <si>
    <t>Maintenance cost</t>
  </si>
  <si>
    <t>first year</t>
  </si>
  <si>
    <t>PV System Energy Savings Summary</t>
  </si>
  <si>
    <t>Life Cycle Cost Analysis (EUL= 16 years)</t>
  </si>
  <si>
    <t>Cost paid to PPA vendor &amp; other supplier ($)</t>
  </si>
  <si>
    <t>ECM 6A</t>
  </si>
  <si>
    <t>Convert T12 fluorescent to T8 with electronic ballast or LED lamps</t>
  </si>
  <si>
    <t>Go To cell A42 &amp;A48</t>
  </si>
  <si>
    <t>Go To cell A54 &amp; A62</t>
  </si>
  <si>
    <t>Quantity of 32 watt T8 lamps to be replaced with LED lamps?</t>
  </si>
  <si>
    <t>This ECM is for 4-foot linear fluorescent. If 8-foot fluorescent is converted to two 4-foot, multiply the quantity of lamp by two.</t>
  </si>
  <si>
    <t>T8 Fluorescent</t>
  </si>
  <si>
    <t>LED</t>
  </si>
  <si>
    <t>Extrapolated from fluorescent to LED</t>
  </si>
  <si>
    <t>Go To cell A67</t>
  </si>
  <si>
    <t>Go To cell A77</t>
  </si>
  <si>
    <t>Go To cell A89 &amp; A94</t>
  </si>
  <si>
    <t>Go To cell A101</t>
  </si>
  <si>
    <t>Go to cell A32</t>
  </si>
  <si>
    <t>T12 Fluorescent</t>
  </si>
  <si>
    <t xml:space="preserve">Convert 32 Watt T8 fluorescent fixture to LED lamps </t>
  </si>
  <si>
    <t>Adjusted Energy Savings Summary*</t>
  </si>
  <si>
    <t>Energy cost savings for all HVAC projects will be prorated downed to 25%  when the total saving exceed 25% site total kWh use.</t>
  </si>
  <si>
    <t>Energy cost savings for all lighting projects will be prorated downed to 15%  when the total saving exceed 15% site total kWh use.</t>
  </si>
  <si>
    <t>It is assumed that HVAC uses about 50% of the total site kWh use, savings will be capped at 50% of the HVAC kWh use or 25% of total site kWh use.</t>
  </si>
  <si>
    <t>It is assumed that all lights use about 30% of the total site kWh use, savings will be capped at 50% of the lighting kWh use or 15% of total site kWh.</t>
  </si>
  <si>
    <t>It is assumed that plug loads use about 10% of the total site kWh use, savings will be capped at 50% of the plug load kWh use or 5% of total site kWh use.</t>
  </si>
  <si>
    <t>Energy cost savings for all plug load projects will be prorated downed to 5%  when the total saving exceed 5% site total kWh use.</t>
  </si>
  <si>
    <t>*Energy Savings will be adjusted lower when lighting,  HVAC and plug load savings exceed 50% of each end use technology category and capped at 45% of the total site kWh use.</t>
  </si>
  <si>
    <t>Other Non-repayable funds</t>
  </si>
  <si>
    <t xml:space="preserve">PV cost savings is calculated using 85% of the average electricity cost (due to little demand savings from PV system). </t>
  </si>
  <si>
    <t>***Simple payback is based on first year cost savings only.</t>
  </si>
  <si>
    <t xml:space="preserve">PV project needs to be sized properly and it can only save up to your last year's electricity bill amount. </t>
  </si>
  <si>
    <t>Note:</t>
  </si>
  <si>
    <t>To claim 25 year useful life, vendor must provide system warranty in writing.</t>
  </si>
  <si>
    <t>Assuming inverters will be replaced every 10 years and at a cost of</t>
  </si>
  <si>
    <t xml:space="preserve">Please use a separate life cycle cost analysis for PV project converting to PG&amp;E A6 rate schedule. </t>
  </si>
  <si>
    <t>Utility Rebate &amp; Non-repayable funds</t>
  </si>
  <si>
    <t>*For PV &gt;= 30 kW, What is the approved PBI rebate amount?</t>
  </si>
  <si>
    <t xml:space="preserve">* If you have rebate approved by utility, enter the total rebate amount. 5 year PBI rebate for systems &gt;= 30 kW will be adjusted by discount rate for NPV. PV system &lt; 30 kW, actual rebate amount will be used for SIR calculation. </t>
  </si>
  <si>
    <t>Total quantity of AC and heat pump unit at school</t>
  </si>
  <si>
    <t>Are there other non-repayable funds applied to this measure?</t>
  </si>
  <si>
    <t>MV /HPS /MH</t>
  </si>
  <si>
    <t>Replace mercury vapor/HPS/Metal Halide with LED/Induction lights</t>
  </si>
  <si>
    <t>Quantity of HPS/Metal Halide fixtures to be replaced?</t>
  </si>
  <si>
    <t>ECM 22</t>
  </si>
  <si>
    <t>ECM 23</t>
  </si>
  <si>
    <t>Install new windows</t>
  </si>
  <si>
    <t>Install additional insulation</t>
  </si>
  <si>
    <t>Quantity of 75 kVA Transformer to be replaced with Premium Eff. Transformer?</t>
  </si>
  <si>
    <t>Quantity of 300 kVA Transformer to be replaced with Premium Eff. Transformer?</t>
  </si>
  <si>
    <t>Quantity of 500 kVA Transformer to be replaced with Premium Eff. Transformer?</t>
  </si>
  <si>
    <t>Quantity of 750 kVA Transformer to be replaced with Premium Eff. Transformer?</t>
  </si>
  <si>
    <t>Quantity of 150 kVA Transformer to be replaced with Premium Eff. Transformer?</t>
  </si>
  <si>
    <t>Quantity of 112.5 kVA Transformer to be replaced with Premium Eff. Transformer?</t>
  </si>
  <si>
    <t>Quantity of 45 kVA Transformer to be replaced with Premium Eff. Transformer?</t>
  </si>
  <si>
    <t>Quantity of 30 kVA Transformer to be replaced with Premium Eff. Transformer?</t>
  </si>
  <si>
    <t>Quantity of 225 kVA Transformer to be replaced with Premium Eff. Transformer?</t>
  </si>
  <si>
    <t>Quantity of 1000 kVA Transformer to be replaced with Premium Eff. Transformer?</t>
  </si>
  <si>
    <t>Efficiencies are determined at the following reference conditions: (1) for no-load losses, at the temperature of 20°C, and (2) for load-losses, at the temperature of 75°C and 35 percent of nameplate load.</t>
  </si>
  <si>
    <t>Quantity of 15 kVA Transformer to be replaced with Premium Eff. Transformer?</t>
  </si>
  <si>
    <t>2. If you intend to use transformers that is the same as or higher than NEMA premium efficiency standard, you can perform your own savings calculation.</t>
  </si>
  <si>
    <t>Calculators for Simple Low Voltage Distribution Transformer Project</t>
  </si>
  <si>
    <t>Low voltage transformer is defined as an output voltage of 600 volts or less, and is rated at a frequency of 60 Hertz.</t>
  </si>
  <si>
    <t xml:space="preserve">3. Only three phase dry type voltage levels are listed here. </t>
  </si>
  <si>
    <t>1. This calculator is based on new DOE/ TP1 &amp; C802.2 approved efficiency standards.</t>
  </si>
  <si>
    <t>KVA level</t>
  </si>
  <si>
    <t xml:space="preserve">Old </t>
  </si>
  <si>
    <t>kWh Impact</t>
  </si>
  <si>
    <t>energy cost annually</t>
  </si>
  <si>
    <t>High Efficiency Dry-Type Low Voltage Distribution Transformer</t>
  </si>
  <si>
    <t>exante1314 database tables: Energy Impacts</t>
  </si>
  <si>
    <t>This file created on 6/15/2015 2:37:12 PM while connected to localhost as sptviewer by READI (v2.2.0).</t>
  </si>
  <si>
    <t>Program/Database Description: READI v.2.2.0 (Current DEER and Non-DEER Ex Ante data.  Includes data for review)</t>
  </si>
  <si>
    <t>EnergyImpactID</t>
  </si>
  <si>
    <t>Version</t>
  </si>
  <si>
    <t>BldgType</t>
  </si>
  <si>
    <t>BldgVint</t>
  </si>
  <si>
    <t>BldgHVAC</t>
  </si>
  <si>
    <t>BldgLoc</t>
  </si>
  <si>
    <t>NormUnit</t>
  </si>
  <si>
    <t>NumUnit</t>
  </si>
  <si>
    <t>MeasArea</t>
  </si>
  <si>
    <t>ScaleBasis</t>
  </si>
  <si>
    <t>APreEUkWh</t>
  </si>
  <si>
    <t>APreEUkW</t>
  </si>
  <si>
    <t>APreEUtherm</t>
  </si>
  <si>
    <t>APreWBkWh</t>
  </si>
  <si>
    <t>APreWBkW</t>
  </si>
  <si>
    <t>APreWBtherm</t>
  </si>
  <si>
    <t>AStdEUkWh</t>
  </si>
  <si>
    <t>AStdEUkW</t>
  </si>
  <si>
    <t>AStdEUtherm</t>
  </si>
  <si>
    <t>AStdWBkWh</t>
  </si>
  <si>
    <t>AStdWBkW</t>
  </si>
  <si>
    <t>AStdWBtherm</t>
  </si>
  <si>
    <t>ElecImpactProfileID</t>
  </si>
  <si>
    <t>GasImpactProfileID</t>
  </si>
  <si>
    <t>Flag</t>
  </si>
  <si>
    <t>BldgType_desc</t>
  </si>
  <si>
    <t>BldgVint_desc</t>
  </si>
  <si>
    <t>BldgLoc_desc</t>
  </si>
  <si>
    <t>IOUname</t>
  </si>
  <si>
    <t>Qualifier</t>
  </si>
  <si>
    <t>MeasureDesc</t>
  </si>
  <si>
    <t>MeasImpactType</t>
  </si>
  <si>
    <t>MeasTechEUL_ID</t>
  </si>
  <si>
    <t>MeasTechDesc</t>
  </si>
  <si>
    <t>StdTechDesc</t>
  </si>
  <si>
    <t>BaseTechDesc</t>
  </si>
  <si>
    <t>QualifierDesc</t>
  </si>
  <si>
    <t>D03-013-Ceiling/Roof insulation up to current standard</t>
  </si>
  <si>
    <t>DEER2005</t>
  </si>
  <si>
    <t>Ex</t>
  </si>
  <si>
    <t>Any</t>
  </si>
  <si>
    <t>IOU</t>
  </si>
  <si>
    <t>Area-1kR</t>
  </si>
  <si>
    <t>None</t>
  </si>
  <si>
    <t>IOU Territory</t>
  </si>
  <si>
    <t>D03-013</t>
  </si>
  <si>
    <t>Ceiling/Roof Insulation</t>
  </si>
  <si>
    <t>Standard</t>
  </si>
  <si>
    <t>Ceiling R-value for oldest vintages increased to 'new' level</t>
  </si>
  <si>
    <t xml:space="preserve">T24 maximum overall U-Factor per Table </t>
  </si>
  <si>
    <t>Ceiling R-value based on vintage and climate zone</t>
  </si>
  <si>
    <t>Measure Definition does not have Energy Impact Qualifiers</t>
  </si>
  <si>
    <t>SCE</t>
  </si>
  <si>
    <t>SCG</t>
  </si>
  <si>
    <t>SDG&amp;E</t>
  </si>
  <si>
    <t>D03-016-Light Color Roof</t>
  </si>
  <si>
    <t>D03-016</t>
  </si>
  <si>
    <t>Light Colored Roof</t>
  </si>
  <si>
    <t>Roof absorptivity = 0.45</t>
  </si>
  <si>
    <t>T24 minimimum: cool roof per Section 118(i)</t>
  </si>
  <si>
    <t>Roof absorptivity = 0.8</t>
  </si>
  <si>
    <t>D03-022-East glass SHGC 30% less than required</t>
  </si>
  <si>
    <t>Area-100Win</t>
  </si>
  <si>
    <t>D03-022</t>
  </si>
  <si>
    <t>Low SHGC Windows -30% - East</t>
  </si>
  <si>
    <t>East glass SHGC 30% less than required by T-24</t>
  </si>
  <si>
    <t>T24 maximum SHGC matches prototype level</t>
  </si>
  <si>
    <t>glass type as defined by location and window-wall ratio</t>
  </si>
  <si>
    <t>D03-023-South glass SHGC 30% less than required</t>
  </si>
  <si>
    <t>D03-023</t>
  </si>
  <si>
    <t>Low SHGC Windows -30% - South</t>
  </si>
  <si>
    <t>South glass SHGC 30% less than required by T-24</t>
  </si>
  <si>
    <t>D03-024-West glass SHGC 30% less than required</t>
  </si>
  <si>
    <t>D03-024</t>
  </si>
  <si>
    <t>Low SHGC Windows -30% - West</t>
  </si>
  <si>
    <t>West glass SHGC 30% less than required by T-24</t>
  </si>
  <si>
    <t>D03-022 East glass SHGC 30% less than required</t>
  </si>
  <si>
    <t>D03-023 South glass SHGC 30% less than required</t>
  </si>
  <si>
    <t>D03-024-South glass SHGC 30% less than required</t>
  </si>
  <si>
    <t>D03-024 West glass SHGC 30% less than required</t>
  </si>
  <si>
    <t>D03-013-Ceiling/Roof insulation raised to current standard</t>
  </si>
  <si>
    <t>EPR_ERC_ES</t>
  </si>
  <si>
    <t>7.6_0.32_36.6</t>
  </si>
  <si>
    <t>50000_1920_150000</t>
  </si>
  <si>
    <t>SCE/SCG</t>
  </si>
  <si>
    <t>50_1.92_93.8</t>
  </si>
  <si>
    <t>EPR</t>
  </si>
  <si>
    <t>Old windows</t>
  </si>
  <si>
    <t>New windows</t>
  </si>
  <si>
    <r>
      <t xml:space="preserve">Square footage of </t>
    </r>
    <r>
      <rPr>
        <sz val="12"/>
        <color rgb="FFFF0000"/>
        <rFont val="Calibri"/>
        <family val="2"/>
        <scheme val="minor"/>
      </rPr>
      <t xml:space="preserve"> EAST</t>
    </r>
    <r>
      <rPr>
        <sz val="12"/>
        <color theme="1"/>
        <rFont val="Calibri"/>
        <family val="2"/>
        <scheme val="minor"/>
      </rPr>
      <t xml:space="preserve"> facing window replaced</t>
    </r>
  </si>
  <si>
    <r>
      <t xml:space="preserve">Square footage of </t>
    </r>
    <r>
      <rPr>
        <sz val="12"/>
        <color rgb="FFFF0000"/>
        <rFont val="Calibri"/>
        <family val="2"/>
        <scheme val="minor"/>
      </rPr>
      <t>SOUTH</t>
    </r>
    <r>
      <rPr>
        <sz val="12"/>
        <color theme="1"/>
        <rFont val="Calibri"/>
        <family val="2"/>
        <scheme val="minor"/>
      </rPr>
      <t xml:space="preserve"> facing window replaced</t>
    </r>
  </si>
  <si>
    <r>
      <t xml:space="preserve">Square footage of </t>
    </r>
    <r>
      <rPr>
        <sz val="12"/>
        <color rgb="FFFF0000"/>
        <rFont val="Calibri"/>
        <family val="2"/>
        <scheme val="minor"/>
      </rPr>
      <t xml:space="preserve"> WEST</t>
    </r>
    <r>
      <rPr>
        <sz val="12"/>
        <color theme="1"/>
        <rFont val="Calibri"/>
        <family val="2"/>
        <scheme val="minor"/>
      </rPr>
      <t xml:space="preserve"> facing window replaced</t>
    </r>
  </si>
  <si>
    <t>D03-022-East glass SHGC 30% less than required(2005)</t>
  </si>
  <si>
    <t>D03-023-South glass SHGC 30% less than required(2005)</t>
  </si>
  <si>
    <t>D03-024-West glass SHGC 30% less than required(2005)</t>
  </si>
  <si>
    <t>D03-013-Ceiling/Roof insulation up to current standard(2005)</t>
  </si>
  <si>
    <t>Install cool roof</t>
  </si>
  <si>
    <t>ECM 24</t>
  </si>
  <si>
    <t>ECM 25</t>
  </si>
  <si>
    <r>
      <t xml:space="preserve">Square footage of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cool roof installed</t>
    </r>
  </si>
  <si>
    <t>Increased R value of cool roof installation</t>
  </si>
  <si>
    <t>Old Roof</t>
  </si>
  <si>
    <t>New cool roof</t>
  </si>
  <si>
    <t>Existing insulation</t>
  </si>
  <si>
    <t>New insulation</t>
  </si>
  <si>
    <r>
      <t xml:space="preserve">Square footage of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roof insulation installed</t>
    </r>
  </si>
  <si>
    <t>Increased R value of roof insulation</t>
  </si>
  <si>
    <t xml:space="preserve">Prorated Annual Energy Savings </t>
  </si>
  <si>
    <t>same as c26</t>
  </si>
  <si>
    <t>Total tonnage of air conditioner and heat pump unit at entire school</t>
  </si>
  <si>
    <t>Calculators for Building Envelope Project</t>
  </si>
  <si>
    <t>Please enter the total tonnage of air conditioner and heat pump at the school site in cell C26 and C41.</t>
  </si>
  <si>
    <t>Energy Savings will be prorated based on the ratio of replaced tonnage to total tonnage plus 10% inefficiency.</t>
  </si>
  <si>
    <t>Quantity of packaged AC to be replaced with SEER 14 unit?</t>
  </si>
  <si>
    <t>Quantity of CFL bulbs to be replaced with LED lights?</t>
  </si>
  <si>
    <t>Measure 2A</t>
  </si>
  <si>
    <t>Measure 2B</t>
  </si>
  <si>
    <t>Replace incandescent /CFL light with LED light</t>
  </si>
  <si>
    <t>Replace incandescent/ CFL light with LED light</t>
  </si>
  <si>
    <t>Incand./CFL</t>
  </si>
  <si>
    <t>CFL - LED fixtures, interior and exterior:</t>
  </si>
  <si>
    <t>CFL/incandescent</t>
  </si>
  <si>
    <t>ECM 2A&amp;2B</t>
  </si>
  <si>
    <t>Install new low voltage dry type distribution transformers</t>
  </si>
  <si>
    <t xml:space="preserve">Grouped </t>
  </si>
  <si>
    <t>*Distribution transformer energy savings will be Capped at 6% of kWh usage of new baseline data(by subtracting total saving from all ECMs from baseline).</t>
  </si>
  <si>
    <t>*Insulation energy savings will be Capped at 10% of the HVAC usage of new baseline data(by subtracting total saving from all ECMs from baseline).</t>
  </si>
  <si>
    <t>*Window energy savings will be Capped at 20% of the HVAC usage of new baseline data(by subtracting total saving from all ECMs from baseline).</t>
  </si>
  <si>
    <t>*Cool roof energy savings will be Capped at 15% of the HVAC usage of new baseline data(by subtracting total saving from all ECMs from baseline).</t>
  </si>
  <si>
    <t>What is the total vertical wall mount AC tonnage to be replaced with EER 11 &amp; IPLV 14 unit?</t>
  </si>
  <si>
    <t>Building Envelope  Windows Replacement</t>
  </si>
  <si>
    <t>Building Envelope Install Cool Roof</t>
  </si>
  <si>
    <t>Building Envelope  Install Additional Insulation</t>
  </si>
  <si>
    <t>Quantity of old thermostats to be replaced?</t>
  </si>
  <si>
    <t>Net Present value of Savings</t>
  </si>
  <si>
    <t>Occupancy controlled</t>
  </si>
  <si>
    <t>Install occupancy control for intermittently occupied rooms</t>
  </si>
  <si>
    <t>Net Present value of Savings (20Yr)</t>
  </si>
  <si>
    <t>Net Present value of Savings (25Yr)</t>
  </si>
  <si>
    <t>Net Present value of Rebate</t>
  </si>
  <si>
    <t>PV system only saves a portion of the demand due to rain, cloud shade and non-coincidental facility peak .</t>
  </si>
  <si>
    <t>20 year Net Present value</t>
  </si>
  <si>
    <t>New TRANS</t>
  </si>
  <si>
    <t>HVAC/ENV Total</t>
  </si>
  <si>
    <t>4. Calculations based on tranformer efficincies at 35% load factor and assumed power factor of 0.9.</t>
  </si>
  <si>
    <t>5. Calculator assumes transformer capacity is less than 3 times</t>
  </si>
  <si>
    <t>Quantity of vertical wall mount AC to be replaced with EER 11(or higher) unit?</t>
  </si>
  <si>
    <t>Quantity of vertical wall mount HP to be replaced with EER 11(or higher) unit?</t>
  </si>
  <si>
    <t>Version 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</si>
</sst>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"/>
    <numFmt numFmtId="167" formatCode="0.0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0.0%"/>
    <numFmt numFmtId="171" formatCode="&quot;$&quot;#,##0"/>
    <numFmt numFmtId="172" formatCode="_(&quot;$&quot;* #,##0.000_);_(&quot;$&quot;* \(#,##0.000\);_(&quot;$&quot;* &quot;-&quot;??_);_(@_)"/>
    <numFmt numFmtId="173" formatCode="0.000"/>
    <numFmt numFmtId="174" formatCode="_(* #,##0.0_);_(* \(#,##0.0\);_(* &quot;-&quot;?_);_(@_)"/>
    <numFmt numFmtId="175" formatCode="0.00000"/>
    <numFmt numFmtId="176" formatCode="_(* #,##0.000_);_(* \(#,##0.000\);_(* &quot;-&quot;??_);_(@_)"/>
    <numFmt numFmtId="177" formatCode="0.0_);\(0.0\)"/>
    <numFmt numFmtId="178" formatCode="&quot;$&quot;#,##0.0_);\(&quot;$&quot;#,##0.0\)"/>
    <numFmt numFmtId="179" formatCode="0.00_);\(0.00\)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Times New Roman"/>
      <family val="1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3"/>
      <name val="Times New Roman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B05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3B3C3D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" fillId="7" borderId="45" applyNumberFormat="0" applyFont="0" applyAlignment="0" applyProtection="0"/>
    <xf numFmtId="0" fontId="35" fillId="0" borderId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65" applyNumberFormat="0" applyFill="0" applyAlignment="0" applyProtection="0"/>
    <xf numFmtId="0" fontId="44" fillId="0" borderId="66" applyNumberFormat="0" applyFill="0" applyAlignment="0" applyProtection="0"/>
    <xf numFmtId="0" fontId="45" fillId="0" borderId="67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0" applyNumberFormat="0" applyBorder="0" applyAlignment="0" applyProtection="0"/>
    <xf numFmtId="0" fontId="47" fillId="11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68" applyNumberFormat="0" applyAlignment="0" applyProtection="0"/>
    <xf numFmtId="0" fontId="50" fillId="14" borderId="69" applyNumberFormat="0" applyAlignment="0" applyProtection="0"/>
    <xf numFmtId="0" fontId="51" fillId="14" borderId="68" applyNumberFormat="0" applyAlignment="0" applyProtection="0"/>
    <xf numFmtId="0" fontId="52" fillId="0" borderId="70" applyNumberFormat="0" applyFill="0" applyAlignment="0" applyProtection="0"/>
    <xf numFmtId="0" fontId="53" fillId="15" borderId="71" applyNumberFormat="0" applyAlignment="0" applyProtection="0"/>
    <xf numFmtId="0" fontId="20" fillId="0" borderId="0" applyNumberFormat="0" applyFill="0" applyBorder="0" applyAlignment="0" applyProtection="0"/>
    <xf numFmtId="0" fontId="3" fillId="0" borderId="72" applyNumberFormat="0" applyFill="0" applyAlignment="0" applyProtection="0"/>
    <xf numFmtId="0" fontId="5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</cellStyleXfs>
  <cellXfs count="8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Fill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 wrapText="1"/>
    </xf>
    <xf numFmtId="165" fontId="2" fillId="0" borderId="3" xfId="1" applyNumberFormat="1" applyFont="1" applyBorder="1"/>
    <xf numFmtId="164" fontId="2" fillId="0" borderId="3" xfId="1" applyNumberFormat="1" applyFont="1" applyBorder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3" fontId="2" fillId="0" borderId="10" xfId="1" applyNumberFormat="1" applyFont="1" applyBorder="1"/>
    <xf numFmtId="165" fontId="2" fillId="0" borderId="15" xfId="1" applyNumberFormat="1" applyFont="1" applyBorder="1"/>
    <xf numFmtId="0" fontId="3" fillId="0" borderId="0" xfId="0" applyFont="1" applyAlignment="1" applyProtection="1">
      <alignment wrapText="1"/>
      <protection locked="0"/>
    </xf>
    <xf numFmtId="0" fontId="0" fillId="0" borderId="0" xfId="0" applyProtection="1">
      <protection hidden="1"/>
    </xf>
    <xf numFmtId="0" fontId="9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170" fontId="10" fillId="0" borderId="3" xfId="3" applyNumberFormat="1" applyFont="1" applyBorder="1" applyProtection="1">
      <protection hidden="1"/>
    </xf>
    <xf numFmtId="0" fontId="11" fillId="0" borderId="3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3" fillId="4" borderId="17" xfId="0" applyFont="1" applyFill="1" applyBorder="1" applyProtection="1">
      <protection hidden="1"/>
    </xf>
    <xf numFmtId="0" fontId="3" fillId="4" borderId="18" xfId="0" applyFont="1" applyFill="1" applyBorder="1" applyAlignment="1" applyProtection="1">
      <alignment horizontal="center" wrapText="1"/>
      <protection hidden="1"/>
    </xf>
    <xf numFmtId="0" fontId="3" fillId="4" borderId="18" xfId="0" applyFont="1" applyFill="1" applyBorder="1" applyAlignment="1" applyProtection="1">
      <alignment wrapText="1"/>
      <protection hidden="1"/>
    </xf>
    <xf numFmtId="0" fontId="3" fillId="4" borderId="19" xfId="0" applyFont="1" applyFill="1" applyBorder="1" applyAlignment="1" applyProtection="1">
      <alignment wrapText="1"/>
      <protection hidden="1"/>
    </xf>
    <xf numFmtId="0" fontId="0" fillId="4" borderId="3" xfId="0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3" fillId="4" borderId="9" xfId="0" applyFont="1" applyFill="1" applyBorder="1" applyProtection="1">
      <protection hidden="1"/>
    </xf>
    <xf numFmtId="164" fontId="2" fillId="4" borderId="10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169" fontId="2" fillId="0" borderId="0" xfId="2" applyNumberFormat="1" applyFont="1" applyBorder="1" applyProtection="1">
      <protection hidden="1"/>
    </xf>
    <xf numFmtId="0" fontId="3" fillId="4" borderId="11" xfId="0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166" fontId="0" fillId="4" borderId="12" xfId="0" applyNumberFormat="1" applyFill="1" applyBorder="1" applyProtection="1">
      <protection hidden="1"/>
    </xf>
    <xf numFmtId="164" fontId="2" fillId="4" borderId="13" xfId="1" applyNumberFormat="1" applyFont="1" applyFill="1" applyBorder="1" applyProtection="1">
      <protection hidden="1"/>
    </xf>
    <xf numFmtId="5" fontId="0" fillId="4" borderId="3" xfId="0" applyNumberFormat="1" applyFill="1" applyBorder="1" applyProtection="1">
      <protection hidden="1"/>
    </xf>
    <xf numFmtId="5" fontId="0" fillId="0" borderId="0" xfId="0" applyNumberFormat="1" applyBorder="1" applyProtection="1"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171" fontId="0" fillId="4" borderId="3" xfId="0" applyNumberFormat="1" applyFill="1" applyBorder="1" applyProtection="1">
      <protection hidden="1"/>
    </xf>
    <xf numFmtId="169" fontId="0" fillId="4" borderId="3" xfId="0" applyNumberFormat="1" applyFill="1" applyBorder="1" applyProtection="1">
      <protection hidden="1"/>
    </xf>
    <xf numFmtId="169" fontId="0" fillId="0" borderId="0" xfId="0" applyNumberFormat="1" applyBorder="1" applyProtection="1">
      <protection hidden="1"/>
    </xf>
    <xf numFmtId="0" fontId="0" fillId="4" borderId="0" xfId="0" applyFill="1" applyProtection="1">
      <protection hidden="1"/>
    </xf>
    <xf numFmtId="6" fontId="0" fillId="4" borderId="0" xfId="0" applyNumberFormat="1" applyFill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43" fontId="2" fillId="0" borderId="0" xfId="1" applyNumberFormat="1" applyFont="1" applyProtection="1">
      <protection hidden="1"/>
    </xf>
    <xf numFmtId="9" fontId="0" fillId="4" borderId="3" xfId="0" applyNumberFormat="1" applyFill="1" applyBorder="1" applyProtection="1">
      <protection hidden="1"/>
    </xf>
    <xf numFmtId="0" fontId="13" fillId="0" borderId="3" xfId="0" applyFont="1" applyFill="1" applyBorder="1" applyProtection="1">
      <protection hidden="1"/>
    </xf>
    <xf numFmtId="0" fontId="3" fillId="4" borderId="17" xfId="0" applyFont="1" applyFill="1" applyBorder="1" applyAlignment="1" applyProtection="1">
      <alignment horizontal="center"/>
      <protection hidden="1"/>
    </xf>
    <xf numFmtId="2" fontId="0" fillId="4" borderId="3" xfId="0" applyNumberFormat="1" applyFill="1" applyBorder="1" applyProtection="1">
      <protection hidden="1"/>
    </xf>
    <xf numFmtId="167" fontId="0" fillId="4" borderId="3" xfId="0" applyNumberFormat="1" applyFill="1" applyBorder="1" applyProtection="1">
      <protection hidden="1"/>
    </xf>
    <xf numFmtId="1" fontId="0" fillId="4" borderId="3" xfId="0" applyNumberFormat="1" applyFill="1" applyBorder="1" applyProtection="1">
      <protection hidden="1"/>
    </xf>
    <xf numFmtId="2" fontId="0" fillId="4" borderId="12" xfId="0" applyNumberFormat="1" applyFill="1" applyBorder="1" applyProtection="1">
      <protection hidden="1"/>
    </xf>
    <xf numFmtId="167" fontId="0" fillId="4" borderId="12" xfId="0" applyNumberFormat="1" applyFill="1" applyBorder="1" applyProtection="1">
      <protection hidden="1"/>
    </xf>
    <xf numFmtId="1" fontId="0" fillId="4" borderId="12" xfId="0" applyNumberFormat="1" applyFill="1" applyBorder="1" applyProtection="1">
      <protection hidden="1"/>
    </xf>
    <xf numFmtId="0" fontId="3" fillId="4" borderId="9" xfId="0" applyFont="1" applyFill="1" applyBorder="1" applyAlignment="1" applyProtection="1">
      <alignment wrapText="1"/>
      <protection hidden="1"/>
    </xf>
    <xf numFmtId="169" fontId="8" fillId="4" borderId="3" xfId="2" applyNumberFormat="1" applyFont="1" applyFill="1" applyBorder="1" applyProtection="1">
      <protection hidden="1"/>
    </xf>
    <xf numFmtId="169" fontId="8" fillId="4" borderId="3" xfId="0" applyNumberFormat="1" applyFont="1" applyFill="1" applyBorder="1" applyProtection="1">
      <protection hidden="1"/>
    </xf>
    <xf numFmtId="9" fontId="0" fillId="0" borderId="0" xfId="0" applyNumberFormat="1" applyFill="1" applyProtection="1">
      <protection locked="0"/>
    </xf>
    <xf numFmtId="0" fontId="8" fillId="0" borderId="0" xfId="0" applyFont="1" applyProtection="1">
      <protection hidden="1"/>
    </xf>
    <xf numFmtId="44" fontId="2" fillId="4" borderId="3" xfId="2" applyNumberFormat="1" applyFont="1" applyFill="1" applyBorder="1" applyProtection="1">
      <protection hidden="1"/>
    </xf>
    <xf numFmtId="169" fontId="8" fillId="0" borderId="0" xfId="2" applyNumberFormat="1" applyFont="1" applyBorder="1" applyProtection="1">
      <protection hidden="1"/>
    </xf>
    <xf numFmtId="169" fontId="8" fillId="0" borderId="0" xfId="0" applyNumberFormat="1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Border="1" applyProtection="1">
      <protection hidden="1"/>
    </xf>
    <xf numFmtId="169" fontId="2" fillId="4" borderId="3" xfId="2" applyNumberFormat="1" applyFont="1" applyFill="1" applyBorder="1" applyProtection="1">
      <protection hidden="1"/>
    </xf>
    <xf numFmtId="170" fontId="10" fillId="0" borderId="0" xfId="3" applyNumberFormat="1" applyFont="1" applyBorder="1" applyProtection="1">
      <protection hidden="1"/>
    </xf>
    <xf numFmtId="0" fontId="0" fillId="4" borderId="3" xfId="0" applyFill="1" applyBorder="1" applyAlignment="1" applyProtection="1">
      <alignment wrapText="1"/>
      <protection hidden="1"/>
    </xf>
    <xf numFmtId="169" fontId="2" fillId="4" borderId="3" xfId="2" applyNumberFormat="1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164" fontId="2" fillId="0" borderId="23" xfId="1" applyNumberFormat="1" applyFont="1" applyBorder="1" applyProtection="1">
      <protection hidden="1"/>
    </xf>
    <xf numFmtId="0" fontId="0" fillId="0" borderId="23" xfId="0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9" fontId="3" fillId="0" borderId="0" xfId="0" applyNumberFormat="1" applyFont="1" applyBorder="1" applyProtection="1">
      <protection hidden="1"/>
    </xf>
    <xf numFmtId="0" fontId="3" fillId="0" borderId="0" xfId="0" applyFont="1" applyBorder="1" applyProtection="1">
      <protection hidden="1"/>
    </xf>
    <xf numFmtId="167" fontId="3" fillId="0" borderId="0" xfId="0" applyNumberFormat="1" applyFont="1" applyBorder="1" applyProtection="1">
      <protection hidden="1"/>
    </xf>
    <xf numFmtId="43" fontId="2" fillId="0" borderId="24" xfId="1" applyNumberFormat="1" applyFont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1" xfId="0" applyBorder="1" applyAlignment="1" applyProtection="1">
      <alignment wrapText="1"/>
      <protection locked="0"/>
    </xf>
    <xf numFmtId="0" fontId="3" fillId="0" borderId="23" xfId="0" applyFont="1" applyFill="1" applyBorder="1" applyAlignment="1" applyProtection="1">
      <alignment horizontal="right"/>
      <protection hidden="1"/>
    </xf>
    <xf numFmtId="0" fontId="3" fillId="0" borderId="23" xfId="0" applyFont="1" applyBorder="1" applyProtection="1">
      <protection hidden="1"/>
    </xf>
    <xf numFmtId="0" fontId="3" fillId="0" borderId="25" xfId="0" applyFont="1" applyBorder="1" applyProtection="1">
      <protection hidden="1"/>
    </xf>
    <xf numFmtId="164" fontId="3" fillId="0" borderId="0" xfId="1" applyNumberFormat="1" applyFont="1" applyFill="1" applyBorder="1" applyProtection="1">
      <protection hidden="1"/>
    </xf>
    <xf numFmtId="0" fontId="3" fillId="0" borderId="26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12" fillId="0" borderId="24" xfId="0" applyFont="1" applyBorder="1" applyAlignment="1" applyProtection="1">
      <alignment horizontal="right"/>
      <protection hidden="1"/>
    </xf>
    <xf numFmtId="0" fontId="0" fillId="0" borderId="27" xfId="0" applyBorder="1" applyProtection="1">
      <protection hidden="1"/>
    </xf>
    <xf numFmtId="1" fontId="3" fillId="0" borderId="0" xfId="0" applyNumberFormat="1" applyFont="1" applyFill="1" applyBorder="1" applyProtection="1">
      <protection hidden="1"/>
    </xf>
    <xf numFmtId="1" fontId="0" fillId="0" borderId="0" xfId="0" applyNumberFormat="1" applyFill="1" applyBorder="1" applyProtection="1">
      <protection hidden="1"/>
    </xf>
    <xf numFmtId="2" fontId="3" fillId="0" borderId="23" xfId="0" applyNumberFormat="1" applyFon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167" fontId="0" fillId="0" borderId="0" xfId="0" applyNumberFormat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9" xfId="0" applyFill="1" applyBorder="1" applyProtection="1">
      <protection hidden="1"/>
    </xf>
    <xf numFmtId="0" fontId="0" fillId="0" borderId="26" xfId="0" applyFill="1" applyBorder="1" applyProtection="1">
      <protection hidden="1"/>
    </xf>
    <xf numFmtId="0" fontId="0" fillId="0" borderId="29" xfId="0" applyFill="1" applyBorder="1" applyAlignment="1" applyProtection="1">
      <alignment horizontal="right"/>
      <protection hidden="1"/>
    </xf>
    <xf numFmtId="0" fontId="0" fillId="0" borderId="26" xfId="0" applyFill="1" applyBorder="1" applyAlignment="1" applyProtection="1">
      <alignment horizontal="right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0" fontId="0" fillId="0" borderId="0" xfId="0" applyAlignment="1" applyProtection="1">
      <alignment wrapText="1"/>
      <protection hidden="1"/>
    </xf>
    <xf numFmtId="0" fontId="0" fillId="0" borderId="28" xfId="0" applyFill="1" applyBorder="1" applyProtection="1">
      <protection hidden="1"/>
    </xf>
    <xf numFmtId="0" fontId="0" fillId="0" borderId="30" xfId="0" applyFill="1" applyBorder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28" xfId="0" applyFill="1" applyBorder="1" applyAlignment="1" applyProtection="1">
      <alignment wrapText="1"/>
      <protection hidden="1"/>
    </xf>
    <xf numFmtId="0" fontId="0" fillId="0" borderId="28" xfId="0" applyFill="1" applyBorder="1" applyAlignment="1" applyProtection="1">
      <alignment horizontal="right"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 wrapText="1"/>
      <protection hidden="1"/>
    </xf>
    <xf numFmtId="169" fontId="2" fillId="0" borderId="0" xfId="2" applyNumberFormat="1" applyFont="1" applyFill="1" applyProtection="1">
      <protection hidden="1"/>
    </xf>
    <xf numFmtId="0" fontId="0" fillId="0" borderId="29" xfId="0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Alignment="1" applyProtection="1">
      <alignment horizontal="left"/>
      <protection hidden="1"/>
    </xf>
    <xf numFmtId="0" fontId="0" fillId="0" borderId="30" xfId="0" applyFill="1" applyBorder="1" applyAlignment="1" applyProtection="1">
      <alignment horizontal="left"/>
      <protection hidden="1"/>
    </xf>
    <xf numFmtId="0" fontId="0" fillId="0" borderId="27" xfId="0" applyFill="1" applyBorder="1" applyAlignment="1" applyProtection="1">
      <alignment horizontal="left"/>
      <protection hidden="1"/>
    </xf>
    <xf numFmtId="0" fontId="0" fillId="0" borderId="27" xfId="0" applyFill="1" applyBorder="1" applyProtection="1">
      <protection hidden="1"/>
    </xf>
    <xf numFmtId="43" fontId="0" fillId="4" borderId="3" xfId="0" applyNumberFormat="1" applyFill="1" applyBorder="1" applyProtection="1">
      <protection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 applyProtection="1">
      <protection hidden="1"/>
    </xf>
    <xf numFmtId="0" fontId="14" fillId="0" borderId="4" xfId="0" applyFont="1" applyFill="1" applyBorder="1" applyAlignment="1" applyProtection="1">
      <protection locked="0"/>
    </xf>
    <xf numFmtId="0" fontId="15" fillId="0" borderId="1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4" fillId="0" borderId="0" xfId="0" applyFont="1" applyProtection="1">
      <protection hidden="1"/>
    </xf>
    <xf numFmtId="0" fontId="25" fillId="6" borderId="42" xfId="5" applyFont="1" applyFill="1" applyBorder="1" applyAlignment="1">
      <alignment horizontal="center"/>
    </xf>
    <xf numFmtId="0" fontId="25" fillId="0" borderId="43" xfId="5" applyFont="1" applyFill="1" applyBorder="1" applyAlignment="1"/>
    <xf numFmtId="0" fontId="25" fillId="0" borderId="43" xfId="5" applyFont="1" applyFill="1" applyBorder="1" applyAlignment="1">
      <alignment horizontal="right"/>
    </xf>
    <xf numFmtId="0" fontId="3" fillId="0" borderId="31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/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3" fillId="0" borderId="0" xfId="4"/>
    <xf numFmtId="0" fontId="20" fillId="0" borderId="0" xfId="0" applyFont="1" applyAlignment="1">
      <alignment horizontal="center"/>
    </xf>
    <xf numFmtId="166" fontId="20" fillId="0" borderId="0" xfId="0" applyNumberFormat="1" applyFont="1"/>
    <xf numFmtId="0" fontId="25" fillId="0" borderId="0" xfId="5" applyFont="1" applyFill="1" applyBorder="1" applyAlignment="1"/>
    <xf numFmtId="0" fontId="26" fillId="0" borderId="43" xfId="5" applyFont="1" applyFill="1" applyBorder="1" applyAlignment="1">
      <alignment horizontal="right"/>
    </xf>
    <xf numFmtId="173" fontId="0" fillId="4" borderId="12" xfId="0" applyNumberFormat="1" applyFill="1" applyBorder="1" applyProtection="1">
      <protection hidden="1"/>
    </xf>
    <xf numFmtId="173" fontId="0" fillId="4" borderId="3" xfId="0" applyNumberFormat="1" applyFill="1" applyBorder="1" applyProtection="1">
      <protection hidden="1"/>
    </xf>
    <xf numFmtId="168" fontId="3" fillId="0" borderId="0" xfId="0" applyNumberFormat="1" applyFont="1" applyBorder="1" applyProtection="1">
      <protection hidden="1"/>
    </xf>
    <xf numFmtId="0" fontId="0" fillId="3" borderId="32" xfId="0" applyFill="1" applyBorder="1" applyAlignment="1" applyProtection="1">
      <alignment horizontal="right"/>
      <protection locked="0"/>
    </xf>
    <xf numFmtId="173" fontId="25" fillId="0" borderId="43" xfId="5" applyNumberFormat="1" applyFont="1" applyFill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hidden="1"/>
    </xf>
    <xf numFmtId="43" fontId="2" fillId="0" borderId="0" xfId="1" applyNumberFormat="1" applyFont="1" applyBorder="1" applyProtection="1">
      <protection hidden="1"/>
    </xf>
    <xf numFmtId="0" fontId="0" fillId="0" borderId="28" xfId="0" applyFont="1" applyFill="1" applyBorder="1" applyProtection="1">
      <protection hidden="1"/>
    </xf>
    <xf numFmtId="0" fontId="0" fillId="0" borderId="29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167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6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0" fillId="0" borderId="26" xfId="0" applyFont="1" applyBorder="1" applyProtection="1">
      <protection hidden="1"/>
    </xf>
    <xf numFmtId="0" fontId="0" fillId="0" borderId="29" xfId="0" applyFont="1" applyFill="1" applyBorder="1" applyAlignment="1" applyProtection="1">
      <alignment horizontal="right"/>
      <protection hidden="1"/>
    </xf>
    <xf numFmtId="0" fontId="0" fillId="0" borderId="30" xfId="0" applyFont="1" applyFill="1" applyBorder="1" applyProtection="1">
      <protection hidden="1"/>
    </xf>
    <xf numFmtId="43" fontId="0" fillId="0" borderId="24" xfId="1" applyNumberFormat="1" applyFont="1" applyBorder="1" applyProtection="1">
      <protection hidden="1"/>
    </xf>
    <xf numFmtId="0" fontId="0" fillId="0" borderId="24" xfId="0" applyFont="1" applyBorder="1" applyProtection="1">
      <protection hidden="1"/>
    </xf>
    <xf numFmtId="0" fontId="0" fillId="0" borderId="27" xfId="0" applyFont="1" applyBorder="1" applyProtection="1">
      <protection hidden="1"/>
    </xf>
    <xf numFmtId="0" fontId="0" fillId="0" borderId="29" xfId="0" applyFont="1" applyBorder="1" applyProtection="1"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167" fontId="0" fillId="0" borderId="0" xfId="0" applyNumberFormat="1" applyFill="1" applyBorder="1" applyProtection="1">
      <protection hidden="1"/>
    </xf>
    <xf numFmtId="44" fontId="2" fillId="0" borderId="0" xfId="2" applyNumberFormat="1" applyFont="1" applyFill="1" applyBorder="1" applyProtection="1">
      <protection hidden="1"/>
    </xf>
    <xf numFmtId="0" fontId="0" fillId="0" borderId="45" xfId="6" applyFont="1" applyFill="1"/>
    <xf numFmtId="0" fontId="0" fillId="0" borderId="0" xfId="6" applyFont="1" applyFill="1" applyBorder="1"/>
    <xf numFmtId="164" fontId="0" fillId="0" borderId="0" xfId="1" applyNumberFormat="1" applyFont="1" applyFill="1" applyBorder="1" applyProtection="1">
      <protection hidden="1"/>
    </xf>
    <xf numFmtId="0" fontId="14" fillId="0" borderId="46" xfId="0" applyFont="1" applyFill="1" applyBorder="1" applyAlignment="1" applyProtection="1">
      <alignment horizontal="right"/>
      <protection locked="0"/>
    </xf>
    <xf numFmtId="0" fontId="18" fillId="0" borderId="46" xfId="0" applyFont="1" applyFill="1" applyBorder="1" applyAlignment="1">
      <alignment horizontal="right" wrapText="1"/>
    </xf>
    <xf numFmtId="0" fontId="18" fillId="0" borderId="47" xfId="0" applyFont="1" applyFill="1" applyBorder="1" applyAlignment="1">
      <alignment horizontal="right" wrapText="1"/>
    </xf>
    <xf numFmtId="0" fontId="18" fillId="0" borderId="22" xfId="0" applyFont="1" applyFill="1" applyBorder="1" applyAlignment="1">
      <alignment horizontal="right" wrapText="1"/>
    </xf>
    <xf numFmtId="0" fontId="0" fillId="0" borderId="24" xfId="0" applyFill="1" applyBorder="1" applyAlignment="1" applyProtection="1">
      <alignment horizontal="right"/>
      <protection hidden="1"/>
    </xf>
    <xf numFmtId="0" fontId="0" fillId="0" borderId="48" xfId="0" applyBorder="1" applyAlignment="1" applyProtection="1">
      <alignment horizontal="right"/>
      <protection locked="0"/>
    </xf>
    <xf numFmtId="0" fontId="0" fillId="0" borderId="49" xfId="0" applyBorder="1" applyAlignment="1" applyProtection="1">
      <alignment horizontal="right"/>
      <protection locked="0"/>
    </xf>
    <xf numFmtId="0" fontId="0" fillId="8" borderId="50" xfId="0" applyFill="1" applyBorder="1" applyProtection="1">
      <protection locked="0"/>
    </xf>
    <xf numFmtId="0" fontId="0" fillId="8" borderId="51" xfId="0" applyFill="1" applyBorder="1" applyAlignment="1">
      <alignment horizontal="center" wrapText="1"/>
    </xf>
    <xf numFmtId="0" fontId="0" fillId="8" borderId="52" xfId="0" applyFill="1" applyBorder="1" applyAlignment="1">
      <alignment horizontal="center" wrapText="1"/>
    </xf>
    <xf numFmtId="165" fontId="2" fillId="0" borderId="23" xfId="1" applyNumberFormat="1" applyFont="1" applyBorder="1"/>
    <xf numFmtId="164" fontId="0" fillId="0" borderId="0" xfId="0" applyNumberFormat="1" applyProtection="1">
      <protection hidden="1"/>
    </xf>
    <xf numFmtId="0" fontId="0" fillId="2" borderId="26" xfId="0" applyFill="1" applyBorder="1" applyProtection="1">
      <protection locked="0"/>
    </xf>
    <xf numFmtId="0" fontId="0" fillId="2" borderId="39" xfId="0" applyFill="1" applyBorder="1" applyAlignment="1" applyProtection="1">
      <alignment horizontal="right"/>
      <protection locked="0"/>
    </xf>
    <xf numFmtId="169" fontId="0" fillId="2" borderId="26" xfId="2" applyNumberFormat="1" applyFont="1" applyFill="1" applyBorder="1" applyProtection="1">
      <protection locked="0"/>
    </xf>
    <xf numFmtId="169" fontId="0" fillId="2" borderId="39" xfId="2" applyNumberFormat="1" applyFont="1" applyFill="1" applyBorder="1" applyProtection="1">
      <protection locked="0"/>
    </xf>
    <xf numFmtId="169" fontId="0" fillId="2" borderId="27" xfId="2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169" fontId="29" fillId="0" borderId="0" xfId="2" applyNumberFormat="1" applyFont="1" applyFill="1" applyBorder="1" applyProtection="1">
      <protection locked="0"/>
    </xf>
    <xf numFmtId="1" fontId="14" fillId="0" borderId="46" xfId="0" applyNumberFormat="1" applyFont="1" applyFill="1" applyBorder="1" applyAlignment="1" applyProtection="1">
      <alignment horizontal="right"/>
      <protection locked="0"/>
    </xf>
    <xf numFmtId="0" fontId="14" fillId="0" borderId="21" xfId="0" applyFont="1" applyFill="1" applyBorder="1" applyAlignment="1" applyProtection="1">
      <alignment horizontal="right"/>
      <protection locked="0"/>
    </xf>
    <xf numFmtId="0" fontId="32" fillId="0" borderId="0" xfId="0" applyFont="1"/>
    <xf numFmtId="2" fontId="0" fillId="0" borderId="24" xfId="0" applyNumberFormat="1" applyFill="1" applyBorder="1" applyProtection="1">
      <protection hidden="1"/>
    </xf>
    <xf numFmtId="43" fontId="2" fillId="0" borderId="0" xfId="1" applyFont="1" applyFill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173" fontId="0" fillId="0" borderId="0" xfId="0" applyNumberFormat="1" applyFill="1" applyProtection="1">
      <protection hidden="1"/>
    </xf>
    <xf numFmtId="44" fontId="2" fillId="0" borderId="0" xfId="2" applyFont="1" applyFill="1" applyProtection="1">
      <protection hidden="1"/>
    </xf>
    <xf numFmtId="44" fontId="2" fillId="0" borderId="0" xfId="2" applyNumberFormat="1" applyFont="1" applyFill="1" applyProtection="1">
      <protection hidden="1"/>
    </xf>
    <xf numFmtId="172" fontId="2" fillId="0" borderId="0" xfId="2" applyNumberFormat="1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" xfId="0" applyBorder="1" applyAlignment="1" applyProtection="1">
      <alignment horizontal="right"/>
      <protection hidden="1"/>
    </xf>
    <xf numFmtId="164" fontId="0" fillId="0" borderId="3" xfId="1" applyNumberFormat="1" applyFont="1" applyBorder="1" applyProtection="1">
      <protection hidden="1"/>
    </xf>
    <xf numFmtId="43" fontId="13" fillId="0" borderId="3" xfId="1" applyFont="1" applyFill="1" applyBorder="1" applyAlignment="1" applyProtection="1">
      <alignment horizontal="left"/>
      <protection hidden="1"/>
    </xf>
    <xf numFmtId="164" fontId="17" fillId="0" borderId="3" xfId="0" applyNumberFormat="1" applyFont="1" applyFill="1" applyBorder="1" applyAlignment="1" applyProtection="1">
      <alignment horizontal="left"/>
      <protection hidden="1"/>
    </xf>
    <xf numFmtId="43" fontId="13" fillId="0" borderId="5" xfId="1" applyFont="1" applyFill="1" applyBorder="1" applyAlignment="1" applyProtection="1">
      <alignment horizontal="left"/>
      <protection hidden="1"/>
    </xf>
    <xf numFmtId="3" fontId="0" fillId="0" borderId="3" xfId="0" applyNumberFormat="1" applyBorder="1" applyProtection="1">
      <protection hidden="1"/>
    </xf>
    <xf numFmtId="2" fontId="13" fillId="0" borderId="3" xfId="0" applyNumberFormat="1" applyFont="1" applyFill="1" applyBorder="1" applyProtection="1">
      <protection hidden="1"/>
    </xf>
    <xf numFmtId="0" fontId="17" fillId="0" borderId="3" xfId="0" applyFont="1" applyFill="1" applyBorder="1" applyAlignment="1" applyProtection="1">
      <alignment horizontal="left"/>
      <protection hidden="1"/>
    </xf>
    <xf numFmtId="44" fontId="13" fillId="0" borderId="3" xfId="2" applyFont="1" applyFill="1" applyBorder="1" applyAlignment="1" applyProtection="1">
      <alignment horizontal="left"/>
      <protection hidden="1"/>
    </xf>
    <xf numFmtId="44" fontId="13" fillId="0" borderId="3" xfId="2" applyFont="1" applyFill="1" applyBorder="1" applyProtection="1">
      <protection hidden="1"/>
    </xf>
    <xf numFmtId="44" fontId="2" fillId="0" borderId="3" xfId="2" applyFont="1" applyBorder="1" applyProtection="1">
      <protection hidden="1"/>
    </xf>
    <xf numFmtId="0" fontId="13" fillId="5" borderId="3" xfId="0" applyFont="1" applyFill="1" applyBorder="1" applyAlignment="1" applyProtection="1">
      <alignment horizontal="right" wrapText="1"/>
      <protection hidden="1"/>
    </xf>
    <xf numFmtId="44" fontId="13" fillId="5" borderId="3" xfId="2" applyFont="1" applyFill="1" applyBorder="1" applyAlignment="1" applyProtection="1">
      <alignment horizontal="right" wrapText="1"/>
      <protection hidden="1"/>
    </xf>
    <xf numFmtId="44" fontId="13" fillId="0" borderId="3" xfId="2" applyFont="1" applyFill="1" applyBorder="1" applyAlignment="1" applyProtection="1">
      <alignment wrapText="1"/>
      <protection hidden="1"/>
    </xf>
    <xf numFmtId="165" fontId="13" fillId="5" borderId="3" xfId="0" applyNumberFormat="1" applyFont="1" applyFill="1" applyBorder="1" applyAlignment="1" applyProtection="1">
      <alignment horizontal="right" wrapText="1"/>
      <protection hidden="1"/>
    </xf>
    <xf numFmtId="43" fontId="13" fillId="0" borderId="3" xfId="1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44" fontId="13" fillId="0" borderId="0" xfId="2" applyFont="1" applyFill="1" applyBorder="1" applyProtection="1">
      <protection hidden="1"/>
    </xf>
    <xf numFmtId="43" fontId="13" fillId="0" borderId="0" xfId="1" applyFont="1" applyFill="1" applyBorder="1" applyProtection="1">
      <protection hidden="1"/>
    </xf>
    <xf numFmtId="172" fontId="0" fillId="0" borderId="3" xfId="2" applyNumberFormat="1" applyFont="1" applyBorder="1" applyProtection="1">
      <protection hidden="1"/>
    </xf>
    <xf numFmtId="167" fontId="0" fillId="0" borderId="3" xfId="0" applyNumberFormat="1" applyBorder="1" applyProtection="1">
      <protection hidden="1"/>
    </xf>
    <xf numFmtId="164" fontId="3" fillId="5" borderId="40" xfId="1" applyNumberFormat="1" applyFont="1" applyFill="1" applyBorder="1" applyAlignment="1" applyProtection="1">
      <alignment horizontal="right"/>
      <protection locked="0"/>
    </xf>
    <xf numFmtId="0" fontId="0" fillId="4" borderId="17" xfId="0" applyFill="1" applyBorder="1" applyProtection="1">
      <protection hidden="1"/>
    </xf>
    <xf numFmtId="0" fontId="1" fillId="4" borderId="18" xfId="0" applyFont="1" applyFill="1" applyBorder="1" applyProtection="1">
      <protection hidden="1"/>
    </xf>
    <xf numFmtId="0" fontId="1" fillId="4" borderId="19" xfId="0" applyFont="1" applyFill="1" applyBorder="1" applyProtection="1">
      <protection hidden="1"/>
    </xf>
    <xf numFmtId="0" fontId="0" fillId="4" borderId="9" xfId="0" applyFill="1" applyBorder="1" applyProtection="1">
      <protection hidden="1"/>
    </xf>
    <xf numFmtId="169" fontId="2" fillId="4" borderId="9" xfId="2" applyNumberFormat="1" applyFont="1" applyFill="1" applyBorder="1" applyProtection="1">
      <protection hidden="1"/>
    </xf>
    <xf numFmtId="0" fontId="0" fillId="4" borderId="30" xfId="0" applyFill="1" applyBorder="1" applyProtection="1">
      <protection hidden="1"/>
    </xf>
    <xf numFmtId="0" fontId="9" fillId="0" borderId="0" xfId="0" applyFont="1" applyBorder="1" applyProtection="1">
      <protection hidden="1"/>
    </xf>
    <xf numFmtId="0" fontId="14" fillId="5" borderId="40" xfId="0" applyFont="1" applyFill="1" applyBorder="1" applyAlignment="1" applyProtection="1">
      <protection locked="0"/>
    </xf>
    <xf numFmtId="0" fontId="0" fillId="4" borderId="0" xfId="0" applyFill="1" applyBorder="1" applyProtection="1">
      <protection hidden="1"/>
    </xf>
    <xf numFmtId="0" fontId="3" fillId="0" borderId="50" xfId="0" applyFont="1" applyBorder="1" applyProtection="1">
      <protection locked="0"/>
    </xf>
    <xf numFmtId="0" fontId="3" fillId="0" borderId="3" xfId="0" applyFont="1" applyBorder="1" applyProtection="1">
      <protection locked="0"/>
    </xf>
    <xf numFmtId="43" fontId="2" fillId="0" borderId="52" xfId="1" applyNumberFormat="1" applyFont="1" applyBorder="1"/>
    <xf numFmtId="0" fontId="34" fillId="0" borderId="0" xfId="5" applyFont="1" applyFill="1" applyBorder="1" applyAlignment="1">
      <alignment wrapText="1"/>
    </xf>
    <xf numFmtId="9" fontId="2" fillId="0" borderId="0" xfId="3" applyFont="1"/>
    <xf numFmtId="0" fontId="2" fillId="0" borderId="0" xfId="0" applyFont="1"/>
    <xf numFmtId="1" fontId="3" fillId="0" borderId="26" xfId="0" applyNumberFormat="1" applyFont="1" applyFill="1" applyBorder="1" applyAlignment="1" applyProtection="1">
      <alignment horizontal="right"/>
      <protection locked="0"/>
    </xf>
    <xf numFmtId="1" fontId="3" fillId="2" borderId="35" xfId="2" applyNumberFormat="1" applyFont="1" applyFill="1" applyBorder="1" applyAlignment="1" applyProtection="1">
      <alignment horizontal="right"/>
      <protection locked="0"/>
    </xf>
    <xf numFmtId="2" fontId="2" fillId="0" borderId="3" xfId="1" applyNumberFormat="1" applyFont="1" applyBorder="1"/>
    <xf numFmtId="165" fontId="2" fillId="0" borderId="51" xfId="1" applyNumberFormat="1" applyFont="1" applyBorder="1"/>
    <xf numFmtId="0" fontId="36" fillId="0" borderId="43" xfId="5" applyFont="1" applyFill="1" applyBorder="1" applyAlignment="1"/>
    <xf numFmtId="0" fontId="36" fillId="0" borderId="43" xfId="5" applyFont="1" applyFill="1" applyBorder="1" applyAlignment="1">
      <alignment horizontal="right"/>
    </xf>
    <xf numFmtId="0" fontId="36" fillId="0" borderId="0" xfId="5" applyFont="1" applyFill="1" applyBorder="1" applyAlignment="1"/>
    <xf numFmtId="0" fontId="25" fillId="6" borderId="53" xfId="5" applyFont="1" applyFill="1" applyBorder="1" applyAlignment="1">
      <alignment horizontal="center"/>
    </xf>
    <xf numFmtId="165" fontId="0" fillId="4" borderId="3" xfId="0" applyNumberFormat="1" applyFill="1" applyBorder="1" applyProtection="1">
      <protection hidden="1"/>
    </xf>
    <xf numFmtId="165" fontId="0" fillId="4" borderId="12" xfId="0" applyNumberFormat="1" applyFill="1" applyBorder="1" applyProtection="1">
      <protection hidden="1"/>
    </xf>
    <xf numFmtId="164" fontId="0" fillId="4" borderId="3" xfId="0" applyNumberFormat="1" applyFill="1" applyBorder="1" applyProtection="1">
      <protection hidden="1"/>
    </xf>
    <xf numFmtId="164" fontId="0" fillId="4" borderId="12" xfId="0" applyNumberFormat="1" applyFill="1" applyBorder="1" applyProtection="1">
      <protection hidden="1"/>
    </xf>
    <xf numFmtId="169" fontId="8" fillId="0" borderId="0" xfId="2" applyNumberFormat="1" applyFont="1" applyFill="1" applyBorder="1" applyProtection="1">
      <protection hidden="1"/>
    </xf>
    <xf numFmtId="5" fontId="8" fillId="4" borderId="3" xfId="0" applyNumberFormat="1" applyFont="1" applyFill="1" applyBorder="1" applyProtection="1">
      <protection hidden="1"/>
    </xf>
    <xf numFmtId="5" fontId="8" fillId="0" borderId="0" xfId="0" applyNumberFormat="1" applyFont="1" applyFill="1" applyBorder="1" applyProtection="1">
      <protection hidden="1"/>
    </xf>
    <xf numFmtId="6" fontId="8" fillId="4" borderId="0" xfId="0" applyNumberFormat="1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8" fillId="4" borderId="3" xfId="0" applyFont="1" applyFill="1" applyBorder="1" applyProtection="1">
      <protection hidden="1"/>
    </xf>
    <xf numFmtId="37" fontId="8" fillId="4" borderId="3" xfId="2" applyNumberFormat="1" applyFont="1" applyFill="1" applyBorder="1" applyProtection="1">
      <protection hidden="1"/>
    </xf>
    <xf numFmtId="0" fontId="1" fillId="4" borderId="54" xfId="0" applyFont="1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8" fillId="4" borderId="18" xfId="0" applyFont="1" applyFill="1" applyBorder="1" applyProtection="1">
      <protection hidden="1"/>
    </xf>
    <xf numFmtId="0" fontId="8" fillId="4" borderId="10" xfId="0" applyFont="1" applyFill="1" applyBorder="1" applyProtection="1">
      <protection hidden="1"/>
    </xf>
    <xf numFmtId="0" fontId="8" fillId="4" borderId="33" xfId="0" applyFont="1" applyFill="1" applyBorder="1" applyProtection="1">
      <protection hidden="1"/>
    </xf>
    <xf numFmtId="169" fontId="8" fillId="4" borderId="10" xfId="2" applyNumberFormat="1" applyFont="1" applyFill="1" applyBorder="1" applyProtection="1">
      <protection hidden="1"/>
    </xf>
    <xf numFmtId="169" fontId="8" fillId="4" borderId="33" xfId="2" applyNumberFormat="1" applyFont="1" applyFill="1" applyBorder="1" applyProtection="1">
      <protection hidden="1"/>
    </xf>
    <xf numFmtId="5" fontId="8" fillId="4" borderId="10" xfId="0" applyNumberFormat="1" applyFont="1" applyFill="1" applyBorder="1" applyProtection="1">
      <protection hidden="1"/>
    </xf>
    <xf numFmtId="5" fontId="8" fillId="4" borderId="33" xfId="0" applyNumberFormat="1" applyFont="1" applyFill="1" applyBorder="1" applyProtection="1">
      <protection hidden="1"/>
    </xf>
    <xf numFmtId="171" fontId="8" fillId="4" borderId="12" xfId="0" applyNumberFormat="1" applyFont="1" applyFill="1" applyBorder="1" applyProtection="1">
      <protection hidden="1"/>
    </xf>
    <xf numFmtId="169" fontId="8" fillId="4" borderId="12" xfId="0" applyNumberFormat="1" applyFont="1" applyFill="1" applyBorder="1" applyProtection="1">
      <protection hidden="1"/>
    </xf>
    <xf numFmtId="169" fontId="8" fillId="4" borderId="13" xfId="0" applyNumberFormat="1" applyFont="1" applyFill="1" applyBorder="1" applyProtection="1">
      <protection hidden="1"/>
    </xf>
    <xf numFmtId="169" fontId="8" fillId="4" borderId="35" xfId="0" applyNumberFormat="1" applyFont="1" applyFill="1" applyBorder="1" applyProtection="1">
      <protection hidden="1"/>
    </xf>
    <xf numFmtId="0" fontId="8" fillId="4" borderId="24" xfId="0" applyFont="1" applyFill="1" applyBorder="1" applyProtection="1">
      <protection hidden="1"/>
    </xf>
    <xf numFmtId="6" fontId="8" fillId="4" borderId="24" xfId="0" applyNumberFormat="1" applyFont="1" applyFill="1" applyBorder="1" applyProtection="1">
      <protection hidden="1"/>
    </xf>
    <xf numFmtId="0" fontId="8" fillId="4" borderId="27" xfId="0" applyFont="1" applyFill="1" applyBorder="1" applyProtection="1">
      <protection hidden="1"/>
    </xf>
    <xf numFmtId="0" fontId="8" fillId="4" borderId="0" xfId="0" applyFont="1" applyFill="1" applyProtection="1">
      <protection hidden="1"/>
    </xf>
    <xf numFmtId="171" fontId="8" fillId="4" borderId="3" xfId="0" applyNumberFormat="1" applyFont="1" applyFill="1" applyBorder="1" applyProtection="1">
      <protection hidden="1"/>
    </xf>
    <xf numFmtId="169" fontId="8" fillId="4" borderId="10" xfId="0" applyNumberFormat="1" applyFont="1" applyFill="1" applyBorder="1" applyProtection="1">
      <protection hidden="1"/>
    </xf>
    <xf numFmtId="6" fontId="8" fillId="4" borderId="0" xfId="0" applyNumberFormat="1" applyFont="1" applyFill="1" applyProtection="1">
      <protection hidden="1"/>
    </xf>
    <xf numFmtId="168" fontId="8" fillId="4" borderId="3" xfId="2" applyNumberFormat="1" applyFont="1" applyFill="1" applyBorder="1" applyProtection="1">
      <protection hidden="1"/>
    </xf>
    <xf numFmtId="168" fontId="8" fillId="4" borderId="3" xfId="0" applyNumberFormat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5" fontId="8" fillId="0" borderId="0" xfId="0" applyNumberFormat="1" applyFont="1" applyBorder="1" applyProtection="1">
      <protection hidden="1"/>
    </xf>
    <xf numFmtId="0" fontId="0" fillId="4" borderId="1" xfId="0" applyFill="1" applyBorder="1" applyProtection="1">
      <protection hidden="1"/>
    </xf>
    <xf numFmtId="0" fontId="8" fillId="4" borderId="2" xfId="0" applyFont="1" applyFill="1" applyBorder="1" applyProtection="1">
      <protection hidden="1"/>
    </xf>
    <xf numFmtId="6" fontId="8" fillId="4" borderId="2" xfId="0" applyNumberFormat="1" applyFont="1" applyFill="1" applyBorder="1" applyProtection="1">
      <protection hidden="1"/>
    </xf>
    <xf numFmtId="0" fontId="8" fillId="4" borderId="4" xfId="0" applyFont="1" applyFill="1" applyBorder="1" applyProtection="1">
      <protection hidden="1"/>
    </xf>
    <xf numFmtId="170" fontId="37" fillId="0" borderId="0" xfId="3" applyNumberFormat="1" applyFont="1" applyBorder="1" applyProtection="1">
      <protection hidden="1"/>
    </xf>
    <xf numFmtId="164" fontId="8" fillId="4" borderId="3" xfId="1" applyNumberFormat="1" applyFont="1" applyFill="1" applyBorder="1" applyProtection="1">
      <protection hidden="1"/>
    </xf>
    <xf numFmtId="0" fontId="25" fillId="0" borderId="55" xfId="5" applyFont="1" applyFill="1" applyBorder="1" applyAlignment="1">
      <alignment horizontal="right"/>
    </xf>
    <xf numFmtId="44" fontId="8" fillId="4" borderId="3" xfId="2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38" fillId="0" borderId="0" xfId="0" applyFont="1" applyAlignment="1" applyProtection="1">
      <alignment horizontal="left" wrapText="1"/>
      <protection hidden="1"/>
    </xf>
    <xf numFmtId="0" fontId="38" fillId="0" borderId="0" xfId="0" applyFont="1" applyFill="1" applyAlignment="1" applyProtection="1">
      <alignment horizontal="left"/>
      <protection hidden="1"/>
    </xf>
    <xf numFmtId="2" fontId="3" fillId="0" borderId="0" xfId="0" applyNumberFormat="1" applyFont="1" applyBorder="1" applyProtection="1">
      <protection hidden="1"/>
    </xf>
    <xf numFmtId="43" fontId="0" fillId="0" borderId="0" xfId="0" applyNumberFormat="1"/>
    <xf numFmtId="44" fontId="0" fillId="0" borderId="0" xfId="0" applyNumberFormat="1"/>
    <xf numFmtId="0" fontId="20" fillId="0" borderId="0" xfId="0" applyFont="1" applyProtection="1">
      <protection locked="0"/>
    </xf>
    <xf numFmtId="0" fontId="28" fillId="0" borderId="0" xfId="0" applyFont="1" applyProtection="1">
      <protection locked="0"/>
    </xf>
    <xf numFmtId="165" fontId="2" fillId="0" borderId="56" xfId="1" applyNumberFormat="1" applyFont="1" applyBorder="1"/>
    <xf numFmtId="0" fontId="0" fillId="0" borderId="57" xfId="0" applyBorder="1" applyAlignment="1" applyProtection="1">
      <alignment horizontal="right"/>
      <protection locked="0"/>
    </xf>
    <xf numFmtId="0" fontId="0" fillId="0" borderId="3" xfId="0" applyBorder="1"/>
    <xf numFmtId="0" fontId="3" fillId="0" borderId="3" xfId="0" applyFont="1" applyFill="1" applyBorder="1" applyProtection="1">
      <protection locked="0"/>
    </xf>
    <xf numFmtId="0" fontId="20" fillId="0" borderId="0" xfId="0" applyFont="1" applyFill="1" applyBorder="1" applyProtection="1">
      <protection hidden="1"/>
    </xf>
    <xf numFmtId="5" fontId="20" fillId="0" borderId="0" xfId="0" applyNumberFormat="1" applyFont="1" applyFill="1" applyBorder="1" applyProtection="1">
      <protection hidden="1"/>
    </xf>
    <xf numFmtId="5" fontId="39" fillId="0" borderId="0" xfId="0" applyNumberFormat="1" applyFont="1" applyFill="1" applyBorder="1" applyProtection="1">
      <protection hidden="1"/>
    </xf>
    <xf numFmtId="43" fontId="2" fillId="0" borderId="16" xfId="1" applyNumberFormat="1" applyFont="1" applyBorder="1"/>
    <xf numFmtId="168" fontId="2" fillId="4" borderId="3" xfId="2" applyNumberFormat="1" applyFont="1" applyFill="1" applyBorder="1" applyProtection="1">
      <protection hidden="1"/>
    </xf>
    <xf numFmtId="164" fontId="0" fillId="0" borderId="0" xfId="0" applyNumberFormat="1"/>
    <xf numFmtId="0" fontId="0" fillId="8" borderId="59" xfId="0" applyFill="1" applyBorder="1" applyProtection="1">
      <protection locked="0"/>
    </xf>
    <xf numFmtId="0" fontId="0" fillId="0" borderId="60" xfId="0" applyBorder="1" applyAlignment="1" applyProtection="1">
      <alignment horizontal="right"/>
      <protection locked="0"/>
    </xf>
    <xf numFmtId="0" fontId="3" fillId="0" borderId="61" xfId="0" applyFont="1" applyBorder="1" applyProtection="1">
      <protection locked="0"/>
    </xf>
    <xf numFmtId="43" fontId="2" fillId="0" borderId="58" xfId="1" applyNumberFormat="1" applyFont="1" applyBorder="1"/>
    <xf numFmtId="0" fontId="0" fillId="0" borderId="62" xfId="0" applyBorder="1" applyAlignment="1" applyProtection="1">
      <alignment horizontal="right"/>
      <protection locked="0"/>
    </xf>
    <xf numFmtId="0" fontId="3" fillId="0" borderId="11" xfId="0" applyFont="1" applyBorder="1" applyProtection="1">
      <protection locked="0"/>
    </xf>
    <xf numFmtId="165" fontId="2" fillId="0" borderId="12" xfId="1" applyNumberFormat="1" applyFont="1" applyBorder="1"/>
    <xf numFmtId="43" fontId="2" fillId="0" borderId="13" xfId="1" applyNumberFormat="1" applyFont="1" applyBorder="1"/>
    <xf numFmtId="0" fontId="3" fillId="0" borderId="17" xfId="0" applyFont="1" applyBorder="1" applyProtection="1">
      <protection locked="0"/>
    </xf>
    <xf numFmtId="165" fontId="2" fillId="0" borderId="18" xfId="1" applyNumberFormat="1" applyFont="1" applyBorder="1"/>
    <xf numFmtId="43" fontId="2" fillId="0" borderId="19" xfId="1" applyNumberFormat="1" applyFont="1" applyBorder="1"/>
    <xf numFmtId="0" fontId="3" fillId="0" borderId="63" xfId="0" applyFont="1" applyBorder="1" applyProtection="1">
      <protection locked="0"/>
    </xf>
    <xf numFmtId="165" fontId="2" fillId="0" borderId="20" xfId="1" applyNumberFormat="1" applyFont="1" applyBorder="1"/>
    <xf numFmtId="43" fontId="2" fillId="0" borderId="64" xfId="1" applyNumberFormat="1" applyFont="1" applyBorder="1"/>
    <xf numFmtId="0" fontId="0" fillId="0" borderId="30" xfId="0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165" fontId="2" fillId="0" borderId="7" xfId="1" applyNumberFormat="1" applyFont="1" applyBorder="1"/>
    <xf numFmtId="43" fontId="2" fillId="0" borderId="8" xfId="1" applyNumberFormat="1" applyFont="1" applyBorder="1" applyAlignment="1">
      <alignment horizontal="right"/>
    </xf>
    <xf numFmtId="1" fontId="8" fillId="4" borderId="3" xfId="0" applyNumberFormat="1" applyFont="1" applyFill="1" applyBorder="1" applyProtection="1">
      <protection hidden="1"/>
    </xf>
    <xf numFmtId="0" fontId="14" fillId="2" borderId="36" xfId="0" applyFont="1" applyFill="1" applyBorder="1" applyAlignment="1" applyProtection="1">
      <alignment horizontal="right" wrapText="1"/>
      <protection locked="0"/>
    </xf>
    <xf numFmtId="0" fontId="14" fillId="2" borderId="0" xfId="0" applyFont="1" applyFill="1" applyBorder="1" applyAlignment="1" applyProtection="1">
      <alignment horizontal="right"/>
      <protection locked="0"/>
    </xf>
    <xf numFmtId="1" fontId="14" fillId="2" borderId="36" xfId="0" applyNumberFormat="1" applyFont="1" applyFill="1" applyBorder="1" applyAlignment="1" applyProtection="1">
      <protection locked="0"/>
    </xf>
    <xf numFmtId="0" fontId="13" fillId="2" borderId="36" xfId="0" applyFont="1" applyFill="1" applyBorder="1" applyAlignment="1" applyProtection="1">
      <alignment horizontal="right"/>
      <protection locked="0"/>
    </xf>
    <xf numFmtId="164" fontId="3" fillId="2" borderId="36" xfId="1" applyNumberFormat="1" applyFont="1" applyFill="1" applyBorder="1" applyAlignment="1" applyProtection="1">
      <alignment horizontal="right"/>
      <protection locked="0"/>
    </xf>
    <xf numFmtId="164" fontId="3" fillId="2" borderId="41" xfId="1" applyNumberFormat="1" applyFont="1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horizontal="right"/>
      <protection locked="0"/>
    </xf>
    <xf numFmtId="169" fontId="8" fillId="0" borderId="0" xfId="0" applyNumberFormat="1" applyFont="1" applyProtection="1">
      <protection hidden="1"/>
    </xf>
    <xf numFmtId="44" fontId="8" fillId="0" borderId="0" xfId="0" applyNumberFormat="1" applyFont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0" applyFont="1" applyFill="1" applyProtection="1">
      <protection hidden="1"/>
    </xf>
    <xf numFmtId="165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12" fillId="0" borderId="0" xfId="0" applyFont="1" applyProtection="1">
      <protection hidden="1"/>
    </xf>
    <xf numFmtId="0" fontId="40" fillId="0" borderId="24" xfId="0" applyFont="1" applyBorder="1" applyAlignment="1" applyProtection="1">
      <alignment horizontal="right"/>
      <protection hidden="1"/>
    </xf>
    <xf numFmtId="0" fontId="0" fillId="0" borderId="23" xfId="0" applyBorder="1" applyProtection="1">
      <protection locked="0"/>
    </xf>
    <xf numFmtId="43" fontId="3" fillId="0" borderId="23" xfId="0" applyNumberFormat="1" applyFont="1" applyBorder="1" applyProtection="1">
      <protection hidden="1"/>
    </xf>
    <xf numFmtId="164" fontId="3" fillId="0" borderId="0" xfId="0" applyNumberFormat="1" applyFont="1" applyBorder="1" applyProtection="1">
      <protection hidden="1"/>
    </xf>
    <xf numFmtId="174" fontId="0" fillId="0" borderId="0" xfId="0" applyNumberFormat="1" applyFill="1" applyProtection="1">
      <protection hidden="1"/>
    </xf>
    <xf numFmtId="0" fontId="1" fillId="4" borderId="0" xfId="0" applyFont="1" applyFill="1" applyBorder="1" applyProtection="1">
      <protection hidden="1"/>
    </xf>
    <xf numFmtId="169" fontId="8" fillId="4" borderId="0" xfId="2" applyNumberFormat="1" applyFont="1" applyFill="1" applyBorder="1" applyProtection="1">
      <protection hidden="1"/>
    </xf>
    <xf numFmtId="37" fontId="8" fillId="4" borderId="0" xfId="2" applyNumberFormat="1" applyFont="1" applyFill="1" applyBorder="1" applyProtection="1">
      <protection hidden="1"/>
    </xf>
    <xf numFmtId="5" fontId="8" fillId="4" borderId="0" xfId="0" applyNumberFormat="1" applyFont="1" applyFill="1" applyBorder="1" applyProtection="1">
      <protection hidden="1"/>
    </xf>
    <xf numFmtId="169" fontId="8" fillId="4" borderId="0" xfId="0" applyNumberFormat="1" applyFont="1" applyFill="1" applyBorder="1" applyProtection="1">
      <protection hidden="1"/>
    </xf>
    <xf numFmtId="169" fontId="2" fillId="4" borderId="0" xfId="2" applyNumberFormat="1" applyFont="1" applyFill="1" applyBorder="1" applyProtection="1">
      <protection hidden="1"/>
    </xf>
    <xf numFmtId="5" fontId="0" fillId="4" borderId="0" xfId="0" applyNumberFormat="1" applyFill="1" applyBorder="1" applyProtection="1">
      <protection hidden="1"/>
    </xf>
    <xf numFmtId="169" fontId="0" fillId="4" borderId="0" xfId="0" applyNumberFormat="1" applyFill="1" applyBorder="1" applyProtection="1">
      <protection hidden="1"/>
    </xf>
    <xf numFmtId="43" fontId="0" fillId="0" borderId="19" xfId="1" applyNumberFormat="1" applyFont="1" applyBorder="1"/>
    <xf numFmtId="43" fontId="2" fillId="0" borderId="16" xfId="1" applyNumberFormat="1" applyFont="1" applyBorder="1" applyAlignment="1">
      <alignment horizontal="right"/>
    </xf>
    <xf numFmtId="0" fontId="3" fillId="0" borderId="62" xfId="0" applyFont="1" applyBorder="1" applyProtection="1">
      <protection locked="0"/>
    </xf>
    <xf numFmtId="0" fontId="0" fillId="0" borderId="23" xfId="0" applyFill="1" applyBorder="1" applyProtection="1">
      <protection hidden="1"/>
    </xf>
    <xf numFmtId="0" fontId="0" fillId="0" borderId="25" xfId="0" applyFill="1" applyBorder="1" applyAlignment="1" applyProtection="1">
      <alignment wrapText="1"/>
      <protection hidden="1"/>
    </xf>
    <xf numFmtId="167" fontId="3" fillId="0" borderId="0" xfId="0" applyNumberFormat="1" applyFont="1" applyFill="1" applyBorder="1" applyProtection="1">
      <protection hidden="1"/>
    </xf>
    <xf numFmtId="0" fontId="12" fillId="0" borderId="24" xfId="0" applyFont="1" applyFill="1" applyBorder="1" applyAlignment="1" applyProtection="1">
      <alignment horizontal="right"/>
      <protection hidden="1"/>
    </xf>
    <xf numFmtId="43" fontId="2" fillId="0" borderId="24" xfId="1" applyNumberFormat="1" applyFont="1" applyFill="1" applyBorder="1" applyProtection="1">
      <protection hidden="1"/>
    </xf>
    <xf numFmtId="0" fontId="0" fillId="0" borderId="24" xfId="0" applyFill="1" applyBorder="1" applyProtection="1">
      <protection hidden="1"/>
    </xf>
    <xf numFmtId="168" fontId="3" fillId="0" borderId="0" xfId="2" applyNumberFormat="1" applyFont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3" fillId="4" borderId="18" xfId="0" applyNumberFormat="1" applyFont="1" applyFill="1" applyBorder="1" applyAlignment="1" applyProtection="1">
      <alignment horizontal="center" wrapText="1"/>
      <protection hidden="1"/>
    </xf>
    <xf numFmtId="164" fontId="8" fillId="4" borderId="10" xfId="1" applyNumberFormat="1" applyFont="1" applyFill="1" applyBorder="1" applyProtection="1">
      <protection hidden="1"/>
    </xf>
    <xf numFmtId="164" fontId="9" fillId="4" borderId="10" xfId="1" applyNumberFormat="1" applyFont="1" applyFill="1" applyBorder="1" applyProtection="1">
      <protection hidden="1"/>
    </xf>
    <xf numFmtId="164" fontId="8" fillId="4" borderId="13" xfId="1" applyNumberFormat="1" applyFont="1" applyFill="1" applyBorder="1" applyProtection="1">
      <protection hidden="1"/>
    </xf>
    <xf numFmtId="169" fontId="3" fillId="0" borderId="0" xfId="2" applyNumberFormat="1" applyFont="1" applyBorder="1" applyProtection="1">
      <protection hidden="1"/>
    </xf>
    <xf numFmtId="169" fontId="3" fillId="0" borderId="0" xfId="0" applyNumberFormat="1" applyFont="1" applyFill="1" applyBorder="1" applyProtection="1">
      <protection hidden="1"/>
    </xf>
    <xf numFmtId="0" fontId="0" fillId="8" borderId="6" xfId="0" applyFill="1" applyBorder="1" applyProtection="1">
      <protection locked="0"/>
    </xf>
    <xf numFmtId="0" fontId="0" fillId="8" borderId="7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0" borderId="29" xfId="0" applyFill="1" applyBorder="1"/>
    <xf numFmtId="165" fontId="0" fillId="0" borderId="0" xfId="0" applyNumberFormat="1"/>
    <xf numFmtId="164" fontId="0" fillId="4" borderId="3" xfId="1" applyNumberFormat="1" applyFont="1" applyFill="1" applyBorder="1" applyProtection="1">
      <protection hidden="1"/>
    </xf>
    <xf numFmtId="169" fontId="0" fillId="0" borderId="0" xfId="2" applyNumberFormat="1" applyFont="1" applyFill="1" applyBorder="1" applyProtection="1">
      <protection hidden="1"/>
    </xf>
    <xf numFmtId="0" fontId="5" fillId="0" borderId="24" xfId="0" applyFont="1" applyFill="1" applyBorder="1" applyAlignment="1" applyProtection="1">
      <alignment horizontal="right"/>
      <protection hidden="1"/>
    </xf>
    <xf numFmtId="0" fontId="5" fillId="0" borderId="24" xfId="0" applyFont="1" applyBorder="1" applyAlignment="1" applyProtection="1">
      <alignment horizontal="right"/>
      <protection hidden="1"/>
    </xf>
    <xf numFmtId="0" fontId="0" fillId="0" borderId="0" xfId="0"/>
    <xf numFmtId="11" fontId="0" fillId="0" borderId="0" xfId="0" applyNumberFormat="1"/>
    <xf numFmtId="175" fontId="0" fillId="0" borderId="0" xfId="0" applyNumberFormat="1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right"/>
    </xf>
    <xf numFmtId="167" fontId="0" fillId="0" borderId="0" xfId="0" applyNumberFormat="1"/>
    <xf numFmtId="173" fontId="0" fillId="0" borderId="0" xfId="0" applyNumberFormat="1"/>
    <xf numFmtId="0" fontId="3" fillId="4" borderId="19" xfId="0" applyFont="1" applyFill="1" applyBorder="1" applyAlignment="1" applyProtection="1">
      <alignment horizontal="center" wrapText="1"/>
      <protection hidden="1"/>
    </xf>
    <xf numFmtId="167" fontId="0" fillId="4" borderId="10" xfId="0" applyNumberFormat="1" applyFill="1" applyBorder="1" applyProtection="1">
      <protection hidden="1"/>
    </xf>
    <xf numFmtId="1" fontId="0" fillId="4" borderId="13" xfId="0" applyNumberFormat="1" applyFill="1" applyBorder="1" applyProtection="1">
      <protection hidden="1"/>
    </xf>
    <xf numFmtId="43" fontId="0" fillId="4" borderId="26" xfId="1" applyNumberFormat="1" applyFont="1" applyFill="1" applyBorder="1" applyProtection="1">
      <protection hidden="1"/>
    </xf>
    <xf numFmtId="0" fontId="3" fillId="0" borderId="49" xfId="0" applyFont="1" applyBorder="1" applyProtection="1">
      <protection locked="0"/>
    </xf>
    <xf numFmtId="43" fontId="0" fillId="0" borderId="13" xfId="1" applyNumberFormat="1" applyFont="1" applyBorder="1"/>
    <xf numFmtId="43" fontId="0" fillId="4" borderId="3" xfId="1" applyNumberFormat="1" applyFont="1" applyFill="1" applyBorder="1" applyProtection="1">
      <protection hidden="1"/>
    </xf>
    <xf numFmtId="165" fontId="0" fillId="4" borderId="3" xfId="1" applyNumberFormat="1" applyFont="1" applyFill="1" applyBorder="1" applyProtection="1">
      <protection hidden="1"/>
    </xf>
    <xf numFmtId="167" fontId="0" fillId="4" borderId="13" xfId="0" applyNumberFormat="1" applyFill="1" applyBorder="1" applyProtection="1">
      <protection hidden="1"/>
    </xf>
    <xf numFmtId="0" fontId="3" fillId="0" borderId="73" xfId="0" applyFont="1" applyBorder="1" applyProtection="1">
      <protection locked="0"/>
    </xf>
    <xf numFmtId="0" fontId="0" fillId="0" borderId="3" xfId="0" applyFill="1" applyBorder="1"/>
    <xf numFmtId="176" fontId="0" fillId="4" borderId="0" xfId="1" applyNumberFormat="1" applyFont="1" applyFill="1" applyBorder="1" applyProtection="1">
      <protection hidden="1"/>
    </xf>
    <xf numFmtId="0" fontId="5" fillId="2" borderId="26" xfId="0" applyFont="1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protection locked="0"/>
    </xf>
    <xf numFmtId="0" fontId="6" fillId="2" borderId="26" xfId="0" applyFont="1" applyFill="1" applyBorder="1" applyAlignment="1" applyProtection="1">
      <protection locked="0"/>
    </xf>
    <xf numFmtId="169" fontId="29" fillId="2" borderId="26" xfId="2" applyNumberFormat="1" applyFont="1" applyFill="1" applyBorder="1" applyAlignment="1" applyProtection="1">
      <protection locked="0"/>
    </xf>
    <xf numFmtId="169" fontId="29" fillId="2" borderId="27" xfId="2" applyNumberFormat="1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right"/>
      <protection locked="0"/>
    </xf>
    <xf numFmtId="0" fontId="6" fillId="2" borderId="26" xfId="0" applyFont="1" applyFill="1" applyBorder="1" applyAlignment="1" applyProtection="1">
      <protection locked="0"/>
    </xf>
    <xf numFmtId="169" fontId="29" fillId="2" borderId="26" xfId="2" applyNumberFormat="1" applyFont="1" applyFill="1" applyBorder="1" applyAlignment="1" applyProtection="1">
      <protection locked="0"/>
    </xf>
    <xf numFmtId="169" fontId="29" fillId="2" borderId="27" xfId="2" applyNumberFormat="1" applyFont="1" applyFill="1" applyBorder="1" applyAlignment="1" applyProtection="1">
      <protection locked="0"/>
    </xf>
    <xf numFmtId="0" fontId="6" fillId="2" borderId="25" xfId="0" applyFont="1" applyFill="1" applyBorder="1" applyAlignment="1" applyProtection="1">
      <protection locked="0"/>
    </xf>
    <xf numFmtId="164" fontId="6" fillId="2" borderId="26" xfId="1" applyNumberFormat="1" applyFont="1" applyFill="1" applyBorder="1" applyAlignment="1" applyProtection="1">
      <protection locked="0"/>
    </xf>
    <xf numFmtId="164" fontId="2" fillId="2" borderId="26" xfId="1" applyNumberFormat="1" applyFont="1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169" fontId="0" fillId="2" borderId="26" xfId="2" applyNumberFormat="1" applyFont="1" applyFill="1" applyBorder="1" applyAlignment="1" applyProtection="1">
      <protection locked="0"/>
    </xf>
    <xf numFmtId="169" fontId="0" fillId="2" borderId="27" xfId="2" applyNumberFormat="1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right"/>
      <protection locked="0"/>
    </xf>
    <xf numFmtId="0" fontId="6" fillId="2" borderId="26" xfId="0" applyFont="1" applyFill="1" applyBorder="1" applyAlignment="1" applyProtection="1">
      <protection locked="0"/>
    </xf>
    <xf numFmtId="169" fontId="29" fillId="2" borderId="26" xfId="2" applyNumberFormat="1" applyFont="1" applyFill="1" applyBorder="1" applyAlignment="1" applyProtection="1">
      <protection locked="0"/>
    </xf>
    <xf numFmtId="169" fontId="29" fillId="2" borderId="27" xfId="2" applyNumberFormat="1" applyFont="1" applyFill="1" applyBorder="1" applyAlignment="1" applyProtection="1">
      <protection locked="0"/>
    </xf>
    <xf numFmtId="0" fontId="6" fillId="2" borderId="25" xfId="0" applyFont="1" applyFill="1" applyBorder="1" applyAlignment="1" applyProtection="1">
      <protection locked="0"/>
    </xf>
    <xf numFmtId="164" fontId="6" fillId="2" borderId="26" xfId="1" applyNumberFormat="1" applyFont="1" applyFill="1" applyBorder="1" applyAlignment="1" applyProtection="1">
      <protection locked="0"/>
    </xf>
    <xf numFmtId="164" fontId="2" fillId="2" borderId="26" xfId="1" applyNumberFormat="1" applyFont="1" applyFill="1" applyBorder="1" applyAlignment="1" applyProtection="1">
      <protection locked="0"/>
    </xf>
    <xf numFmtId="0" fontId="0" fillId="2" borderId="25" xfId="0" applyFill="1" applyBorder="1" applyAlignment="1" applyProtection="1">
      <alignment horizontal="right"/>
      <protection locked="0"/>
    </xf>
    <xf numFmtId="169" fontId="0" fillId="2" borderId="26" xfId="2" applyNumberFormat="1" applyFont="1" applyFill="1" applyBorder="1" applyAlignment="1" applyProtection="1">
      <protection locked="0"/>
    </xf>
    <xf numFmtId="169" fontId="0" fillId="2" borderId="27" xfId="2" applyNumberFormat="1" applyFont="1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169" fontId="0" fillId="2" borderId="26" xfId="2" applyNumberFormat="1" applyFont="1" applyFill="1" applyBorder="1" applyAlignment="1" applyProtection="1">
      <protection locked="0"/>
    </xf>
    <xf numFmtId="169" fontId="0" fillId="2" borderId="27" xfId="2" applyNumberFormat="1" applyFont="1" applyFill="1" applyBorder="1" applyAlignment="1" applyProtection="1">
      <protection locked="0"/>
    </xf>
    <xf numFmtId="0" fontId="0" fillId="2" borderId="25" xfId="0" applyFill="1" applyBorder="1" applyAlignment="1" applyProtection="1">
      <alignment horizontal="right"/>
      <protection locked="0"/>
    </xf>
    <xf numFmtId="169" fontId="0" fillId="2" borderId="26" xfId="2" applyNumberFormat="1" applyFont="1" applyFill="1" applyBorder="1" applyAlignment="1" applyProtection="1">
      <protection locked="0"/>
    </xf>
    <xf numFmtId="169" fontId="0" fillId="2" borderId="27" xfId="2" applyNumberFormat="1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169" fontId="0" fillId="2" borderId="26" xfId="2" applyNumberFormat="1" applyFont="1" applyFill="1" applyBorder="1" applyAlignment="1" applyProtection="1">
      <protection locked="0"/>
    </xf>
    <xf numFmtId="169" fontId="0" fillId="2" borderId="27" xfId="2" applyNumberFormat="1" applyFont="1" applyFill="1" applyBorder="1" applyAlignment="1" applyProtection="1">
      <protection locked="0"/>
    </xf>
    <xf numFmtId="169" fontId="2" fillId="2" borderId="26" xfId="2" applyNumberFormat="1" applyFont="1" applyFill="1" applyBorder="1" applyProtection="1">
      <protection locked="0"/>
    </xf>
    <xf numFmtId="169" fontId="2" fillId="2" borderId="27" xfId="2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 wrapText="1"/>
      <protection locked="0"/>
    </xf>
    <xf numFmtId="0" fontId="0" fillId="2" borderId="26" xfId="0" applyFill="1" applyBorder="1" applyProtection="1">
      <protection locked="0"/>
    </xf>
    <xf numFmtId="169" fontId="2" fillId="2" borderId="26" xfId="2" applyNumberFormat="1" applyFont="1" applyFill="1" applyBorder="1" applyProtection="1">
      <protection locked="0"/>
    </xf>
    <xf numFmtId="169" fontId="2" fillId="2" borderId="27" xfId="2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6" fillId="2" borderId="26" xfId="0" applyFont="1" applyFill="1" applyBorder="1" applyProtection="1">
      <protection locked="0"/>
    </xf>
    <xf numFmtId="0" fontId="5" fillId="2" borderId="26" xfId="0" applyFont="1" applyFill="1" applyBorder="1" applyAlignment="1" applyProtection="1">
      <alignment horizontal="right"/>
      <protection locked="0"/>
    </xf>
    <xf numFmtId="169" fontId="29" fillId="2" borderId="26" xfId="2" applyNumberFormat="1" applyFont="1" applyFill="1" applyBorder="1" applyProtection="1">
      <protection locked="0"/>
    </xf>
    <xf numFmtId="169" fontId="29" fillId="2" borderId="27" xfId="2" applyNumberFormat="1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5" fillId="2" borderId="26" xfId="0" applyFont="1" applyFill="1" applyBorder="1" applyAlignment="1" applyProtection="1">
      <alignment horizontal="right"/>
      <protection locked="0"/>
    </xf>
    <xf numFmtId="169" fontId="29" fillId="2" borderId="26" xfId="2" applyNumberFormat="1" applyFont="1" applyFill="1" applyBorder="1" applyProtection="1">
      <protection locked="0"/>
    </xf>
    <xf numFmtId="169" fontId="29" fillId="2" borderId="27" xfId="2" applyNumberFormat="1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5" fillId="2" borderId="26" xfId="0" applyFont="1" applyFill="1" applyBorder="1" applyAlignment="1" applyProtection="1">
      <alignment horizontal="right"/>
      <protection locked="0"/>
    </xf>
    <xf numFmtId="169" fontId="29" fillId="2" borderId="26" xfId="2" applyNumberFormat="1" applyFont="1" applyFill="1" applyBorder="1" applyProtection="1">
      <protection locked="0"/>
    </xf>
    <xf numFmtId="169" fontId="29" fillId="2" borderId="27" xfId="2" applyNumberFormat="1" applyFont="1" applyFill="1" applyBorder="1" applyProtection="1">
      <protection locked="0"/>
    </xf>
    <xf numFmtId="0" fontId="6" fillId="2" borderId="26" xfId="0" applyFont="1" applyFill="1" applyBorder="1" applyProtection="1">
      <protection locked="0"/>
    </xf>
    <xf numFmtId="169" fontId="29" fillId="2" borderId="26" xfId="2" applyNumberFormat="1" applyFont="1" applyFill="1" applyBorder="1" applyProtection="1">
      <protection locked="0"/>
    </xf>
    <xf numFmtId="169" fontId="29" fillId="2" borderId="26" xfId="2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>
      <protection hidden="1"/>
    </xf>
    <xf numFmtId="43" fontId="0" fillId="0" borderId="10" xfId="1" applyNumberFormat="1" applyFont="1" applyBorder="1"/>
    <xf numFmtId="0" fontId="0" fillId="0" borderId="1" xfId="0" applyBorder="1" applyAlignment="1" applyProtection="1">
      <alignment horizontal="right"/>
      <protection locked="0"/>
    </xf>
    <xf numFmtId="43" fontId="2" fillId="0" borderId="7" xfId="1" applyFont="1" applyBorder="1"/>
    <xf numFmtId="43" fontId="2" fillId="0" borderId="8" xfId="1" applyFont="1" applyBorder="1"/>
    <xf numFmtId="0" fontId="3" fillId="0" borderId="48" xfId="0" applyFont="1" applyBorder="1" applyProtection="1">
      <protection locked="0"/>
    </xf>
    <xf numFmtId="0" fontId="0" fillId="0" borderId="0" xfId="0" applyFill="1" applyBorder="1"/>
    <xf numFmtId="0" fontId="0" fillId="0" borderId="29" xfId="0" applyFill="1" applyBorder="1" applyProtection="1">
      <protection locked="0"/>
    </xf>
    <xf numFmtId="169" fontId="29" fillId="0" borderId="29" xfId="2" applyNumberFormat="1" applyFont="1" applyFill="1" applyBorder="1" applyProtection="1">
      <protection locked="0"/>
    </xf>
    <xf numFmtId="0" fontId="29" fillId="0" borderId="29" xfId="2" applyNumberFormat="1" applyFont="1" applyFill="1" applyBorder="1" applyAlignment="1" applyProtection="1">
      <alignment horizontal="right"/>
      <protection locked="0"/>
    </xf>
    <xf numFmtId="177" fontId="2" fillId="0" borderId="51" xfId="1" applyNumberFormat="1" applyFont="1" applyBorder="1"/>
    <xf numFmtId="177" fontId="2" fillId="0" borderId="3" xfId="1" applyNumberFormat="1" applyFont="1" applyBorder="1"/>
    <xf numFmtId="177" fontId="2" fillId="0" borderId="12" xfId="1" applyNumberFormat="1" applyFont="1" applyBorder="1"/>
    <xf numFmtId="177" fontId="2" fillId="0" borderId="18" xfId="1" applyNumberFormat="1" applyFont="1" applyBorder="1"/>
    <xf numFmtId="177" fontId="13" fillId="0" borderId="3" xfId="1" applyNumberFormat="1" applyFont="1" applyBorder="1"/>
    <xf numFmtId="177" fontId="2" fillId="9" borderId="3" xfId="1" applyNumberFormat="1" applyFont="1" applyFill="1" applyBorder="1"/>
    <xf numFmtId="177" fontId="2" fillId="0" borderId="56" xfId="1" applyNumberFormat="1" applyFont="1" applyBorder="1"/>
    <xf numFmtId="177" fontId="2" fillId="0" borderId="20" xfId="1" applyNumberFormat="1" applyFont="1" applyBorder="1"/>
    <xf numFmtId="177" fontId="2" fillId="0" borderId="7" xfId="1" applyNumberFormat="1" applyFont="1" applyBorder="1"/>
    <xf numFmtId="177" fontId="2" fillId="0" borderId="15" xfId="1" applyNumberFormat="1" applyFont="1" applyBorder="1"/>
    <xf numFmtId="177" fontId="2" fillId="0" borderId="3" xfId="0" applyNumberFormat="1" applyFont="1" applyBorder="1"/>
    <xf numFmtId="177" fontId="2" fillId="0" borderId="31" xfId="1" applyNumberFormat="1" applyFont="1" applyBorder="1"/>
    <xf numFmtId="177" fontId="2" fillId="0" borderId="75" xfId="1" applyNumberFormat="1" applyFont="1" applyBorder="1"/>
    <xf numFmtId="177" fontId="3" fillId="0" borderId="23" xfId="0" applyNumberFormat="1" applyFont="1" applyBorder="1" applyProtection="1">
      <protection hidden="1"/>
    </xf>
    <xf numFmtId="177" fontId="3" fillId="0" borderId="0" xfId="1" applyNumberFormat="1" applyFont="1" applyFill="1" applyBorder="1" applyProtection="1">
      <protection hidden="1"/>
    </xf>
    <xf numFmtId="177" fontId="0" fillId="0" borderId="0" xfId="0" applyNumberFormat="1" applyFont="1" applyBorder="1" applyProtection="1">
      <protection hidden="1"/>
    </xf>
    <xf numFmtId="177" fontId="3" fillId="0" borderId="0" xfId="0" applyNumberFormat="1" applyFont="1" applyBorder="1" applyProtection="1">
      <protection hidden="1"/>
    </xf>
    <xf numFmtId="177" fontId="0" fillId="0" borderId="24" xfId="1" applyNumberFormat="1" applyFont="1" applyBorder="1" applyProtection="1">
      <protection hidden="1"/>
    </xf>
    <xf numFmtId="178" fontId="3" fillId="0" borderId="0" xfId="0" applyNumberFormat="1" applyFont="1" applyBorder="1" applyProtection="1">
      <protection hidden="1"/>
    </xf>
    <xf numFmtId="0" fontId="20" fillId="0" borderId="23" xfId="0" applyFont="1" applyFill="1" applyBorder="1" applyProtection="1">
      <protection hidden="1"/>
    </xf>
    <xf numFmtId="0" fontId="39" fillId="0" borderId="23" xfId="0" applyFont="1" applyFill="1" applyBorder="1" applyProtection="1">
      <protection hidden="1"/>
    </xf>
    <xf numFmtId="6" fontId="39" fillId="0" borderId="23" xfId="0" applyNumberFormat="1" applyFont="1" applyFill="1" applyBorder="1" applyProtection="1">
      <protection hidden="1"/>
    </xf>
    <xf numFmtId="0" fontId="14" fillId="0" borderId="50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61" xfId="0" applyFont="1" applyBorder="1" applyProtection="1">
      <protection locked="0"/>
    </xf>
    <xf numFmtId="0" fontId="14" fillId="0" borderId="63" xfId="0" applyFont="1" applyBorder="1" applyProtection="1">
      <protection locked="0"/>
    </xf>
    <xf numFmtId="0" fontId="14" fillId="0" borderId="62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4" fillId="0" borderId="74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0" fontId="3" fillId="0" borderId="3" xfId="0" applyFont="1" applyBorder="1"/>
    <xf numFmtId="179" fontId="0" fillId="0" borderId="28" xfId="0" applyNumberFormat="1" applyFill="1" applyBorder="1" applyAlignment="1" applyProtection="1">
      <alignment horizontal="right" wrapText="1"/>
      <protection hidden="1"/>
    </xf>
    <xf numFmtId="179" fontId="3" fillId="0" borderId="23" xfId="0" applyNumberFormat="1" applyFont="1" applyFill="1" applyBorder="1" applyAlignment="1" applyProtection="1">
      <alignment horizontal="right"/>
      <protection hidden="1"/>
    </xf>
    <xf numFmtId="179" fontId="0" fillId="0" borderId="0" xfId="1" applyNumberFormat="1" applyFont="1" applyFill="1" applyBorder="1" applyProtection="1">
      <protection hidden="1"/>
    </xf>
    <xf numFmtId="179" fontId="0" fillId="0" borderId="23" xfId="0" applyNumberFormat="1" applyFill="1" applyBorder="1" applyProtection="1">
      <protection hidden="1"/>
    </xf>
    <xf numFmtId="179" fontId="0" fillId="0" borderId="25" xfId="0" applyNumberFormat="1" applyFill="1" applyBorder="1" applyAlignment="1" applyProtection="1">
      <alignment wrapText="1"/>
      <protection hidden="1"/>
    </xf>
    <xf numFmtId="179" fontId="0" fillId="0" borderId="29" xfId="0" applyNumberFormat="1" applyFill="1" applyBorder="1" applyProtection="1">
      <protection hidden="1"/>
    </xf>
    <xf numFmtId="179" fontId="3" fillId="0" borderId="0" xfId="0" applyNumberFormat="1" applyFont="1" applyFill="1" applyBorder="1" applyAlignment="1" applyProtection="1">
      <alignment horizontal="right"/>
      <protection hidden="1"/>
    </xf>
    <xf numFmtId="179" fontId="0" fillId="0" borderId="0" xfId="0" applyNumberFormat="1" applyFill="1" applyBorder="1" applyProtection="1">
      <protection hidden="1"/>
    </xf>
    <xf numFmtId="179" fontId="0" fillId="0" borderId="26" xfId="0" applyNumberFormat="1" applyFill="1" applyBorder="1" applyProtection="1">
      <protection hidden="1"/>
    </xf>
    <xf numFmtId="179" fontId="0" fillId="0" borderId="0" xfId="0" applyNumberFormat="1" applyFill="1" applyBorder="1" applyAlignment="1" applyProtection="1">
      <alignment horizontal="right"/>
      <protection hidden="1"/>
    </xf>
    <xf numFmtId="179" fontId="0" fillId="0" borderId="29" xfId="0" applyNumberFormat="1" applyFill="1" applyBorder="1" applyAlignment="1" applyProtection="1">
      <alignment horizontal="right"/>
      <protection hidden="1"/>
    </xf>
    <xf numFmtId="179" fontId="3" fillId="0" borderId="0" xfId="0" applyNumberFormat="1" applyFont="1" applyFill="1" applyBorder="1" applyProtection="1">
      <protection hidden="1"/>
    </xf>
    <xf numFmtId="179" fontId="0" fillId="0" borderId="26" xfId="0" applyNumberFormat="1" applyFill="1" applyBorder="1" applyAlignment="1" applyProtection="1">
      <alignment horizontal="right"/>
      <protection hidden="1"/>
    </xf>
    <xf numFmtId="179" fontId="0" fillId="0" borderId="30" xfId="0" applyNumberFormat="1" applyFill="1" applyBorder="1" applyProtection="1">
      <protection hidden="1"/>
    </xf>
    <xf numFmtId="179" fontId="12" fillId="0" borderId="24" xfId="0" applyNumberFormat="1" applyFont="1" applyFill="1" applyBorder="1" applyAlignment="1" applyProtection="1">
      <alignment horizontal="right"/>
      <protection hidden="1"/>
    </xf>
    <xf numFmtId="179" fontId="2" fillId="0" borderId="24" xfId="1" applyNumberFormat="1" applyFont="1" applyFill="1" applyBorder="1" applyProtection="1">
      <protection hidden="1"/>
    </xf>
    <xf numFmtId="179" fontId="0" fillId="0" borderId="24" xfId="0" applyNumberFormat="1" applyFill="1" applyBorder="1" applyProtection="1">
      <protection hidden="1"/>
    </xf>
    <xf numFmtId="179" fontId="0" fillId="0" borderId="27" xfId="0" applyNumberFormat="1" applyFill="1" applyBorder="1" applyProtection="1">
      <protection hidden="1"/>
    </xf>
    <xf numFmtId="179" fontId="0" fillId="0" borderId="0" xfId="0" applyNumberFormat="1" applyProtection="1">
      <protection hidden="1"/>
    </xf>
    <xf numFmtId="179" fontId="0" fillId="0" borderId="23" xfId="0" applyNumberFormat="1" applyBorder="1" applyProtection="1">
      <protection hidden="1"/>
    </xf>
    <xf numFmtId="179" fontId="0" fillId="0" borderId="0" xfId="0" applyNumberFormat="1" applyBorder="1" applyProtection="1">
      <protection hidden="1"/>
    </xf>
    <xf numFmtId="179" fontId="3" fillId="0" borderId="0" xfId="0" applyNumberFormat="1" applyFont="1" applyBorder="1" applyAlignment="1" applyProtection="1">
      <alignment horizontal="right"/>
      <protection hidden="1"/>
    </xf>
    <xf numFmtId="179" fontId="3" fillId="0" borderId="0" xfId="0" applyNumberFormat="1" applyFont="1" applyBorder="1" applyProtection="1">
      <protection hidden="1"/>
    </xf>
    <xf numFmtId="179" fontId="3" fillId="0" borderId="24" xfId="0" applyNumberFormat="1" applyFont="1" applyBorder="1" applyAlignment="1" applyProtection="1">
      <alignment horizontal="right"/>
      <protection hidden="1"/>
    </xf>
    <xf numFmtId="179" fontId="3" fillId="0" borderId="23" xfId="0" applyNumberFormat="1" applyFont="1" applyBorder="1" applyProtection="1">
      <protection hidden="1"/>
    </xf>
    <xf numFmtId="179" fontId="3" fillId="0" borderId="26" xfId="0" applyNumberFormat="1" applyFont="1" applyBorder="1" applyProtection="1">
      <protection hidden="1"/>
    </xf>
    <xf numFmtId="179" fontId="3" fillId="0" borderId="26" xfId="0" applyNumberFormat="1" applyFont="1" applyFill="1" applyBorder="1" applyProtection="1">
      <protection hidden="1"/>
    </xf>
    <xf numFmtId="179" fontId="3" fillId="0" borderId="0" xfId="1" applyNumberFormat="1" applyFont="1" applyFill="1" applyBorder="1" applyProtection="1">
      <protection hidden="1"/>
    </xf>
    <xf numFmtId="7" fontId="3" fillId="0" borderId="0" xfId="0" applyNumberFormat="1" applyFont="1" applyFill="1" applyBorder="1" applyProtection="1">
      <protection hidden="1"/>
    </xf>
    <xf numFmtId="7" fontId="8" fillId="4" borderId="12" xfId="0" applyNumberFormat="1" applyFont="1" applyFill="1" applyBorder="1" applyProtection="1">
      <protection hidden="1"/>
    </xf>
    <xf numFmtId="7" fontId="8" fillId="4" borderId="13" xfId="0" applyNumberFormat="1" applyFont="1" applyFill="1" applyBorder="1" applyProtection="1">
      <protection hidden="1"/>
    </xf>
    <xf numFmtId="7" fontId="8" fillId="4" borderId="35" xfId="0" applyNumberFormat="1" applyFont="1" applyFill="1" applyBorder="1" applyProtection="1">
      <protection hidden="1"/>
    </xf>
    <xf numFmtId="7" fontId="3" fillId="0" borderId="0" xfId="0" applyNumberFormat="1" applyFont="1" applyBorder="1" applyProtection="1">
      <protection hidden="1"/>
    </xf>
    <xf numFmtId="179" fontId="0" fillId="0" borderId="23" xfId="0" applyNumberFormat="1" applyFont="1" applyBorder="1" applyProtection="1">
      <protection hidden="1"/>
    </xf>
    <xf numFmtId="179" fontId="0" fillId="0" borderId="0" xfId="0" applyNumberFormat="1" applyFont="1" applyFill="1" applyBorder="1" applyProtection="1">
      <protection hidden="1"/>
    </xf>
    <xf numFmtId="179" fontId="0" fillId="0" borderId="0" xfId="0" applyNumberFormat="1" applyFont="1" applyBorder="1" applyProtection="1">
      <protection hidden="1"/>
    </xf>
    <xf numFmtId="7" fontId="0" fillId="0" borderId="0" xfId="0" applyNumberFormat="1" applyFont="1" applyBorder="1" applyProtection="1">
      <protection hidden="1"/>
    </xf>
    <xf numFmtId="179" fontId="3" fillId="0" borderId="24" xfId="0" applyNumberFormat="1" applyFont="1" applyBorder="1" applyProtection="1">
      <protection hidden="1"/>
    </xf>
    <xf numFmtId="179" fontId="0" fillId="0" borderId="24" xfId="0" applyNumberFormat="1" applyFont="1" applyBorder="1" applyProtection="1">
      <protection hidden="1"/>
    </xf>
    <xf numFmtId="0" fontId="0" fillId="0" borderId="0" xfId="0" applyFont="1" applyProtection="1">
      <protection hidden="1"/>
    </xf>
    <xf numFmtId="0" fontId="0" fillId="0" borderId="28" xfId="0" applyFont="1" applyFill="1" applyBorder="1" applyAlignment="1" applyProtection="1">
      <alignment horizontal="right" wrapText="1"/>
      <protection hidden="1"/>
    </xf>
    <xf numFmtId="0" fontId="0" fillId="0" borderId="23" xfId="0" applyFont="1" applyBorder="1" applyProtection="1">
      <protection hidden="1"/>
    </xf>
    <xf numFmtId="0" fontId="0" fillId="0" borderId="25" xfId="0" applyFont="1" applyBorder="1" applyAlignment="1" applyProtection="1">
      <alignment wrapText="1"/>
      <protection hidden="1"/>
    </xf>
    <xf numFmtId="1" fontId="0" fillId="4" borderId="3" xfId="0" applyNumberFormat="1" applyFont="1" applyFill="1" applyBorder="1" applyProtection="1">
      <protection hidden="1"/>
    </xf>
    <xf numFmtId="167" fontId="0" fillId="4" borderId="3" xfId="0" applyNumberFormat="1" applyFont="1" applyFill="1" applyBorder="1" applyProtection="1">
      <protection hidden="1"/>
    </xf>
    <xf numFmtId="179" fontId="0" fillId="0" borderId="28" xfId="0" applyNumberFormat="1" applyFont="1" applyFill="1" applyBorder="1" applyAlignment="1" applyProtection="1">
      <alignment horizontal="right" wrapText="1"/>
      <protection hidden="1"/>
    </xf>
    <xf numFmtId="179" fontId="0" fillId="0" borderId="25" xfId="0" applyNumberFormat="1" applyFont="1" applyBorder="1" applyAlignment="1" applyProtection="1">
      <alignment wrapText="1"/>
      <protection hidden="1"/>
    </xf>
    <xf numFmtId="0" fontId="0" fillId="4" borderId="3" xfId="0" applyFont="1" applyFill="1" applyBorder="1" applyProtection="1">
      <protection hidden="1"/>
    </xf>
    <xf numFmtId="179" fontId="0" fillId="0" borderId="29" xfId="0" applyNumberFormat="1" applyFont="1" applyFill="1" applyBorder="1" applyProtection="1">
      <protection hidden="1"/>
    </xf>
    <xf numFmtId="179" fontId="0" fillId="0" borderId="26" xfId="0" applyNumberFormat="1" applyFont="1" applyFill="1" applyBorder="1" applyProtection="1">
      <protection hidden="1"/>
    </xf>
    <xf numFmtId="1" fontId="0" fillId="4" borderId="12" xfId="0" applyNumberFormat="1" applyFont="1" applyFill="1" applyBorder="1" applyProtection="1">
      <protection hidden="1"/>
    </xf>
    <xf numFmtId="167" fontId="0" fillId="4" borderId="12" xfId="0" applyNumberFormat="1" applyFont="1" applyFill="1" applyBorder="1" applyProtection="1">
      <protection hidden="1"/>
    </xf>
    <xf numFmtId="179" fontId="0" fillId="0" borderId="0" xfId="0" applyNumberFormat="1" applyFont="1" applyBorder="1" applyAlignment="1" applyProtection="1">
      <alignment horizontal="right"/>
      <protection hidden="1"/>
    </xf>
    <xf numFmtId="1" fontId="0" fillId="0" borderId="0" xfId="0" applyNumberFormat="1" applyFont="1" applyProtection="1">
      <protection hidden="1"/>
    </xf>
    <xf numFmtId="179" fontId="0" fillId="0" borderId="29" xfId="0" applyNumberFormat="1" applyFont="1" applyFill="1" applyBorder="1" applyAlignment="1" applyProtection="1">
      <alignment horizontal="right"/>
      <protection hidden="1"/>
    </xf>
    <xf numFmtId="179" fontId="0" fillId="0" borderId="0" xfId="0" applyNumberFormat="1" applyFont="1" applyFill="1" applyBorder="1" applyAlignment="1" applyProtection="1">
      <alignment horizontal="right"/>
      <protection hidden="1"/>
    </xf>
    <xf numFmtId="179" fontId="0" fillId="0" borderId="26" xfId="0" applyNumberFormat="1" applyFont="1" applyBorder="1" applyProtection="1">
      <protection hidden="1"/>
    </xf>
    <xf numFmtId="0" fontId="0" fillId="0" borderId="26" xfId="0" applyFont="1" applyFill="1" applyBorder="1" applyAlignment="1" applyProtection="1">
      <alignment horizontal="right"/>
      <protection hidden="1"/>
    </xf>
    <xf numFmtId="179" fontId="0" fillId="0" borderId="26" xfId="0" applyNumberFormat="1" applyFont="1" applyFill="1" applyBorder="1" applyAlignment="1" applyProtection="1">
      <alignment horizontal="right"/>
      <protection hidden="1"/>
    </xf>
    <xf numFmtId="0" fontId="3" fillId="0" borderId="24" xfId="0" applyFont="1" applyBorder="1" applyAlignment="1" applyProtection="1">
      <alignment horizontal="right"/>
      <protection hidden="1"/>
    </xf>
    <xf numFmtId="179" fontId="0" fillId="0" borderId="30" xfId="0" applyNumberFormat="1" applyFont="1" applyFill="1" applyBorder="1" applyProtection="1">
      <protection hidden="1"/>
    </xf>
    <xf numFmtId="179" fontId="0" fillId="0" borderId="24" xfId="1" applyNumberFormat="1" applyFont="1" applyBorder="1" applyProtection="1">
      <protection hidden="1"/>
    </xf>
    <xf numFmtId="179" fontId="0" fillId="0" borderId="27" xfId="0" applyNumberFormat="1" applyFont="1" applyBorder="1" applyProtection="1">
      <protection hidden="1"/>
    </xf>
    <xf numFmtId="0" fontId="0" fillId="0" borderId="0" xfId="0" applyFont="1" applyFill="1" applyProtection="1">
      <protection hidden="1"/>
    </xf>
    <xf numFmtId="179" fontId="0" fillId="0" borderId="0" xfId="0" applyNumberFormat="1" applyFont="1" applyProtection="1">
      <protection hidden="1"/>
    </xf>
    <xf numFmtId="0" fontId="0" fillId="0" borderId="0" xfId="0" applyFont="1" applyFill="1" applyAlignment="1" applyProtection="1">
      <alignment horizontal="right"/>
      <protection hidden="1"/>
    </xf>
    <xf numFmtId="167" fontId="0" fillId="0" borderId="0" xfId="0" applyNumberFormat="1" applyFont="1" applyFill="1" applyBorder="1" applyProtection="1">
      <protection hidden="1"/>
    </xf>
    <xf numFmtId="1" fontId="0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169" fontId="0" fillId="0" borderId="0" xfId="2" applyNumberFormat="1" applyFont="1" applyFill="1" applyProtection="1">
      <protection hidden="1"/>
    </xf>
    <xf numFmtId="179" fontId="0" fillId="0" borderId="28" xfId="0" applyNumberFormat="1" applyFont="1" applyFill="1" applyBorder="1" applyProtection="1">
      <protection hidden="1"/>
    </xf>
    <xf numFmtId="179" fontId="0" fillId="0" borderId="25" xfId="0" applyNumberFormat="1" applyFont="1" applyBorder="1" applyProtection="1">
      <protection hidden="1"/>
    </xf>
    <xf numFmtId="179" fontId="0" fillId="0" borderId="29" xfId="0" applyNumberFormat="1" applyFont="1" applyFill="1" applyBorder="1" applyAlignment="1" applyProtection="1">
      <alignment horizontal="left"/>
      <protection hidden="1"/>
    </xf>
    <xf numFmtId="2" fontId="0" fillId="4" borderId="12" xfId="0" applyNumberFormat="1" applyFont="1" applyFill="1" applyBorder="1" applyProtection="1">
      <protection hidden="1"/>
    </xf>
    <xf numFmtId="179" fontId="0" fillId="0" borderId="29" xfId="1" applyNumberFormat="1" applyFont="1" applyFill="1" applyBorder="1" applyProtection="1">
      <protection hidden="1"/>
    </xf>
    <xf numFmtId="44" fontId="0" fillId="0" borderId="0" xfId="2" applyNumberFormat="1" applyFont="1" applyFill="1" applyProtection="1">
      <protection hidden="1"/>
    </xf>
    <xf numFmtId="9" fontId="0" fillId="0" borderId="0" xfId="0" applyNumberFormat="1" applyFont="1" applyProtection="1">
      <protection hidden="1"/>
    </xf>
    <xf numFmtId="172" fontId="0" fillId="0" borderId="0" xfId="2" applyNumberFormat="1" applyFont="1" applyFill="1" applyProtection="1">
      <protection hidden="1"/>
    </xf>
    <xf numFmtId="179" fontId="0" fillId="0" borderId="0" xfId="1" applyNumberFormat="1" applyFont="1" applyBorder="1" applyProtection="1">
      <protection hidden="1"/>
    </xf>
    <xf numFmtId="179" fontId="0" fillId="0" borderId="29" xfId="0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179" fontId="0" fillId="0" borderId="30" xfId="2" applyNumberFormat="1" applyFont="1" applyFill="1" applyBorder="1" applyProtection="1">
      <protection hidden="1"/>
    </xf>
    <xf numFmtId="44" fontId="0" fillId="0" borderId="0" xfId="2" applyNumberFormat="1" applyFont="1" applyFill="1" applyBorder="1" applyProtection="1">
      <protection hidden="1"/>
    </xf>
    <xf numFmtId="179" fontId="0" fillId="0" borderId="28" xfId="0" applyNumberFormat="1" applyFont="1" applyFill="1" applyBorder="1" applyAlignment="1" applyProtection="1">
      <alignment horizontal="left"/>
      <protection hidden="1"/>
    </xf>
    <xf numFmtId="0" fontId="0" fillId="4" borderId="9" xfId="0" applyFont="1" applyFill="1" applyBorder="1" applyAlignment="1" applyProtection="1">
      <alignment wrapText="1"/>
      <protection hidden="1"/>
    </xf>
    <xf numFmtId="9" fontId="0" fillId="0" borderId="0" xfId="0" applyNumberFormat="1" applyFont="1" applyFill="1" applyProtection="1">
      <protection hidden="1"/>
    </xf>
    <xf numFmtId="165" fontId="0" fillId="4" borderId="0" xfId="1" applyNumberFormat="1" applyFont="1" applyFill="1" applyBorder="1" applyProtection="1">
      <protection hidden="1"/>
    </xf>
    <xf numFmtId="1" fontId="0" fillId="4" borderId="10" xfId="0" applyNumberFormat="1" applyFont="1" applyFill="1" applyBorder="1" applyProtection="1">
      <protection hidden="1"/>
    </xf>
    <xf numFmtId="0" fontId="0" fillId="4" borderId="10" xfId="0" applyFont="1" applyFill="1" applyBorder="1" applyProtection="1">
      <protection hidden="1"/>
    </xf>
    <xf numFmtId="0" fontId="0" fillId="4" borderId="12" xfId="0" applyFont="1" applyFill="1" applyBorder="1" applyProtection="1">
      <protection hidden="1"/>
    </xf>
    <xf numFmtId="0" fontId="0" fillId="0" borderId="77" xfId="0" applyBorder="1" applyAlignment="1" applyProtection="1">
      <alignment horizontal="right"/>
      <protection locked="0"/>
    </xf>
    <xf numFmtId="0" fontId="0" fillId="0" borderId="76" xfId="0" applyBorder="1" applyAlignment="1" applyProtection="1">
      <alignment horizontal="right"/>
      <protection locked="0"/>
    </xf>
    <xf numFmtId="5" fontId="2" fillId="0" borderId="51" xfId="2" applyNumberFormat="1" applyFont="1" applyBorder="1"/>
    <xf numFmtId="5" fontId="2" fillId="0" borderId="18" xfId="2" applyNumberFormat="1" applyFont="1" applyBorder="1"/>
    <xf numFmtId="5" fontId="2" fillId="0" borderId="3" xfId="2" applyNumberFormat="1" applyFont="1" applyBorder="1"/>
    <xf numFmtId="5" fontId="0" fillId="0" borderId="3" xfId="2" applyNumberFormat="1" applyFont="1" applyBorder="1"/>
    <xf numFmtId="5" fontId="2" fillId="0" borderId="0" xfId="2" applyNumberFormat="1" applyFont="1" applyBorder="1"/>
    <xf numFmtId="5" fontId="2" fillId="0" borderId="12" xfId="2" applyNumberFormat="1" applyFont="1" applyBorder="1"/>
    <xf numFmtId="5" fontId="2" fillId="0" borderId="56" xfId="2" applyNumberFormat="1" applyFont="1" applyBorder="1"/>
    <xf numFmtId="5" fontId="2" fillId="0" borderId="20" xfId="2" applyNumberFormat="1" applyFont="1" applyBorder="1"/>
    <xf numFmtId="5" fontId="2" fillId="0" borderId="15" xfId="2" applyNumberFormat="1" applyFont="1" applyBorder="1"/>
    <xf numFmtId="5" fontId="2" fillId="0" borderId="7" xfId="2" applyNumberFormat="1" applyFont="1" applyBorder="1"/>
    <xf numFmtId="5" fontId="0" fillId="0" borderId="51" xfId="2" applyNumberFormat="1" applyFont="1" applyBorder="1"/>
    <xf numFmtId="5" fontId="8" fillId="0" borderId="3" xfId="2" applyNumberFormat="1" applyFont="1" applyBorder="1"/>
    <xf numFmtId="5" fontId="0" fillId="0" borderId="12" xfId="2" applyNumberFormat="1" applyFont="1" applyBorder="1"/>
    <xf numFmtId="5" fontId="0" fillId="0" borderId="15" xfId="2" applyNumberFormat="1" applyFont="1" applyBorder="1"/>
    <xf numFmtId="5" fontId="0" fillId="0" borderId="56" xfId="2" applyNumberFormat="1" applyFont="1" applyBorder="1"/>
    <xf numFmtId="5" fontId="0" fillId="0" borderId="31" xfId="2" applyNumberFormat="1" applyFont="1" applyBorder="1"/>
    <xf numFmtId="5" fontId="0" fillId="0" borderId="18" xfId="2" applyNumberFormat="1" applyFont="1" applyBorder="1"/>
    <xf numFmtId="5" fontId="0" fillId="0" borderId="18" xfId="1" applyNumberFormat="1" applyFont="1" applyBorder="1"/>
    <xf numFmtId="5" fontId="0" fillId="0" borderId="12" xfId="1" applyNumberFormat="1" applyFont="1" applyBorder="1"/>
    <xf numFmtId="5" fontId="0" fillId="0" borderId="7" xfId="2" applyNumberFormat="1" applyFont="1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169" fontId="0" fillId="2" borderId="26" xfId="2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169" fontId="2" fillId="2" borderId="26" xfId="2" applyNumberFormat="1" applyFont="1" applyFill="1" applyBorder="1" applyAlignment="1" applyProtection="1">
      <alignment horizontal="right"/>
      <protection locked="0"/>
    </xf>
    <xf numFmtId="1" fontId="3" fillId="2" borderId="34" xfId="1" applyNumberFormat="1" applyFont="1" applyFill="1" applyBorder="1" applyAlignment="1" applyProtection="1">
      <alignment horizontal="right"/>
      <protection locked="0"/>
    </xf>
    <xf numFmtId="1" fontId="3" fillId="5" borderId="39" xfId="0" applyNumberFormat="1" applyFont="1" applyFill="1" applyBorder="1" applyAlignment="1" applyProtection="1">
      <alignment horizontal="right"/>
      <protection locked="0"/>
    </xf>
    <xf numFmtId="1" fontId="3" fillId="2" borderId="34" xfId="2" applyNumberFormat="1" applyFont="1" applyFill="1" applyBorder="1" applyAlignment="1" applyProtection="1">
      <alignment horizontal="right"/>
      <protection locked="0"/>
    </xf>
    <xf numFmtId="1" fontId="3" fillId="2" borderId="33" xfId="1" applyNumberFormat="1" applyFont="1" applyFill="1" applyBorder="1" applyAlignment="1" applyProtection="1">
      <alignment horizontal="right"/>
      <protection locked="0"/>
    </xf>
    <xf numFmtId="1" fontId="3" fillId="2" borderId="33" xfId="2" applyNumberFormat="1" applyFont="1" applyFill="1" applyBorder="1" applyAlignment="1" applyProtection="1">
      <alignment horizontal="right"/>
      <protection locked="0"/>
    </xf>
    <xf numFmtId="169" fontId="3" fillId="2" borderId="33" xfId="2" applyNumberFormat="1" applyFont="1" applyFill="1" applyBorder="1" applyAlignment="1" applyProtection="1">
      <alignment horizontal="right"/>
      <protection locked="0"/>
    </xf>
    <xf numFmtId="170" fontId="0" fillId="2" borderId="26" xfId="3" applyNumberFormat="1" applyFont="1" applyFill="1" applyBorder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15" fillId="0" borderId="1" xfId="0" applyFont="1" applyFill="1" applyBorder="1" applyProtection="1"/>
    <xf numFmtId="0" fontId="14" fillId="0" borderId="4" xfId="0" applyFont="1" applyFill="1" applyBorder="1" applyAlignment="1" applyProtection="1"/>
    <xf numFmtId="0" fontId="18" fillId="0" borderId="46" xfId="0" applyFont="1" applyFill="1" applyBorder="1" applyAlignment="1" applyProtection="1">
      <alignment horizontal="right" wrapText="1"/>
    </xf>
    <xf numFmtId="0" fontId="14" fillId="0" borderId="46" xfId="0" applyFont="1" applyFill="1" applyBorder="1" applyAlignment="1" applyProtection="1">
      <alignment horizontal="right"/>
    </xf>
    <xf numFmtId="0" fontId="18" fillId="0" borderId="47" xfId="0" applyFont="1" applyFill="1" applyBorder="1" applyAlignment="1" applyProtection="1">
      <alignment horizontal="right" wrapText="1"/>
    </xf>
    <xf numFmtId="1" fontId="14" fillId="0" borderId="46" xfId="0" applyNumberFormat="1" applyFont="1" applyFill="1" applyBorder="1" applyAlignment="1" applyProtection="1">
      <alignment horizontal="right"/>
    </xf>
    <xf numFmtId="0" fontId="18" fillId="0" borderId="22" xfId="0" applyFont="1" applyFill="1" applyBorder="1" applyAlignment="1" applyProtection="1">
      <alignment horizontal="right" wrapText="1"/>
    </xf>
    <xf numFmtId="0" fontId="14" fillId="0" borderId="21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wrapText="1"/>
    </xf>
    <xf numFmtId="0" fontId="0" fillId="0" borderId="0" xfId="0" applyAlignment="1" applyProtection="1"/>
    <xf numFmtId="0" fontId="0" fillId="0" borderId="0" xfId="0" applyFill="1" applyProtection="1"/>
    <xf numFmtId="0" fontId="0" fillId="0" borderId="0" xfId="0" applyFill="1" applyBorder="1" applyProtection="1"/>
    <xf numFmtId="0" fontId="13" fillId="0" borderId="0" xfId="0" applyFont="1" applyAlignment="1" applyProtection="1"/>
    <xf numFmtId="8" fontId="0" fillId="0" borderId="0" xfId="0" applyNumberFormat="1" applyFill="1" applyProtection="1"/>
    <xf numFmtId="0" fontId="0" fillId="0" borderId="0" xfId="0" quotePrefix="1" applyFill="1" applyBorder="1" applyProtection="1"/>
    <xf numFmtId="0" fontId="3" fillId="0" borderId="21" xfId="0" applyFont="1" applyBorder="1" applyProtection="1"/>
    <xf numFmtId="0" fontId="5" fillId="0" borderId="1" xfId="0" applyFont="1" applyBorder="1" applyProtection="1"/>
    <xf numFmtId="0" fontId="0" fillId="0" borderId="21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29" xfId="0" applyBorder="1" applyProtection="1"/>
    <xf numFmtId="0" fontId="0" fillId="0" borderId="23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wrapText="1"/>
    </xf>
    <xf numFmtId="0" fontId="0" fillId="0" borderId="30" xfId="0" applyBorder="1" applyProtection="1"/>
    <xf numFmtId="0" fontId="0" fillId="0" borderId="24" xfId="0" applyBorder="1" applyAlignment="1" applyProtection="1">
      <alignment horizontal="right"/>
    </xf>
    <xf numFmtId="0" fontId="20" fillId="0" borderId="0" xfId="0" applyFont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right"/>
    </xf>
    <xf numFmtId="0" fontId="8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horizontal="right"/>
    </xf>
    <xf numFmtId="0" fontId="15" fillId="0" borderId="28" xfId="0" applyFont="1" applyFill="1" applyBorder="1" applyProtection="1"/>
    <xf numFmtId="0" fontId="14" fillId="0" borderId="25" xfId="0" applyFont="1" applyFill="1" applyBorder="1" applyAlignment="1" applyProtection="1"/>
    <xf numFmtId="0" fontId="20" fillId="0" borderId="0" xfId="0" applyFont="1" applyProtection="1"/>
    <xf numFmtId="0" fontId="6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left" wrapText="1"/>
    </xf>
    <xf numFmtId="0" fontId="0" fillId="0" borderId="4" xfId="0" applyBorder="1" applyAlignment="1" applyProtection="1">
      <alignment horizontal="right" wrapText="1"/>
    </xf>
    <xf numFmtId="0" fontId="0" fillId="0" borderId="0" xfId="0" applyBorder="1" applyAlignment="1" applyProtection="1">
      <alignment horizontal="right" wrapText="1"/>
    </xf>
    <xf numFmtId="0" fontId="3" fillId="0" borderId="28" xfId="0" applyFont="1" applyBorder="1" applyAlignment="1" applyProtection="1">
      <alignment horizontal="right" wrapText="1"/>
    </xf>
    <xf numFmtId="0" fontId="0" fillId="0" borderId="0" xfId="0" applyBorder="1" applyProtection="1"/>
    <xf numFmtId="0" fontId="0" fillId="0" borderId="26" xfId="0" applyBorder="1" applyProtection="1"/>
    <xf numFmtId="37" fontId="0" fillId="0" borderId="0" xfId="0" applyNumberFormat="1" applyBorder="1" applyProtection="1"/>
    <xf numFmtId="0" fontId="15" fillId="0" borderId="28" xfId="0" applyFont="1" applyFill="1" applyBorder="1" applyProtection="1">
      <protection hidden="1"/>
    </xf>
    <xf numFmtId="0" fontId="14" fillId="0" borderId="25" xfId="0" applyFont="1" applyFill="1" applyBorder="1" applyAlignment="1" applyProtection="1">
      <protection hidden="1"/>
    </xf>
    <xf numFmtId="0" fontId="18" fillId="0" borderId="21" xfId="0" applyFont="1" applyFill="1" applyBorder="1" applyAlignment="1" applyProtection="1">
      <alignment horizontal="right" wrapText="1"/>
      <protection hidden="1"/>
    </xf>
    <xf numFmtId="0" fontId="14" fillId="0" borderId="25" xfId="0" applyFont="1" applyFill="1" applyBorder="1" applyAlignment="1" applyProtection="1">
      <alignment horizontal="right"/>
      <protection hidden="1"/>
    </xf>
    <xf numFmtId="1" fontId="14" fillId="0" borderId="25" xfId="0" applyNumberFormat="1" applyFont="1" applyFill="1" applyBorder="1" applyAlignment="1" applyProtection="1">
      <alignment horizontal="right"/>
      <protection hidden="1"/>
    </xf>
    <xf numFmtId="0" fontId="14" fillId="0" borderId="4" xfId="0" applyFont="1" applyFill="1" applyBorder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3" fillId="0" borderId="28" xfId="0" applyFont="1" applyBorder="1" applyAlignment="1" applyProtection="1">
      <alignment horizontal="right" wrapText="1"/>
      <protection hidden="1"/>
    </xf>
    <xf numFmtId="0" fontId="0" fillId="0" borderId="29" xfId="0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0" borderId="30" xfId="0" applyBorder="1" applyAlignment="1" applyProtection="1">
      <alignment wrapText="1"/>
      <protection hidden="1"/>
    </xf>
    <xf numFmtId="0" fontId="6" fillId="0" borderId="24" xfId="0" applyFont="1" applyBorder="1" applyAlignment="1" applyProtection="1">
      <alignment horizontal="right"/>
      <protection hidden="1"/>
    </xf>
    <xf numFmtId="0" fontId="42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28" xfId="0" applyFont="1" applyBorder="1" applyAlignment="1" applyProtection="1">
      <alignment wrapText="1"/>
    </xf>
    <xf numFmtId="0" fontId="28" fillId="0" borderId="23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6" fillId="0" borderId="24" xfId="0" applyFont="1" applyBorder="1" applyAlignment="1" applyProtection="1">
      <alignment horizontal="right"/>
    </xf>
    <xf numFmtId="0" fontId="0" fillId="0" borderId="4" xfId="0" applyBorder="1" applyAlignment="1" applyProtection="1">
      <alignment wrapText="1"/>
    </xf>
    <xf numFmtId="0" fontId="28" fillId="0" borderId="25" xfId="0" applyFont="1" applyBorder="1" applyAlignment="1" applyProtection="1"/>
    <xf numFmtId="0" fontId="0" fillId="0" borderId="0" xfId="0" applyFill="1" applyBorder="1" applyAlignment="1" applyProtection="1">
      <alignment wrapText="1"/>
      <protection hidden="1"/>
    </xf>
    <xf numFmtId="9" fontId="0" fillId="0" borderId="27" xfId="0" applyNumberFormat="1" applyFill="1" applyBorder="1" applyAlignment="1" applyProtection="1">
      <alignment horizontal="right"/>
      <protection hidden="1"/>
    </xf>
    <xf numFmtId="0" fontId="6" fillId="0" borderId="26" xfId="0" applyFont="1" applyFill="1" applyBorder="1" applyProtection="1">
      <protection locked="0"/>
    </xf>
    <xf numFmtId="0" fontId="3" fillId="0" borderId="0" xfId="0" applyFont="1" applyProtection="1"/>
    <xf numFmtId="0" fontId="41" fillId="0" borderId="0" xfId="0" applyFont="1" applyProtection="1"/>
    <xf numFmtId="0" fontId="0" fillId="0" borderId="0" xfId="0" applyAlignment="1" applyProtection="1">
      <alignment horizontal="right"/>
    </xf>
    <xf numFmtId="0" fontId="3" fillId="0" borderId="21" xfId="0" applyFont="1" applyBorder="1" applyAlignment="1" applyProtection="1">
      <alignment horizontal="left" wrapText="1"/>
    </xf>
    <xf numFmtId="0" fontId="5" fillId="0" borderId="21" xfId="0" applyFont="1" applyBorder="1" applyProtection="1"/>
    <xf numFmtId="0" fontId="15" fillId="0" borderId="1" xfId="0" applyFont="1" applyFill="1" applyBorder="1" applyProtection="1">
      <protection hidden="1"/>
    </xf>
    <xf numFmtId="0" fontId="14" fillId="0" borderId="4" xfId="0" applyFont="1" applyFill="1" applyBorder="1" applyAlignment="1" applyProtection="1">
      <protection hidden="1"/>
    </xf>
    <xf numFmtId="0" fontId="18" fillId="0" borderId="46" xfId="0" applyFont="1" applyFill="1" applyBorder="1" applyAlignment="1" applyProtection="1">
      <alignment horizontal="right" wrapText="1"/>
      <protection hidden="1"/>
    </xf>
    <xf numFmtId="0" fontId="14" fillId="0" borderId="46" xfId="0" applyFont="1" applyFill="1" applyBorder="1" applyAlignment="1" applyProtection="1">
      <alignment horizontal="right"/>
      <protection hidden="1"/>
    </xf>
    <xf numFmtId="0" fontId="18" fillId="0" borderId="47" xfId="0" applyFont="1" applyFill="1" applyBorder="1" applyAlignment="1" applyProtection="1">
      <alignment horizontal="right" wrapText="1"/>
      <protection hidden="1"/>
    </xf>
    <xf numFmtId="1" fontId="14" fillId="0" borderId="46" xfId="0" applyNumberFormat="1" applyFont="1" applyFill="1" applyBorder="1" applyAlignment="1" applyProtection="1">
      <alignment horizontal="right"/>
      <protection hidden="1"/>
    </xf>
    <xf numFmtId="0" fontId="18" fillId="0" borderId="22" xfId="0" applyFont="1" applyFill="1" applyBorder="1" applyAlignment="1" applyProtection="1">
      <alignment horizontal="right" wrapText="1"/>
      <protection hidden="1"/>
    </xf>
    <xf numFmtId="0" fontId="14" fillId="0" borderId="21" xfId="0" applyFont="1" applyFill="1" applyBorder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0" fillId="0" borderId="21" xfId="0" applyBorder="1" applyAlignment="1" applyProtection="1">
      <alignment horizontal="left" wrapText="1"/>
      <protection hidden="1"/>
    </xf>
    <xf numFmtId="0" fontId="3" fillId="0" borderId="21" xfId="0" applyFont="1" applyBorder="1" applyProtection="1">
      <protection hidden="1"/>
    </xf>
    <xf numFmtId="0" fontId="8" fillId="0" borderId="29" xfId="0" applyFont="1" applyBorder="1" applyAlignment="1" applyProtection="1">
      <alignment wrapText="1"/>
      <protection hidden="1"/>
    </xf>
    <xf numFmtId="0" fontId="0" fillId="0" borderId="23" xfId="0" applyBorder="1" applyAlignment="1" applyProtection="1">
      <alignment horizontal="right"/>
      <protection hidden="1"/>
    </xf>
    <xf numFmtId="0" fontId="0" fillId="0" borderId="24" xfId="0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left" wrapText="1"/>
      <protection hidden="1"/>
    </xf>
    <xf numFmtId="0" fontId="5" fillId="0" borderId="21" xfId="0" applyFont="1" applyBorder="1" applyProtection="1">
      <protection hidden="1"/>
    </xf>
    <xf numFmtId="44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0" fontId="5" fillId="0" borderId="0" xfId="0" applyFont="1" applyProtection="1"/>
    <xf numFmtId="0" fontId="27" fillId="0" borderId="0" xfId="0" applyFont="1" applyProtection="1"/>
    <xf numFmtId="0" fontId="20" fillId="0" borderId="0" xfId="0" applyFont="1" applyAlignment="1" applyProtection="1">
      <alignment horizontal="left"/>
    </xf>
    <xf numFmtId="0" fontId="6" fillId="0" borderId="21" xfId="0" applyFont="1" applyBorder="1" applyAlignment="1" applyProtection="1">
      <alignment wrapText="1"/>
    </xf>
    <xf numFmtId="0" fontId="5" fillId="0" borderId="21" xfId="0" applyFont="1" applyBorder="1" applyAlignment="1" applyProtection="1">
      <alignment horizontal="left"/>
    </xf>
    <xf numFmtId="0" fontId="57" fillId="0" borderId="0" xfId="0" applyFont="1" applyAlignment="1" applyProtection="1">
      <alignment horizontal="right"/>
    </xf>
    <xf numFmtId="0" fontId="6" fillId="0" borderId="21" xfId="0" applyFont="1" applyBorder="1" applyAlignment="1" applyProtection="1">
      <alignment horizontal="left"/>
    </xf>
    <xf numFmtId="0" fontId="31" fillId="0" borderId="21" xfId="0" applyFont="1" applyBorder="1" applyProtection="1"/>
    <xf numFmtId="0" fontId="3" fillId="0" borderId="29" xfId="0" applyFont="1" applyBorder="1" applyAlignment="1" applyProtection="1">
      <alignment wrapText="1"/>
    </xf>
    <xf numFmtId="0" fontId="30" fillId="0" borderId="23" xfId="0" applyFont="1" applyBorder="1" applyAlignment="1" applyProtection="1">
      <alignment horizontal="right"/>
    </xf>
    <xf numFmtId="0" fontId="30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5" fillId="0" borderId="21" xfId="0" applyFont="1" applyBorder="1" applyAlignment="1" applyProtection="1">
      <alignment wrapText="1"/>
    </xf>
    <xf numFmtId="0" fontId="5" fillId="0" borderId="2" xfId="0" applyFont="1" applyBorder="1" applyProtection="1"/>
    <xf numFmtId="0" fontId="7" fillId="0" borderId="0" xfId="0" applyFont="1" applyProtection="1"/>
    <xf numFmtId="0" fontId="20" fillId="0" borderId="0" xfId="0" applyFont="1" applyAlignment="1" applyProtection="1">
      <alignment horizontal="right"/>
    </xf>
    <xf numFmtId="0" fontId="3" fillId="0" borderId="29" xfId="0" applyFont="1" applyBorder="1" applyAlignment="1" applyProtection="1">
      <alignment horizontal="right" wrapText="1"/>
    </xf>
    <xf numFmtId="0" fontId="3" fillId="0" borderId="30" xfId="0" applyFont="1" applyBorder="1" applyAlignment="1" applyProtection="1">
      <alignment horizontal="right" wrapText="1"/>
    </xf>
    <xf numFmtId="0" fontId="3" fillId="0" borderId="38" xfId="0" applyFont="1" applyBorder="1" applyAlignment="1" applyProtection="1">
      <alignment horizontal="right" wrapText="1"/>
    </xf>
    <xf numFmtId="0" fontId="0" fillId="0" borderId="40" xfId="0" applyBorder="1" applyAlignment="1" applyProtection="1">
      <alignment horizontal="right"/>
    </xf>
    <xf numFmtId="0" fontId="3" fillId="0" borderId="1" xfId="0" applyFont="1" applyBorder="1" applyAlignment="1" applyProtection="1">
      <alignment horizontal="left" wrapText="1"/>
    </xf>
    <xf numFmtId="0" fontId="20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29" xfId="0" applyBorder="1" applyAlignment="1" applyProtection="1">
      <alignment horizontal="right" wrapText="1"/>
    </xf>
    <xf numFmtId="0" fontId="0" fillId="0" borderId="38" xfId="0" applyBorder="1" applyAlignment="1" applyProtection="1">
      <alignment horizontal="right" wrapText="1"/>
    </xf>
    <xf numFmtId="0" fontId="0" fillId="0" borderId="0" xfId="0" applyFill="1" applyAlignment="1" applyProtection="1">
      <alignment horizontal="left"/>
    </xf>
    <xf numFmtId="0" fontId="0" fillId="0" borderId="46" xfId="0" applyBorder="1" applyAlignment="1" applyProtection="1">
      <alignment wrapText="1"/>
    </xf>
    <xf numFmtId="164" fontId="0" fillId="2" borderId="26" xfId="1" applyNumberFormat="1" applyFont="1" applyFill="1" applyBorder="1" applyProtection="1">
      <protection locked="0"/>
    </xf>
    <xf numFmtId="0" fontId="4" fillId="0" borderId="0" xfId="0" applyFont="1" applyBorder="1" applyProtection="1"/>
    <xf numFmtId="0" fontId="33" fillId="5" borderId="38" xfId="0" applyFont="1" applyFill="1" applyBorder="1" applyProtection="1"/>
    <xf numFmtId="0" fontId="18" fillId="0" borderId="29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/>
    </xf>
    <xf numFmtId="164" fontId="18" fillId="0" borderId="29" xfId="0" applyNumberFormat="1" applyFont="1" applyFill="1" applyBorder="1" applyAlignment="1" applyProtection="1">
      <alignment horizontal="right"/>
    </xf>
    <xf numFmtId="0" fontId="19" fillId="0" borderId="29" xfId="0" applyFont="1" applyFill="1" applyBorder="1" applyAlignment="1" applyProtection="1">
      <alignment horizontal="right"/>
    </xf>
    <xf numFmtId="0" fontId="22" fillId="5" borderId="38" xfId="0" applyFont="1" applyFill="1" applyBorder="1" applyAlignment="1" applyProtection="1">
      <alignment horizontal="left"/>
    </xf>
    <xf numFmtId="0" fontId="19" fillId="0" borderId="29" xfId="0" applyFont="1" applyFill="1" applyBorder="1" applyProtection="1"/>
    <xf numFmtId="0" fontId="19" fillId="0" borderId="30" xfId="0" applyFont="1" applyFill="1" applyBorder="1" applyAlignment="1" applyProtection="1">
      <alignment horizontal="right"/>
    </xf>
    <xf numFmtId="0" fontId="0" fillId="0" borderId="28" xfId="0" applyBorder="1" applyProtection="1"/>
    <xf numFmtId="0" fontId="13" fillId="0" borderId="0" xfId="0" applyFont="1" applyFill="1" applyBorder="1" applyAlignment="1" applyProtection="1">
      <protection hidden="1"/>
    </xf>
    <xf numFmtId="169" fontId="16" fillId="0" borderId="0" xfId="2" applyNumberFormat="1" applyFont="1" applyFill="1" applyBorder="1" applyAlignment="1" applyProtection="1">
      <alignment horizontal="center" vertical="center"/>
      <protection hidden="1"/>
    </xf>
    <xf numFmtId="177" fontId="2" fillId="0" borderId="56" xfId="1" applyNumberFormat="1" applyFont="1" applyBorder="1" applyAlignment="1"/>
    <xf numFmtId="0" fontId="5" fillId="8" borderId="2" xfId="0" applyFont="1" applyFill="1" applyBorder="1" applyAlignment="1" applyProtection="1">
      <alignment horizontal="center" wrapText="1"/>
      <protection hidden="1"/>
    </xf>
    <xf numFmtId="0" fontId="5" fillId="8" borderId="4" xfId="0" applyFont="1" applyFill="1" applyBorder="1" applyAlignment="1" applyProtection="1">
      <alignment horizontal="center" wrapText="1"/>
      <protection hidden="1"/>
    </xf>
    <xf numFmtId="0" fontId="5" fillId="5" borderId="5" xfId="0" applyFont="1" applyFill="1" applyBorder="1" applyAlignment="1" applyProtection="1">
      <protection hidden="1"/>
    </xf>
    <xf numFmtId="0" fontId="5" fillId="5" borderId="36" xfId="0" applyFont="1" applyFill="1" applyBorder="1" applyAlignment="1" applyProtection="1">
      <protection hidden="1"/>
    </xf>
    <xf numFmtId="0" fontId="5" fillId="5" borderId="37" xfId="0" applyFont="1" applyFill="1" applyBorder="1" applyAlignment="1" applyProtection="1">
      <protection hidden="1"/>
    </xf>
    <xf numFmtId="0" fontId="5" fillId="5" borderId="5" xfId="0" applyFont="1" applyFill="1" applyBorder="1" applyAlignment="1" applyProtection="1">
      <alignment horizontal="left" indent="1"/>
      <protection hidden="1"/>
    </xf>
    <xf numFmtId="0" fontId="5" fillId="5" borderId="36" xfId="0" applyFont="1" applyFill="1" applyBorder="1" applyAlignment="1" applyProtection="1">
      <alignment horizontal="left" indent="1"/>
      <protection hidden="1"/>
    </xf>
    <xf numFmtId="0" fontId="5" fillId="5" borderId="37" xfId="0" applyFont="1" applyFill="1" applyBorder="1" applyAlignment="1" applyProtection="1">
      <alignment horizontal="left" indent="1"/>
      <protection hidden="1"/>
    </xf>
    <xf numFmtId="0" fontId="21" fillId="5" borderId="5" xfId="0" applyFont="1" applyFill="1" applyBorder="1" applyAlignment="1" applyProtection="1">
      <protection hidden="1"/>
    </xf>
    <xf numFmtId="0" fontId="21" fillId="5" borderId="36" xfId="0" applyFont="1" applyFill="1" applyBorder="1" applyAlignment="1" applyProtection="1">
      <protection hidden="1"/>
    </xf>
    <xf numFmtId="0" fontId="21" fillId="5" borderId="37" xfId="0" applyFont="1" applyFill="1" applyBorder="1" applyAlignment="1" applyProtection="1">
      <protection hidden="1"/>
    </xf>
    <xf numFmtId="0" fontId="13" fillId="5" borderId="37" xfId="0" applyFont="1" applyFill="1" applyBorder="1" applyAlignment="1" applyProtection="1">
      <alignment horizontal="center" wrapText="1"/>
      <protection hidden="1"/>
    </xf>
    <xf numFmtId="0" fontId="0" fillId="0" borderId="3" xfId="0" applyNumberFormat="1" applyBorder="1" applyProtection="1">
      <protection hidden="1"/>
    </xf>
    <xf numFmtId="0" fontId="13" fillId="5" borderId="37" xfId="0" applyFont="1" applyFill="1" applyBorder="1" applyAlignment="1" applyProtection="1">
      <protection hidden="1"/>
    </xf>
    <xf numFmtId="169" fontId="13" fillId="5" borderId="20" xfId="2" applyNumberFormat="1" applyFont="1" applyFill="1" applyBorder="1" applyAlignment="1" applyProtection="1">
      <alignment vertical="center"/>
      <protection hidden="1"/>
    </xf>
    <xf numFmtId="169" fontId="13" fillId="5" borderId="3" xfId="2" applyNumberFormat="1" applyFont="1" applyFill="1" applyBorder="1" applyAlignment="1" applyProtection="1">
      <alignment horizontal="left" vertical="center" indent="5"/>
      <protection hidden="1"/>
    </xf>
    <xf numFmtId="0" fontId="13" fillId="5" borderId="5" xfId="0" applyFont="1" applyFill="1" applyBorder="1" applyAlignment="1" applyProtection="1">
      <alignment horizontal="left" indent="6"/>
      <protection hidden="1"/>
    </xf>
    <xf numFmtId="0" fontId="5" fillId="8" borderId="1" xfId="0" applyFont="1" applyFill="1" applyBorder="1" applyAlignment="1" applyProtection="1">
      <alignment horizontal="left" indent="12"/>
      <protection hidden="1"/>
    </xf>
    <xf numFmtId="0" fontId="5" fillId="8" borderId="2" xfId="0" applyFont="1" applyFill="1" applyBorder="1" applyAlignment="1" applyProtection="1">
      <alignment horizontal="left" indent="12"/>
      <protection hidden="1"/>
    </xf>
    <xf numFmtId="0" fontId="5" fillId="8" borderId="4" xfId="0" applyFont="1" applyFill="1" applyBorder="1" applyAlignment="1" applyProtection="1">
      <alignment horizontal="left" indent="12"/>
      <protection hidden="1"/>
    </xf>
    <xf numFmtId="0" fontId="5" fillId="8" borderId="1" xfId="0" applyFont="1" applyFill="1" applyBorder="1" applyAlignment="1" applyProtection="1">
      <alignment horizontal="left" indent="13"/>
      <protection hidden="1"/>
    </xf>
    <xf numFmtId="0" fontId="5" fillId="8" borderId="2" xfId="0" applyFont="1" applyFill="1" applyBorder="1" applyAlignment="1" applyProtection="1">
      <alignment horizontal="left" indent="13"/>
      <protection hidden="1"/>
    </xf>
    <xf numFmtId="0" fontId="5" fillId="8" borderId="4" xfId="0" applyFont="1" applyFill="1" applyBorder="1" applyAlignment="1" applyProtection="1">
      <alignment horizontal="left" indent="13"/>
      <protection hidden="1"/>
    </xf>
    <xf numFmtId="0" fontId="4" fillId="8" borderId="1" xfId="0" applyFont="1" applyFill="1" applyBorder="1" applyAlignment="1" applyProtection="1">
      <alignment horizontal="left" indent="10"/>
      <protection hidden="1"/>
    </xf>
    <xf numFmtId="0" fontId="4" fillId="8" borderId="2" xfId="0" applyFont="1" applyFill="1" applyBorder="1" applyAlignment="1" applyProtection="1">
      <alignment horizontal="left" indent="10"/>
      <protection hidden="1"/>
    </xf>
    <xf numFmtId="0" fontId="4" fillId="8" borderId="4" xfId="0" applyFont="1" applyFill="1" applyBorder="1" applyAlignment="1" applyProtection="1">
      <alignment horizontal="left" indent="10"/>
      <protection hidden="1"/>
    </xf>
    <xf numFmtId="0" fontId="4" fillId="8" borderId="1" xfId="0" applyFont="1" applyFill="1" applyBorder="1" applyAlignment="1" applyProtection="1">
      <alignment horizontal="left" indent="11"/>
      <protection hidden="1"/>
    </xf>
    <xf numFmtId="0" fontId="4" fillId="8" borderId="2" xfId="0" applyFont="1" applyFill="1" applyBorder="1" applyAlignment="1" applyProtection="1">
      <alignment horizontal="left" indent="11"/>
      <protection hidden="1"/>
    </xf>
    <xf numFmtId="0" fontId="4" fillId="8" borderId="4" xfId="0" applyFont="1" applyFill="1" applyBorder="1" applyAlignment="1" applyProtection="1">
      <alignment horizontal="left" indent="11"/>
      <protection hidden="1"/>
    </xf>
    <xf numFmtId="0" fontId="3" fillId="8" borderId="1" xfId="0" applyFont="1" applyFill="1" applyBorder="1" applyAlignment="1" applyProtection="1">
      <alignment horizontal="left" indent="10"/>
      <protection hidden="1"/>
    </xf>
    <xf numFmtId="0" fontId="3" fillId="8" borderId="2" xfId="0" applyFont="1" applyFill="1" applyBorder="1" applyAlignment="1" applyProtection="1">
      <alignment horizontal="left" indent="10"/>
      <protection hidden="1"/>
    </xf>
    <xf numFmtId="0" fontId="3" fillId="8" borderId="4" xfId="0" applyFont="1" applyFill="1" applyBorder="1" applyAlignment="1" applyProtection="1">
      <alignment horizontal="left" indent="10"/>
      <protection hidden="1"/>
    </xf>
    <xf numFmtId="0" fontId="3" fillId="8" borderId="1" xfId="0" applyFont="1" applyFill="1" applyBorder="1" applyAlignment="1" applyProtection="1">
      <alignment horizontal="left" indent="11"/>
      <protection hidden="1"/>
    </xf>
    <xf numFmtId="0" fontId="3" fillId="8" borderId="2" xfId="0" applyFont="1" applyFill="1" applyBorder="1" applyAlignment="1" applyProtection="1">
      <alignment horizontal="left" indent="11"/>
      <protection hidden="1"/>
    </xf>
    <xf numFmtId="0" fontId="3" fillId="8" borderId="4" xfId="0" applyFont="1" applyFill="1" applyBorder="1" applyAlignment="1" applyProtection="1">
      <alignment horizontal="left" indent="11"/>
      <protection hidden="1"/>
    </xf>
    <xf numFmtId="179" fontId="5" fillId="8" borderId="1" xfId="0" applyNumberFormat="1" applyFont="1" applyFill="1" applyBorder="1" applyAlignment="1" applyProtection="1">
      <alignment horizontal="left" indent="18"/>
      <protection hidden="1"/>
    </xf>
    <xf numFmtId="179" fontId="5" fillId="8" borderId="2" xfId="0" applyNumberFormat="1" applyFont="1" applyFill="1" applyBorder="1" applyAlignment="1" applyProtection="1">
      <alignment horizontal="left" indent="18"/>
      <protection hidden="1"/>
    </xf>
    <xf numFmtId="179" fontId="5" fillId="8" borderId="4" xfId="0" applyNumberFormat="1" applyFont="1" applyFill="1" applyBorder="1" applyAlignment="1" applyProtection="1">
      <alignment horizontal="left" indent="18"/>
      <protection hidden="1"/>
    </xf>
    <xf numFmtId="179" fontId="3" fillId="8" borderId="1" xfId="0" applyNumberFormat="1" applyFont="1" applyFill="1" applyBorder="1" applyAlignment="1" applyProtection="1">
      <alignment horizontal="left" indent="16"/>
      <protection hidden="1"/>
    </xf>
    <xf numFmtId="179" fontId="3" fillId="8" borderId="2" xfId="0" applyNumberFormat="1" applyFont="1" applyFill="1" applyBorder="1" applyAlignment="1" applyProtection="1">
      <alignment horizontal="left" indent="16"/>
      <protection hidden="1"/>
    </xf>
    <xf numFmtId="179" fontId="3" fillId="8" borderId="4" xfId="0" applyNumberFormat="1" applyFont="1" applyFill="1" applyBorder="1" applyAlignment="1" applyProtection="1">
      <alignment horizontal="left" indent="16"/>
      <protection hidden="1"/>
    </xf>
    <xf numFmtId="0" fontId="28" fillId="0" borderId="23" xfId="0" applyFont="1" applyBorder="1" applyAlignment="1" applyProtection="1">
      <alignment horizontal="left" indent="11"/>
    </xf>
    <xf numFmtId="0" fontId="28" fillId="0" borderId="25" xfId="0" applyFont="1" applyBorder="1" applyAlignment="1" applyProtection="1">
      <alignment horizontal="left" indent="11"/>
    </xf>
    <xf numFmtId="0" fontId="28" fillId="0" borderId="23" xfId="0" applyFont="1" applyBorder="1" applyAlignment="1" applyProtection="1">
      <alignment horizontal="left" indent="13"/>
    </xf>
    <xf numFmtId="0" fontId="28" fillId="0" borderId="25" xfId="0" applyFont="1" applyBorder="1" applyAlignment="1" applyProtection="1">
      <alignment horizontal="left" indent="13"/>
    </xf>
    <xf numFmtId="0" fontId="3" fillId="8" borderId="1" xfId="0" applyFont="1" applyFill="1" applyBorder="1" applyAlignment="1" applyProtection="1">
      <alignment horizontal="left" indent="13"/>
      <protection hidden="1"/>
    </xf>
    <xf numFmtId="0" fontId="3" fillId="8" borderId="2" xfId="0" applyFont="1" applyFill="1" applyBorder="1" applyAlignment="1" applyProtection="1">
      <alignment horizontal="left" indent="13"/>
      <protection hidden="1"/>
    </xf>
    <xf numFmtId="0" fontId="3" fillId="8" borderId="4" xfId="0" applyFont="1" applyFill="1" applyBorder="1" applyAlignment="1" applyProtection="1">
      <alignment horizontal="left" indent="13"/>
      <protection hidden="1"/>
    </xf>
    <xf numFmtId="0" fontId="5" fillId="8" borderId="1" xfId="0" applyFont="1" applyFill="1" applyBorder="1" applyAlignment="1" applyProtection="1">
      <alignment horizontal="left" indent="18"/>
      <protection hidden="1"/>
    </xf>
    <xf numFmtId="0" fontId="5" fillId="8" borderId="2" xfId="0" applyFont="1" applyFill="1" applyBorder="1" applyAlignment="1" applyProtection="1">
      <alignment horizontal="left" indent="18"/>
      <protection hidden="1"/>
    </xf>
    <xf numFmtId="0" fontId="5" fillId="8" borderId="4" xfId="0" applyFont="1" applyFill="1" applyBorder="1" applyAlignment="1" applyProtection="1">
      <alignment horizontal="left" indent="18"/>
      <protection hidden="1"/>
    </xf>
    <xf numFmtId="0" fontId="5" fillId="8" borderId="1" xfId="0" applyFont="1" applyFill="1" applyBorder="1" applyAlignment="1" applyProtection="1">
      <alignment horizontal="left" indent="27"/>
      <protection hidden="1"/>
    </xf>
    <xf numFmtId="0" fontId="5" fillId="8" borderId="2" xfId="0" applyFont="1" applyFill="1" applyBorder="1" applyAlignment="1" applyProtection="1">
      <alignment horizontal="left" indent="27"/>
      <protection hidden="1"/>
    </xf>
    <xf numFmtId="0" fontId="5" fillId="8" borderId="4" xfId="0" applyFont="1" applyFill="1" applyBorder="1" applyAlignment="1" applyProtection="1">
      <alignment horizontal="left" indent="27"/>
      <protection hidden="1"/>
    </xf>
    <xf numFmtId="0" fontId="58" fillId="40" borderId="0" xfId="0" applyFont="1" applyFill="1" applyAlignment="1" applyProtection="1">
      <alignment horizontal="left" vertical="center" indent="45"/>
    </xf>
    <xf numFmtId="0" fontId="4" fillId="8" borderId="1" xfId="0" applyFont="1" applyFill="1" applyBorder="1" applyAlignment="1" applyProtection="1">
      <alignment horizontal="left" indent="13"/>
      <protection hidden="1"/>
    </xf>
    <xf numFmtId="0" fontId="4" fillId="8" borderId="2" xfId="0" applyFont="1" applyFill="1" applyBorder="1" applyAlignment="1" applyProtection="1">
      <alignment horizontal="left" indent="13"/>
      <protection hidden="1"/>
    </xf>
    <xf numFmtId="0" fontId="4" fillId="8" borderId="4" xfId="0" applyFont="1" applyFill="1" applyBorder="1" applyAlignment="1" applyProtection="1">
      <alignment horizontal="left" indent="13"/>
      <protection hidden="1"/>
    </xf>
    <xf numFmtId="0" fontId="5" fillId="8" borderId="28" xfId="0" applyFont="1" applyFill="1" applyBorder="1" applyAlignment="1" applyProtection="1">
      <alignment horizontal="left" indent="8"/>
      <protection hidden="1"/>
    </xf>
    <xf numFmtId="0" fontId="5" fillId="8" borderId="23" xfId="0" applyFont="1" applyFill="1" applyBorder="1" applyAlignment="1" applyProtection="1">
      <alignment horizontal="left" indent="8"/>
      <protection hidden="1"/>
    </xf>
    <xf numFmtId="0" fontId="5" fillId="8" borderId="25" xfId="0" applyFont="1" applyFill="1" applyBorder="1" applyAlignment="1" applyProtection="1">
      <alignment horizontal="left" indent="8"/>
      <protection hidden="1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urrency" xfId="2" builtinId="4"/>
    <cellStyle name="Currency 2" xfId="8"/>
    <cellStyle name="Explanatory Text" xfId="4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" xfId="7"/>
    <cellStyle name="Normal_Sheet2" xfId="5"/>
    <cellStyle name="Note" xfId="6" builtinId="10" customBuiltin="1"/>
    <cellStyle name="Output" xfId="18" builtinId="21" customBuiltin="1"/>
    <cellStyle name="Percent" xfId="3" builtinId="5"/>
    <cellStyle name="Percent 2" xfId="9"/>
    <cellStyle name="Title 2" xfId="48"/>
    <cellStyle name="Total" xfId="23" builtinId="25" customBuiltin="1"/>
    <cellStyle name="Warning Text" xfId="22" builtinId="11" customBuiltin="1"/>
  </cellStyles>
  <dxfs count="2"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0" zoomScaleNormal="80" workbookViewId="0"/>
  </sheetViews>
  <sheetFormatPr defaultRowHeight="14.3" x14ac:dyDescent="0.25"/>
  <cols>
    <col min="1" max="1" width="36.375" style="636" customWidth="1"/>
    <col min="2" max="2" width="25.25" style="9" customWidth="1"/>
    <col min="3" max="3" width="12.75" style="18" customWidth="1"/>
    <col min="4" max="4" width="15" style="18" customWidth="1"/>
    <col min="5" max="5" width="13" style="18" customWidth="1"/>
    <col min="6" max="6" width="13.125" style="18" customWidth="1"/>
    <col min="7" max="7" width="17.875" style="18" customWidth="1"/>
    <col min="8" max="8" width="10.75" style="18" customWidth="1"/>
    <col min="9" max="9" width="17.375" style="18" customWidth="1"/>
    <col min="10" max="10" width="10.75" style="18" customWidth="1"/>
    <col min="11" max="11" width="11.625" style="18" customWidth="1"/>
    <col min="12" max="12" width="12.25" style="18" customWidth="1"/>
    <col min="13" max="13" width="11.25" style="18" customWidth="1"/>
  </cols>
  <sheetData>
    <row r="1" spans="1:15" s="128" customFormat="1" ht="18.7" x14ac:dyDescent="0.3">
      <c r="A1" s="763" t="s">
        <v>397</v>
      </c>
      <c r="B1" s="9"/>
      <c r="C1" s="18" t="s">
        <v>686</v>
      </c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s="125" customFormat="1" ht="17.350000000000001" thickBot="1" x14ac:dyDescent="0.3">
      <c r="A2" s="764" t="s">
        <v>350</v>
      </c>
      <c r="B2" s="23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s="125" customFormat="1" ht="15.8" thickTop="1" x14ac:dyDescent="0.25">
      <c r="A3" s="765" t="s">
        <v>351</v>
      </c>
      <c r="B3" s="33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s="125" customFormat="1" ht="14.95" x14ac:dyDescent="0.25">
      <c r="A4" s="765" t="s">
        <v>352</v>
      </c>
      <c r="B4" s="33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s="125" customFormat="1" ht="14.95" x14ac:dyDescent="0.25">
      <c r="A5" s="766" t="s">
        <v>353</v>
      </c>
      <c r="B5" s="33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x14ac:dyDescent="0.25">
      <c r="A6" s="765" t="s">
        <v>80</v>
      </c>
      <c r="B6" s="338"/>
      <c r="C6" s="18" t="s">
        <v>430</v>
      </c>
    </row>
    <row r="7" spans="1:15" s="126" customFormat="1" ht="15.8" customHeight="1" x14ac:dyDescent="0.3">
      <c r="A7" s="767" t="s">
        <v>81</v>
      </c>
      <c r="B7" s="338"/>
      <c r="C7" s="33"/>
      <c r="D7" s="784"/>
      <c r="E7" s="785"/>
      <c r="F7" s="785" t="s">
        <v>114</v>
      </c>
      <c r="G7" s="785"/>
      <c r="H7" s="785"/>
      <c r="I7" s="786"/>
      <c r="J7" s="18"/>
      <c r="K7" s="781" t="s">
        <v>446</v>
      </c>
      <c r="L7" s="782"/>
      <c r="M7" s="783"/>
      <c r="N7"/>
      <c r="O7"/>
    </row>
    <row r="8" spans="1:15" s="126" customFormat="1" x14ac:dyDescent="0.25">
      <c r="A8" s="768" t="s">
        <v>376</v>
      </c>
      <c r="B8" s="339"/>
      <c r="C8" s="33" t="s">
        <v>272</v>
      </c>
      <c r="D8" s="792" t="s">
        <v>83</v>
      </c>
      <c r="E8" s="787"/>
      <c r="F8" s="792" t="s">
        <v>47</v>
      </c>
      <c r="G8" s="789"/>
      <c r="H8" s="791" t="s">
        <v>78</v>
      </c>
      <c r="I8" s="790"/>
      <c r="J8" s="18"/>
      <c r="K8" s="210" t="s">
        <v>83</v>
      </c>
      <c r="L8" s="211">
        <v>10716</v>
      </c>
      <c r="M8" s="20" t="s">
        <v>92</v>
      </c>
      <c r="N8" s="128" t="s">
        <v>90</v>
      </c>
      <c r="O8"/>
    </row>
    <row r="9" spans="1:15" s="126" customFormat="1" x14ac:dyDescent="0.25">
      <c r="A9" s="768" t="s">
        <v>375</v>
      </c>
      <c r="B9" s="340"/>
      <c r="C9" s="773"/>
      <c r="D9" s="788" t="e">
        <f>B13/B9*1000</f>
        <v>#DIV/0!</v>
      </c>
      <c r="E9" s="20" t="s">
        <v>86</v>
      </c>
      <c r="F9" s="212" t="e">
        <f>B20/B9</f>
        <v>#DIV/0!</v>
      </c>
      <c r="G9" s="213" t="s">
        <v>99</v>
      </c>
      <c r="H9" s="214" t="e">
        <f>B23/B9</f>
        <v>#DIV/0!</v>
      </c>
      <c r="I9" s="20" t="s">
        <v>96</v>
      </c>
      <c r="J9" s="18"/>
      <c r="K9" s="210" t="s">
        <v>47</v>
      </c>
      <c r="L9" s="215">
        <v>100000</v>
      </c>
      <c r="M9" s="20" t="s">
        <v>106</v>
      </c>
      <c r="N9"/>
      <c r="O9"/>
    </row>
    <row r="10" spans="1:15" s="127" customFormat="1" ht="21.1" x14ac:dyDescent="0.25">
      <c r="A10" s="636"/>
      <c r="B10" s="9"/>
      <c r="C10" s="774"/>
      <c r="D10" s="216" t="e">
        <f>B16/B9</f>
        <v>#DIV/0!</v>
      </c>
      <c r="E10" s="217" t="s">
        <v>94</v>
      </c>
      <c r="F10" s="218" t="e">
        <f>B21/B9</f>
        <v>#DIV/0!</v>
      </c>
      <c r="G10" s="213" t="s">
        <v>100</v>
      </c>
      <c r="H10" s="212" t="e">
        <f>B26/B9</f>
        <v>#DIV/0!</v>
      </c>
      <c r="I10" s="20" t="s">
        <v>97</v>
      </c>
      <c r="J10" s="18"/>
      <c r="K10" s="210" t="s">
        <v>49</v>
      </c>
      <c r="L10" s="211">
        <v>92500</v>
      </c>
      <c r="M10" s="20" t="s">
        <v>91</v>
      </c>
      <c r="N10"/>
      <c r="O10"/>
    </row>
    <row r="11" spans="1:15" ht="14.95" x14ac:dyDescent="0.25">
      <c r="D11" s="219" t="e">
        <f>B18/B9</f>
        <v>#DIV/0!</v>
      </c>
      <c r="E11" s="217" t="s">
        <v>95</v>
      </c>
      <c r="F11" s="219" t="s">
        <v>84</v>
      </c>
      <c r="G11" s="20"/>
      <c r="H11" s="220" t="e">
        <f>(B24+B27)/B9</f>
        <v>#DIV/0!</v>
      </c>
      <c r="I11" s="20" t="s">
        <v>98</v>
      </c>
      <c r="K11" s="210" t="s">
        <v>93</v>
      </c>
      <c r="L11" s="211">
        <v>138500</v>
      </c>
      <c r="M11" s="20" t="s">
        <v>91</v>
      </c>
    </row>
    <row r="12" spans="1:15" s="128" customFormat="1" ht="30.1" customHeight="1" thickBot="1" x14ac:dyDescent="0.4">
      <c r="A12" s="769" t="s">
        <v>83</v>
      </c>
      <c r="B12" s="231"/>
      <c r="C12" s="18"/>
      <c r="D12" s="221" t="s">
        <v>85</v>
      </c>
      <c r="E12" s="222" t="e">
        <f>(B17+B18+B21+B24+B27)/B9</f>
        <v>#DIV/0!</v>
      </c>
      <c r="F12" s="223"/>
      <c r="G12" s="221" t="s">
        <v>87</v>
      </c>
      <c r="H12" s="224" t="e">
        <f>(B16*10716+100000*B20+B23*92500+B26*138500)/1000/B9</f>
        <v>#DIV/0!</v>
      </c>
      <c r="I12" s="225" t="s">
        <v>84</v>
      </c>
      <c r="J12" s="18"/>
      <c r="K12" s="18"/>
      <c r="L12" s="18"/>
      <c r="M12" s="18"/>
    </row>
    <row r="13" spans="1:15" s="128" customFormat="1" ht="15.8" thickTop="1" x14ac:dyDescent="0.25">
      <c r="A13" s="768" t="s">
        <v>273</v>
      </c>
      <c r="B13" s="629"/>
      <c r="C13" s="18"/>
      <c r="D13" s="226"/>
      <c r="E13" s="226"/>
      <c r="F13" s="227"/>
      <c r="G13" s="226"/>
      <c r="H13" s="226"/>
      <c r="I13" s="228"/>
      <c r="J13" s="18"/>
      <c r="K13" s="18"/>
      <c r="L13" s="18"/>
      <c r="M13" s="18"/>
    </row>
    <row r="14" spans="1:15" s="128" customFormat="1" ht="14.95" x14ac:dyDescent="0.25">
      <c r="A14" s="768" t="s">
        <v>443</v>
      </c>
      <c r="B14" s="629"/>
      <c r="C14" s="18" t="s">
        <v>445</v>
      </c>
      <c r="D14" s="226"/>
      <c r="E14" s="226"/>
      <c r="F14" s="227"/>
      <c r="G14" s="226"/>
      <c r="H14" s="226"/>
      <c r="I14" s="228"/>
      <c r="J14" s="18"/>
      <c r="K14" s="18"/>
      <c r="L14" s="18"/>
      <c r="M14" s="18"/>
    </row>
    <row r="15" spans="1:15" s="128" customFormat="1" ht="14.95" x14ac:dyDescent="0.25">
      <c r="A15" s="768" t="s">
        <v>444</v>
      </c>
      <c r="B15" s="629"/>
      <c r="C15" s="18"/>
      <c r="D15" s="226"/>
      <c r="E15" s="226"/>
      <c r="F15" s="227"/>
      <c r="G15" s="226"/>
      <c r="H15" s="226"/>
      <c r="I15" s="228"/>
      <c r="J15" s="18"/>
      <c r="K15" s="18"/>
      <c r="L15" s="18"/>
      <c r="M15" s="18"/>
    </row>
    <row r="16" spans="1:15" ht="14.95" x14ac:dyDescent="0.25">
      <c r="A16" s="768" t="s">
        <v>75</v>
      </c>
      <c r="B16" s="632"/>
    </row>
    <row r="17" spans="1:13" s="128" customFormat="1" ht="14.95" x14ac:dyDescent="0.25">
      <c r="A17" s="708" t="s">
        <v>468</v>
      </c>
      <c r="B17" s="63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4.95" x14ac:dyDescent="0.25">
      <c r="A18" s="768" t="s">
        <v>76</v>
      </c>
      <c r="B18" s="633"/>
    </row>
    <row r="19" spans="1:13" ht="20.25" thickBot="1" x14ac:dyDescent="0.4">
      <c r="A19" s="769" t="s">
        <v>47</v>
      </c>
      <c r="B19" s="630"/>
    </row>
    <row r="20" spans="1:13" ht="15.8" thickTop="1" x14ac:dyDescent="0.25">
      <c r="A20" s="768" t="s">
        <v>101</v>
      </c>
      <c r="B20" s="629"/>
    </row>
    <row r="21" spans="1:13" x14ac:dyDescent="0.25">
      <c r="A21" s="768" t="s">
        <v>77</v>
      </c>
      <c r="B21" s="631"/>
    </row>
    <row r="22" spans="1:13" ht="20.25" customHeight="1" thickBot="1" x14ac:dyDescent="0.35">
      <c r="A22" s="769" t="s">
        <v>120</v>
      </c>
      <c r="B22" s="630"/>
      <c r="D22" s="778"/>
      <c r="E22" s="779" t="s">
        <v>104</v>
      </c>
      <c r="F22" s="780"/>
    </row>
    <row r="23" spans="1:13" ht="14.95" thickTop="1" x14ac:dyDescent="0.25">
      <c r="A23" s="768" t="s">
        <v>79</v>
      </c>
      <c r="B23" s="629"/>
      <c r="D23" s="210" t="s">
        <v>83</v>
      </c>
      <c r="E23" s="229">
        <f>IF(B18=0,0,(B18-100)/B15)</f>
        <v>0</v>
      </c>
      <c r="F23" s="20" t="s">
        <v>13</v>
      </c>
    </row>
    <row r="24" spans="1:13" ht="14.95" x14ac:dyDescent="0.25">
      <c r="A24" s="768" t="s">
        <v>88</v>
      </c>
      <c r="B24" s="633"/>
      <c r="D24" s="210" t="s">
        <v>47</v>
      </c>
      <c r="E24" s="20">
        <f>IF(B20=0,0,B21/B20)</f>
        <v>0</v>
      </c>
      <c r="F24" s="20" t="s">
        <v>18</v>
      </c>
    </row>
    <row r="25" spans="1:13" ht="14.95" x14ac:dyDescent="0.25">
      <c r="A25" s="770"/>
      <c r="B25" s="247"/>
      <c r="D25" s="210" t="s">
        <v>49</v>
      </c>
      <c r="E25" s="230">
        <f>IF(B23=0,0,B24/B23)</f>
        <v>0</v>
      </c>
      <c r="F25" s="20" t="s">
        <v>105</v>
      </c>
    </row>
    <row r="26" spans="1:13" ht="14.95" x14ac:dyDescent="0.25">
      <c r="A26" s="768" t="s">
        <v>82</v>
      </c>
      <c r="B26" s="629"/>
      <c r="D26" s="210" t="s">
        <v>93</v>
      </c>
      <c r="E26" s="230">
        <f>IF(B26=0,0,B27/B26)</f>
        <v>0</v>
      </c>
      <c r="F26" s="20" t="s">
        <v>105</v>
      </c>
    </row>
    <row r="27" spans="1:13" ht="15.8" thickBot="1" x14ac:dyDescent="0.3">
      <c r="A27" s="771" t="s">
        <v>89</v>
      </c>
      <c r="B27" s="248"/>
    </row>
    <row r="28" spans="1:13" ht="14.95" x14ac:dyDescent="0.25">
      <c r="A28" s="772"/>
      <c r="B28" s="351"/>
      <c r="C28" s="33"/>
    </row>
    <row r="29" spans="1:13" ht="14.95" x14ac:dyDescent="0.25">
      <c r="A29" s="636" t="s">
        <v>436</v>
      </c>
    </row>
  </sheetData>
  <sheetProtection algorithmName="SHA-512" hashValue="u4tPXTlqOUYnQ8FluwAluGsCpvCziboVTiWAAiCys6LgzBuGelKysxThGAQWTc1EjGGorK1oY1O5W2bRKGaj9w==" saltValue="GWvm8xkTIG8xwPpYhbVZzg==" spinCount="100000" sheet="1" objects="1" scenarios="1"/>
  <dataValidations xWindow="727" yWindow="564" count="18">
    <dataValidation allowBlank="1" showInputMessage="1" showErrorMessage="1" promptTitle="Total Annual Fuel Oil Costs" prompt="Please enter the total annual fuel oil charge at the site (this may require adding the fuel oil charge of multiple meters serving a single site)." sqref="B27"/>
    <dataValidation allowBlank="1" showInputMessage="1" showErrorMessage="1" promptTitle="Total Annual Fuel Oil Use" prompt="Please enter the total annual fuel oil use at the site (this may require adding the fuel oil use of multiple meters serving a single site)." sqref="B26"/>
    <dataValidation allowBlank="1" showInputMessage="1" showErrorMessage="1" promptTitle="Total Annual Propane Charges" prompt="Please enter the total annual propane charge at the site (this may require adding the propane charge of multiple meters serving a single site)." sqref="B24"/>
    <dataValidation allowBlank="1" showInputMessage="1" showErrorMessage="1" promptTitle="Total Annual Propane Use" prompt="Please enter the total annual propane use at the site (this may require adding the propane use of multiple meters serving a single site)." sqref="B23"/>
    <dataValidation allowBlank="1" showInputMessage="1" showErrorMessage="1" promptTitle="Total Annual Gas Charges" prompt="Please enter the total annual natural gas charge at the site from multiple meters and from the third party gas supplier." sqref="B21"/>
    <dataValidation allowBlank="1" showInputMessage="1" showErrorMessage="1" promptTitle="Total Annual Natural Gas Use" prompt="Please enter the total annual natural gas usage at the site (this may require adding the natural gas usage of multiple meters serving a single site)." sqref="B20"/>
    <dataValidation allowBlank="1" showInputMessage="1" showErrorMessage="1" promptTitle="Total Annual Electric Charges" prompt="Please enter the total annual electricity charge at the site (this may require adding the electricity charge of multiple meters serving a single site)." sqref="B18"/>
    <dataValidation allowBlank="1" showInputMessage="1" showErrorMessage="1" promptTitle="Total Annual Electric Use" prompt="Please enter the total 12 month electricity usage from PV system (if there is PV onsite) and utility meter(s)." sqref="B16:B17"/>
    <dataValidation allowBlank="1" showInputMessage="1" showErrorMessage="1" promptTitle="Average Maximum Peak Demand" prompt="Please enter the average maximum peak demand of all school buildings over the 12-month period, if known.  This may require averaging peak demands of multiple meters serving a single site." sqref="B13"/>
    <dataValidation allowBlank="1" showInputMessage="1" showErrorMessage="1" promptTitle="Total Gross Square Footage" prompt="Please enter the total gross square footage of all the school buildings excluding outside covered walkways or porch areas." sqref="B9"/>
    <dataValidation allowBlank="1" showInputMessage="1" showErrorMessage="1" promptTitle="Utility Billing Period" prompt="Please enter the billing period of the 12 month data from the most recent fiscal year." sqref="B8"/>
    <dataValidation allowBlank="1" showInputMessage="1" showErrorMessage="1" promptTitle="Gas Utility" prompt="Please enter the gas utility" sqref="B7"/>
    <dataValidation allowBlank="1" showInputMessage="1" showErrorMessage="1" promptTitle="Electric Utility" prompt="Please enter the electric utility" sqref="B6"/>
    <dataValidation allowBlank="1" showInputMessage="1" showErrorMessage="1" promptTitle="Mailing Address" prompt="Please enter the school mailing address" sqref="B5"/>
    <dataValidation allowBlank="1" showInputMessage="1" showErrorMessage="1" promptTitle="School CDS Code" prompt="Please enter the school's CDS code" sqref="B4"/>
    <dataValidation allowBlank="1" showInputMessage="1" showErrorMessage="1" promptTitle="School Name" prompt="Please enter the school name" sqref="B3"/>
    <dataValidation allowBlank="1" showInputMessage="1" showErrorMessage="1" promptTitle="Annual PV kWh production" prompt="Enter kWh generated from PV system if you have PV onsite." sqref="B14"/>
    <dataValidation allowBlank="1" showInputMessage="1" showErrorMessage="1" promptTitle="Additional electricity purchase" prompt="Enter 12 month electricity purchased from local utility. Add kWh use _x000a_from all meters if the school has multiple meters." sqref="B15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4.3" x14ac:dyDescent="0.25"/>
  <cols>
    <col min="1" max="1" width="36.25" bestFit="1" customWidth="1"/>
    <col min="2" max="2" width="15" bestFit="1" customWidth="1"/>
    <col min="3" max="3" width="13.875" bestFit="1" customWidth="1"/>
    <col min="4" max="4" width="16.375" bestFit="1" customWidth="1"/>
    <col min="5" max="5" width="11.625" bestFit="1" customWidth="1"/>
    <col min="6" max="6" width="14.875" bestFit="1" customWidth="1"/>
  </cols>
  <sheetData>
    <row r="1" spans="1:7" s="128" customFormat="1" ht="14.95" x14ac:dyDescent="0.25">
      <c r="A1" s="4" t="s">
        <v>343</v>
      </c>
    </row>
    <row r="2" spans="1:7" ht="14.95" x14ac:dyDescent="0.25">
      <c r="A2" s="136" t="s">
        <v>122</v>
      </c>
      <c r="B2" s="136" t="s">
        <v>123</v>
      </c>
      <c r="C2" s="136" t="s">
        <v>124</v>
      </c>
      <c r="D2" s="136" t="s">
        <v>125</v>
      </c>
      <c r="E2" s="136" t="s">
        <v>126</v>
      </c>
      <c r="F2" s="136" t="s">
        <v>127</v>
      </c>
    </row>
    <row r="3" spans="1:7" ht="14.95" x14ac:dyDescent="0.25">
      <c r="A3" s="137" t="s">
        <v>279</v>
      </c>
      <c r="B3" s="138">
        <v>2.6344444444444446</v>
      </c>
      <c r="C3" s="138">
        <v>2.8591111111111116E-4</v>
      </c>
      <c r="D3" s="138">
        <v>-1.595111111111111E-2</v>
      </c>
      <c r="E3" s="138">
        <v>2390</v>
      </c>
      <c r="F3" s="138">
        <v>0.22988888888888889</v>
      </c>
    </row>
    <row r="4" spans="1:7" s="128" customFormat="1" ht="14.95" x14ac:dyDescent="0.25">
      <c r="A4" s="251" t="s">
        <v>406</v>
      </c>
      <c r="B4" s="252">
        <f>B3/'Lamp ratio'!E40*'Lamp ratio'!E41</f>
        <v>2.3835449735449736</v>
      </c>
      <c r="C4" s="252">
        <f>C3/'Lamp ratio'!E40*'Lamp ratio'!E41</f>
        <v>2.5868148148148156E-4</v>
      </c>
      <c r="D4" s="252">
        <f>D3/'Lamp ratio'!E40*'Lamp ratio'!E41</f>
        <v>-1.4431957671957671E-2</v>
      </c>
      <c r="E4" s="152"/>
      <c r="F4" s="152"/>
      <c r="G4" s="128" t="s">
        <v>411</v>
      </c>
    </row>
    <row r="5" spans="1:7" ht="14.95" x14ac:dyDescent="0.25">
      <c r="A5" s="251" t="s">
        <v>280</v>
      </c>
      <c r="B5" s="252">
        <v>9.3044444444444441</v>
      </c>
      <c r="C5" s="252">
        <v>1.1211111111111114E-3</v>
      </c>
      <c r="D5" s="252">
        <v>-5.9722222222222197E-2</v>
      </c>
      <c r="E5" s="138">
        <v>8760</v>
      </c>
      <c r="F5" s="138">
        <v>1</v>
      </c>
    </row>
    <row r="6" spans="1:7" ht="14.95" x14ac:dyDescent="0.25">
      <c r="A6" s="251" t="s">
        <v>281</v>
      </c>
      <c r="B6" s="252">
        <v>2.5499999999999998</v>
      </c>
      <c r="C6" s="252">
        <v>2.8863333333333332E-4</v>
      </c>
      <c r="D6" s="252">
        <v>-1.512888888888889E-2</v>
      </c>
      <c r="E6" s="138">
        <v>2300</v>
      </c>
      <c r="F6" s="138">
        <v>0.22982222222222223</v>
      </c>
    </row>
    <row r="7" spans="1:7" ht="14.95" x14ac:dyDescent="0.25">
      <c r="A7" s="253" t="s">
        <v>282</v>
      </c>
      <c r="B7" s="252">
        <v>2.5499999999999998</v>
      </c>
      <c r="C7" s="252">
        <v>2.8863333333333332E-4</v>
      </c>
      <c r="D7" s="252">
        <v>-1.512888888888889E-2</v>
      </c>
      <c r="E7" s="252">
        <v>2300</v>
      </c>
      <c r="F7" s="252">
        <v>0.22982222222222223</v>
      </c>
      <c r="G7" s="128" t="s">
        <v>387</v>
      </c>
    </row>
    <row r="8" spans="1:7" ht="14.95" x14ac:dyDescent="0.25">
      <c r="A8" s="151" t="s">
        <v>283</v>
      </c>
      <c r="B8">
        <v>313.55</v>
      </c>
      <c r="C8">
        <v>6.1349999999999995E-2</v>
      </c>
      <c r="D8">
        <v>-2.0587600000000004</v>
      </c>
      <c r="E8" s="296">
        <v>200</v>
      </c>
    </row>
    <row r="9" spans="1:7" ht="14.95" x14ac:dyDescent="0.25">
      <c r="A9" s="251" t="s">
        <v>406</v>
      </c>
      <c r="B9" s="252">
        <f>(B3+B4)/2</f>
        <v>2.5089947089947091</v>
      </c>
      <c r="C9" s="252">
        <f t="shared" ref="C9:D9" si="0">(C3+C4)/2</f>
        <v>2.7229629629629636E-4</v>
      </c>
      <c r="D9" s="252">
        <f t="shared" si="0"/>
        <v>-1.5191534391534391E-2</v>
      </c>
      <c r="E9" s="152"/>
      <c r="F9" s="152"/>
      <c r="G9" s="128" t="s">
        <v>477</v>
      </c>
    </row>
    <row r="10" spans="1:7" ht="30.1" x14ac:dyDescent="0.25">
      <c r="A10" s="244" t="s">
        <v>371</v>
      </c>
      <c r="B10" s="245">
        <f>B5/8.76</f>
        <v>1.0621511922881786</v>
      </c>
      <c r="C10" s="246"/>
      <c r="D10" s="246">
        <f>(D3+D6)/2</f>
        <v>-1.554E-2</v>
      </c>
      <c r="G10" s="128" t="s">
        <v>388</v>
      </c>
    </row>
  </sheetData>
  <sheetProtection password="C33D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/>
  </sheetViews>
  <sheetFormatPr defaultRowHeight="14.3" x14ac:dyDescent="0.25"/>
  <cols>
    <col min="2" max="2" width="20" bestFit="1" customWidth="1"/>
    <col min="3" max="3" width="13.625" bestFit="1" customWidth="1"/>
    <col min="4" max="4" width="87.75" bestFit="1" customWidth="1"/>
    <col min="7" max="7" width="55.625" customWidth="1"/>
    <col min="8" max="8" width="11.25" customWidth="1"/>
  </cols>
  <sheetData>
    <row r="1" spans="2:10" x14ac:dyDescent="0.25">
      <c r="B1" s="4" t="s">
        <v>341</v>
      </c>
      <c r="H1" s="128" t="s">
        <v>386</v>
      </c>
    </row>
    <row r="2" spans="2:10" x14ac:dyDescent="0.25">
      <c r="B2" s="128" t="s">
        <v>131</v>
      </c>
      <c r="C2" s="139" t="s">
        <v>132</v>
      </c>
      <c r="D2" s="128" t="s">
        <v>133</v>
      </c>
      <c r="E2" s="128"/>
      <c r="F2" s="128"/>
      <c r="G2" s="146" t="s">
        <v>240</v>
      </c>
      <c r="H2" s="150">
        <f>72/59</f>
        <v>1.2203389830508475</v>
      </c>
      <c r="I2" s="128"/>
      <c r="J2" s="128"/>
    </row>
    <row r="3" spans="2:10" x14ac:dyDescent="0.25">
      <c r="B3" s="128" t="s">
        <v>134</v>
      </c>
      <c r="C3" s="139" t="s">
        <v>135</v>
      </c>
      <c r="D3" s="128" t="s">
        <v>136</v>
      </c>
      <c r="E3" s="128"/>
      <c r="F3" s="128"/>
      <c r="G3" s="146" t="s">
        <v>241</v>
      </c>
      <c r="H3" s="150">
        <f>86/59</f>
        <v>1.4576271186440677</v>
      </c>
      <c r="I3" s="128"/>
      <c r="J3" s="128"/>
    </row>
    <row r="4" spans="2:10" x14ac:dyDescent="0.25">
      <c r="B4" s="128" t="s">
        <v>137</v>
      </c>
      <c r="C4" s="139" t="s">
        <v>138</v>
      </c>
      <c r="D4" s="128" t="s">
        <v>139</v>
      </c>
      <c r="E4" s="128"/>
      <c r="F4" s="128"/>
      <c r="G4" s="146" t="s">
        <v>242</v>
      </c>
      <c r="H4" s="150">
        <f>58/49</f>
        <v>1.1836734693877551</v>
      </c>
      <c r="I4" s="128"/>
      <c r="J4" s="128"/>
    </row>
    <row r="5" spans="2:10" x14ac:dyDescent="0.25">
      <c r="B5" s="128" t="s">
        <v>140</v>
      </c>
      <c r="C5" s="139" t="s">
        <v>141</v>
      </c>
      <c r="D5" s="128" t="s">
        <v>142</v>
      </c>
      <c r="E5" s="128"/>
      <c r="F5" s="128"/>
      <c r="G5" s="146" t="s">
        <v>237</v>
      </c>
      <c r="H5" s="150">
        <f>58/38</f>
        <v>1.5263157894736843</v>
      </c>
      <c r="I5" s="128"/>
      <c r="J5" s="128"/>
    </row>
    <row r="6" spans="2:10" x14ac:dyDescent="0.25">
      <c r="B6" s="128" t="s">
        <v>143</v>
      </c>
      <c r="C6" s="139" t="s">
        <v>141</v>
      </c>
      <c r="D6" s="128" t="s">
        <v>142</v>
      </c>
      <c r="E6" s="128"/>
      <c r="F6" s="128"/>
      <c r="G6" s="146" t="s">
        <v>238</v>
      </c>
      <c r="H6" s="150">
        <f>86/38</f>
        <v>2.263157894736842</v>
      </c>
      <c r="I6" s="128"/>
      <c r="J6" s="128"/>
    </row>
    <row r="7" spans="2:10" x14ac:dyDescent="0.25">
      <c r="B7" s="128" t="s">
        <v>144</v>
      </c>
      <c r="C7" s="139" t="s">
        <v>141</v>
      </c>
      <c r="D7" s="128" t="s">
        <v>142</v>
      </c>
      <c r="E7" s="128"/>
      <c r="F7" s="128"/>
      <c r="G7" s="146" t="s">
        <v>239</v>
      </c>
      <c r="H7" s="150">
        <f>74/38</f>
        <v>1.9473684210526316</v>
      </c>
      <c r="I7" s="128"/>
      <c r="J7" s="128"/>
    </row>
    <row r="8" spans="2:10" x14ac:dyDescent="0.25">
      <c r="B8" s="128" t="s">
        <v>145</v>
      </c>
      <c r="C8" s="139" t="s">
        <v>146</v>
      </c>
      <c r="D8" s="128" t="s">
        <v>147</v>
      </c>
      <c r="E8" s="128"/>
      <c r="F8" s="128"/>
      <c r="G8" s="128"/>
      <c r="H8" s="128"/>
      <c r="I8" s="128"/>
      <c r="J8" s="128"/>
    </row>
    <row r="9" spans="2:10" x14ac:dyDescent="0.25">
      <c r="B9" s="128" t="s">
        <v>148</v>
      </c>
      <c r="C9" s="139" t="s">
        <v>146</v>
      </c>
      <c r="D9" s="128" t="s">
        <v>149</v>
      </c>
      <c r="E9" s="128"/>
      <c r="F9" s="128"/>
      <c r="G9" s="128"/>
      <c r="H9" s="128"/>
      <c r="I9" s="128"/>
      <c r="J9" s="128"/>
    </row>
    <row r="10" spans="2:10" x14ac:dyDescent="0.25">
      <c r="B10" s="128" t="s">
        <v>150</v>
      </c>
      <c r="C10" s="140" t="s">
        <v>151</v>
      </c>
      <c r="D10" s="141" t="s">
        <v>152</v>
      </c>
      <c r="E10" s="128"/>
      <c r="F10" s="128"/>
      <c r="G10" s="128"/>
      <c r="H10" s="128"/>
      <c r="I10" s="128"/>
      <c r="J10" s="128"/>
    </row>
    <row r="11" spans="2:10" x14ac:dyDescent="0.25">
      <c r="B11" s="128" t="s">
        <v>153</v>
      </c>
      <c r="C11" s="140" t="s">
        <v>154</v>
      </c>
      <c r="D11" s="141" t="s">
        <v>155</v>
      </c>
      <c r="E11" s="128"/>
      <c r="F11" s="128"/>
      <c r="G11" s="128"/>
      <c r="H11" s="128"/>
      <c r="I11" s="128"/>
      <c r="J11" s="128"/>
    </row>
    <row r="12" spans="2:10" x14ac:dyDescent="0.25">
      <c r="B12" s="128" t="s">
        <v>156</v>
      </c>
      <c r="C12" s="140" t="s">
        <v>157</v>
      </c>
      <c r="D12" s="141" t="s">
        <v>158</v>
      </c>
      <c r="E12" s="128"/>
      <c r="F12" s="128"/>
      <c r="G12" s="128"/>
      <c r="H12" s="128"/>
      <c r="I12" s="128"/>
      <c r="J12" s="128"/>
    </row>
    <row r="13" spans="2:10" x14ac:dyDescent="0.25">
      <c r="B13" s="128" t="s">
        <v>159</v>
      </c>
      <c r="C13" s="140" t="s">
        <v>160</v>
      </c>
      <c r="D13" s="141" t="s">
        <v>161</v>
      </c>
      <c r="E13" s="128"/>
      <c r="F13" s="128"/>
      <c r="G13" s="128"/>
      <c r="H13" s="128"/>
      <c r="I13" s="128"/>
      <c r="J13" s="128"/>
    </row>
    <row r="14" spans="2:10" x14ac:dyDescent="0.25">
      <c r="B14" s="128" t="s">
        <v>162</v>
      </c>
      <c r="C14" s="140" t="s">
        <v>163</v>
      </c>
      <c r="D14" s="141" t="s">
        <v>164</v>
      </c>
      <c r="E14" s="128"/>
      <c r="F14" s="128"/>
      <c r="G14" s="128"/>
      <c r="H14" s="128"/>
      <c r="I14" s="128"/>
      <c r="J14" s="128"/>
    </row>
    <row r="15" spans="2:10" x14ac:dyDescent="0.25">
      <c r="B15" s="128" t="s">
        <v>165</v>
      </c>
      <c r="C15" s="140" t="s">
        <v>166</v>
      </c>
      <c r="D15" s="141" t="s">
        <v>167</v>
      </c>
      <c r="E15" s="128"/>
      <c r="F15" s="128"/>
      <c r="G15" s="128"/>
      <c r="H15" s="128"/>
      <c r="I15" s="128"/>
      <c r="J15" s="128"/>
    </row>
    <row r="16" spans="2:10" x14ac:dyDescent="0.25">
      <c r="B16" s="128" t="s">
        <v>168</v>
      </c>
      <c r="C16" s="140" t="s">
        <v>169</v>
      </c>
      <c r="D16" s="141" t="s">
        <v>170</v>
      </c>
      <c r="E16" s="128"/>
      <c r="F16" s="128"/>
      <c r="G16" s="128"/>
      <c r="H16" s="128"/>
      <c r="I16" s="128"/>
      <c r="J16" s="128"/>
    </row>
    <row r="17" spans="2:10" x14ac:dyDescent="0.25">
      <c r="B17" s="128" t="s">
        <v>171</v>
      </c>
      <c r="C17" s="140" t="s">
        <v>172</v>
      </c>
      <c r="D17" s="141" t="s">
        <v>173</v>
      </c>
      <c r="E17" s="128"/>
      <c r="F17" s="128"/>
      <c r="G17" s="128"/>
      <c r="H17" s="128"/>
      <c r="I17" s="128"/>
      <c r="J17" s="128"/>
    </row>
    <row r="18" spans="2:10" x14ac:dyDescent="0.25">
      <c r="B18" s="128" t="s">
        <v>174</v>
      </c>
      <c r="C18" s="139" t="s">
        <v>175</v>
      </c>
      <c r="D18" s="142" t="s">
        <v>176</v>
      </c>
      <c r="E18" s="128"/>
      <c r="F18" s="128"/>
      <c r="G18" s="128"/>
      <c r="H18" s="128"/>
      <c r="I18" s="128"/>
      <c r="J18" s="128"/>
    </row>
    <row r="19" spans="2:10" x14ac:dyDescent="0.25">
      <c r="B19" s="128" t="s">
        <v>177</v>
      </c>
      <c r="C19" s="139" t="s">
        <v>178</v>
      </c>
      <c r="D19" s="142" t="s">
        <v>179</v>
      </c>
      <c r="E19" s="128"/>
      <c r="F19" s="128"/>
      <c r="G19" s="128"/>
      <c r="H19" s="128"/>
      <c r="I19" s="128"/>
      <c r="J19" s="128"/>
    </row>
    <row r="20" spans="2:10" x14ac:dyDescent="0.25">
      <c r="B20" s="128" t="s">
        <v>180</v>
      </c>
      <c r="C20" s="139" t="s">
        <v>181</v>
      </c>
      <c r="D20" s="142" t="s">
        <v>182</v>
      </c>
      <c r="E20" s="128"/>
      <c r="F20" s="128"/>
      <c r="G20" s="128"/>
      <c r="H20" s="128"/>
      <c r="I20" s="128"/>
      <c r="J20" s="128"/>
    </row>
    <row r="21" spans="2:10" x14ac:dyDescent="0.25">
      <c r="B21" s="128" t="s">
        <v>183</v>
      </c>
      <c r="C21" s="139" t="s">
        <v>175</v>
      </c>
      <c r="D21" s="142" t="s">
        <v>176</v>
      </c>
      <c r="E21" s="128"/>
      <c r="F21" s="128"/>
      <c r="G21" s="128"/>
      <c r="H21" s="128"/>
      <c r="I21" s="128"/>
      <c r="J21" s="128"/>
    </row>
    <row r="22" spans="2:10" x14ac:dyDescent="0.25">
      <c r="B22" s="128" t="s">
        <v>184</v>
      </c>
      <c r="C22" s="139" t="s">
        <v>178</v>
      </c>
      <c r="D22" s="142" t="s">
        <v>179</v>
      </c>
      <c r="E22" s="128"/>
      <c r="F22" s="128"/>
      <c r="G22" s="128"/>
      <c r="H22" s="128"/>
      <c r="I22" s="128"/>
      <c r="J22" s="128"/>
    </row>
    <row r="23" spans="2:10" x14ac:dyDescent="0.25">
      <c r="B23" s="128" t="s">
        <v>185</v>
      </c>
      <c r="C23" s="139" t="s">
        <v>181</v>
      </c>
      <c r="D23" s="142" t="s">
        <v>182</v>
      </c>
      <c r="E23" s="128"/>
      <c r="F23" s="128"/>
      <c r="G23" s="128"/>
      <c r="H23" s="128"/>
      <c r="I23" s="128"/>
      <c r="J23" s="128"/>
    </row>
    <row r="24" spans="2:10" x14ac:dyDescent="0.25">
      <c r="B24" s="128" t="s">
        <v>186</v>
      </c>
      <c r="C24" s="140" t="s">
        <v>160</v>
      </c>
      <c r="D24" s="142" t="s">
        <v>187</v>
      </c>
      <c r="E24" s="128"/>
      <c r="F24" s="128"/>
      <c r="G24" s="128"/>
      <c r="H24" s="128"/>
      <c r="I24" s="128"/>
      <c r="J24" s="128"/>
    </row>
    <row r="25" spans="2:10" x14ac:dyDescent="0.25">
      <c r="B25" s="128" t="s">
        <v>188</v>
      </c>
      <c r="C25" s="140" t="s">
        <v>154</v>
      </c>
      <c r="D25" s="142" t="s">
        <v>189</v>
      </c>
      <c r="E25" s="128"/>
      <c r="F25" s="128"/>
      <c r="G25" s="128"/>
      <c r="H25" s="128"/>
      <c r="I25" s="128"/>
      <c r="J25" s="128"/>
    </row>
    <row r="26" spans="2:10" x14ac:dyDescent="0.25">
      <c r="B26" s="128" t="s">
        <v>190</v>
      </c>
      <c r="C26" s="140" t="s">
        <v>160</v>
      </c>
      <c r="D26" s="141" t="s">
        <v>191</v>
      </c>
      <c r="F26" s="128"/>
      <c r="G26" s="128"/>
      <c r="H26" s="128"/>
      <c r="I26" s="128"/>
      <c r="J26" s="128"/>
    </row>
    <row r="27" spans="2:10" x14ac:dyDescent="0.25">
      <c r="B27" s="128" t="s">
        <v>192</v>
      </c>
      <c r="C27" s="140" t="s">
        <v>193</v>
      </c>
      <c r="D27" s="143" t="s">
        <v>194</v>
      </c>
      <c r="E27" s="128"/>
      <c r="F27" s="128"/>
      <c r="G27" s="128"/>
      <c r="H27" s="128"/>
      <c r="I27" s="128"/>
      <c r="J27" s="128"/>
    </row>
    <row r="29" spans="2:10" x14ac:dyDescent="0.25">
      <c r="C29" s="4" t="s">
        <v>195</v>
      </c>
      <c r="D29" s="128"/>
      <c r="E29" s="128"/>
      <c r="F29" s="4" t="s">
        <v>196</v>
      </c>
      <c r="G29" s="128"/>
      <c r="H29" s="128"/>
      <c r="I29" s="4" t="s">
        <v>197</v>
      </c>
      <c r="J29" s="128"/>
    </row>
    <row r="30" spans="2:10" x14ac:dyDescent="0.25">
      <c r="C30" s="144" t="s">
        <v>198</v>
      </c>
      <c r="D30" s="144" t="s">
        <v>199</v>
      </c>
      <c r="E30" s="128"/>
      <c r="F30" s="144" t="s">
        <v>198</v>
      </c>
      <c r="G30" s="144" t="s">
        <v>199</v>
      </c>
      <c r="H30" s="128"/>
      <c r="I30" s="144" t="s">
        <v>200</v>
      </c>
      <c r="J30" s="144" t="s">
        <v>199</v>
      </c>
    </row>
    <row r="31" spans="2:10" x14ac:dyDescent="0.25">
      <c r="C31" s="128" t="s">
        <v>201</v>
      </c>
      <c r="D31" s="128" t="s">
        <v>202</v>
      </c>
      <c r="E31" s="128"/>
      <c r="F31" s="128" t="s">
        <v>203</v>
      </c>
      <c r="G31" s="128" t="s">
        <v>204</v>
      </c>
      <c r="H31" s="128"/>
      <c r="I31" s="128" t="s">
        <v>130</v>
      </c>
      <c r="J31" s="128" t="s">
        <v>205</v>
      </c>
    </row>
    <row r="32" spans="2:10" x14ac:dyDescent="0.25">
      <c r="C32" s="128" t="s">
        <v>206</v>
      </c>
      <c r="D32" s="128" t="s">
        <v>207</v>
      </c>
      <c r="E32" s="128"/>
      <c r="F32" s="128" t="s">
        <v>208</v>
      </c>
      <c r="G32" s="128" t="s">
        <v>209</v>
      </c>
      <c r="H32" s="128"/>
      <c r="I32" s="128" t="s">
        <v>129</v>
      </c>
      <c r="J32" s="128" t="s">
        <v>210</v>
      </c>
    </row>
    <row r="33" spans="3:10" x14ac:dyDescent="0.25">
      <c r="C33" s="128" t="s">
        <v>211</v>
      </c>
      <c r="D33" s="128" t="s">
        <v>212</v>
      </c>
      <c r="E33" s="128"/>
      <c r="F33" s="128" t="s">
        <v>213</v>
      </c>
      <c r="G33" s="128" t="s">
        <v>214</v>
      </c>
      <c r="H33" s="128"/>
      <c r="I33" s="128" t="s">
        <v>128</v>
      </c>
      <c r="J33" s="128" t="s">
        <v>215</v>
      </c>
    </row>
    <row r="34" spans="3:10" x14ac:dyDescent="0.25">
      <c r="C34" s="128" t="s">
        <v>216</v>
      </c>
      <c r="D34" s="128" t="s">
        <v>217</v>
      </c>
      <c r="E34" s="128"/>
      <c r="F34" s="128" t="s">
        <v>218</v>
      </c>
      <c r="G34" s="128" t="s">
        <v>219</v>
      </c>
      <c r="H34" s="128"/>
      <c r="I34" s="128"/>
      <c r="J34" s="128"/>
    </row>
    <row r="35" spans="3:10" x14ac:dyDescent="0.25">
      <c r="C35" s="128" t="s">
        <v>220</v>
      </c>
      <c r="D35" s="128" t="s">
        <v>221</v>
      </c>
      <c r="E35" s="128"/>
      <c r="F35" s="128"/>
      <c r="G35" s="128"/>
      <c r="H35" s="128"/>
      <c r="I35" s="128"/>
      <c r="J35" s="128"/>
    </row>
    <row r="36" spans="3:10" x14ac:dyDescent="0.25">
      <c r="C36" s="128"/>
      <c r="D36" s="128"/>
      <c r="E36" s="128"/>
      <c r="F36" s="128"/>
      <c r="G36" s="128"/>
      <c r="H36" s="128"/>
      <c r="I36" s="128"/>
      <c r="J36" s="128"/>
    </row>
    <row r="37" spans="3:10" x14ac:dyDescent="0.25">
      <c r="C37" s="128"/>
      <c r="D37" s="128"/>
      <c r="E37" s="128"/>
      <c r="F37" s="128"/>
      <c r="G37" s="128"/>
      <c r="H37" s="128"/>
      <c r="I37" s="128"/>
      <c r="J37" s="128"/>
    </row>
    <row r="38" spans="3:10" x14ac:dyDescent="0.25">
      <c r="C38" s="128"/>
      <c r="D38" s="145" t="s">
        <v>222</v>
      </c>
      <c r="E38" s="144" t="s">
        <v>223</v>
      </c>
      <c r="F38" s="128"/>
      <c r="G38" s="128"/>
      <c r="H38" s="128"/>
      <c r="I38" s="128"/>
      <c r="J38" s="128"/>
    </row>
    <row r="39" spans="3:10" x14ac:dyDescent="0.25">
      <c r="C39" s="128"/>
      <c r="D39" s="146" t="s">
        <v>224</v>
      </c>
      <c r="E39" s="147">
        <v>3.53</v>
      </c>
      <c r="F39" s="128"/>
      <c r="G39" s="128"/>
      <c r="H39" s="128"/>
      <c r="I39" s="128"/>
      <c r="J39" s="128"/>
    </row>
    <row r="40" spans="3:10" x14ac:dyDescent="0.25">
      <c r="C40" s="128"/>
      <c r="D40" s="146" t="s">
        <v>225</v>
      </c>
      <c r="E40" s="147">
        <v>3.57</v>
      </c>
      <c r="F40" s="128"/>
      <c r="G40" s="128"/>
      <c r="H40" s="128"/>
      <c r="I40" s="128"/>
      <c r="J40" s="128"/>
    </row>
    <row r="41" spans="3:10" x14ac:dyDescent="0.25">
      <c r="C41" s="128"/>
      <c r="D41" s="146" t="s">
        <v>226</v>
      </c>
      <c r="E41" s="149">
        <v>3.23</v>
      </c>
      <c r="F41" s="128" t="s">
        <v>384</v>
      </c>
      <c r="G41" s="128"/>
      <c r="H41" s="128"/>
      <c r="I41" s="128"/>
      <c r="J41" s="128"/>
    </row>
    <row r="42" spans="3:10" s="390" customFormat="1" x14ac:dyDescent="0.25">
      <c r="D42" s="146" t="s">
        <v>658</v>
      </c>
      <c r="E42" s="149">
        <v>2.96</v>
      </c>
    </row>
    <row r="43" spans="3:10" x14ac:dyDescent="0.25">
      <c r="C43" s="128"/>
      <c r="D43" s="146" t="s">
        <v>234</v>
      </c>
      <c r="E43" s="128">
        <f>(7.35+7.47)/2</f>
        <v>7.41</v>
      </c>
      <c r="F43" s="128" t="s">
        <v>252</v>
      </c>
      <c r="G43" s="128"/>
      <c r="H43" s="128"/>
      <c r="I43" s="128"/>
      <c r="J43" s="128"/>
    </row>
    <row r="44" spans="3:10" x14ac:dyDescent="0.25">
      <c r="C44" s="128"/>
      <c r="D44" s="146" t="s">
        <v>253</v>
      </c>
      <c r="E44" s="201">
        <v>1.8</v>
      </c>
      <c r="F44" s="128" t="s">
        <v>385</v>
      </c>
      <c r="G44" s="128"/>
      <c r="H44" s="128"/>
      <c r="I44" s="128"/>
      <c r="J44" s="128"/>
    </row>
    <row r="45" spans="3:10" x14ac:dyDescent="0.25">
      <c r="C45" s="128"/>
      <c r="D45" s="146" t="s">
        <v>254</v>
      </c>
      <c r="E45" s="201">
        <v>1.7</v>
      </c>
      <c r="F45" s="128" t="s">
        <v>385</v>
      </c>
      <c r="G45" s="128"/>
      <c r="H45" s="128"/>
      <c r="I45" s="128"/>
      <c r="J45" s="128"/>
    </row>
    <row r="46" spans="3:10" x14ac:dyDescent="0.25">
      <c r="C46" s="128"/>
      <c r="F46" s="128"/>
      <c r="G46" s="128"/>
      <c r="H46" s="128"/>
      <c r="I46" s="128"/>
      <c r="J46" s="128"/>
    </row>
    <row r="48" spans="3:10" s="128" customFormat="1" x14ac:dyDescent="0.25"/>
    <row r="49" spans="4:4" s="128" customFormat="1" x14ac:dyDescent="0.25"/>
    <row r="50" spans="4:4" s="128" customFormat="1" x14ac:dyDescent="0.25">
      <c r="D50" s="146"/>
    </row>
    <row r="51" spans="4:4" x14ac:dyDescent="0.25">
      <c r="D51" s="128" t="s">
        <v>227</v>
      </c>
    </row>
    <row r="52" spans="4:4" x14ac:dyDescent="0.25">
      <c r="D52" s="146" t="s">
        <v>228</v>
      </c>
    </row>
    <row r="53" spans="4:4" x14ac:dyDescent="0.25">
      <c r="D53" s="148" t="s">
        <v>229</v>
      </c>
    </row>
  </sheetData>
  <sheetProtection password="C33D" sheet="1" objects="1" scenario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topLeftCell="B80" zoomScale="90" zoomScaleNormal="90" workbookViewId="0">
      <selection activeCell="O92" sqref="O92"/>
    </sheetView>
  </sheetViews>
  <sheetFormatPr defaultRowHeight="14.3" x14ac:dyDescent="0.25"/>
  <cols>
    <col min="1" max="1" width="48.125" customWidth="1"/>
    <col min="2" max="2" width="9.875" bestFit="1" customWidth="1"/>
    <col min="3" max="3" width="11.625" bestFit="1" customWidth="1"/>
    <col min="4" max="4" width="7.625" customWidth="1"/>
    <col min="6" max="6" width="10.625" customWidth="1"/>
    <col min="7" max="7" width="13.875" customWidth="1"/>
    <col min="8" max="8" width="11.875" customWidth="1"/>
    <col min="9" max="9" width="19.625" customWidth="1"/>
    <col min="14" max="14" width="14.25" customWidth="1"/>
    <col min="15" max="15" width="13.75" customWidth="1"/>
    <col min="16" max="16" width="24.375" customWidth="1"/>
    <col min="36" max="36" width="41.375" bestFit="1" customWidth="1"/>
    <col min="37" max="37" width="51.375" bestFit="1" customWidth="1"/>
    <col min="38" max="38" width="54.625" bestFit="1" customWidth="1"/>
  </cols>
  <sheetData>
    <row r="1" spans="1:38" x14ac:dyDescent="0.25">
      <c r="A1" s="390" t="s">
        <v>535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</row>
    <row r="2" spans="1:38" x14ac:dyDescent="0.25">
      <c r="A2" s="390" t="s">
        <v>536</v>
      </c>
      <c r="B2" s="390"/>
      <c r="C2" s="390"/>
      <c r="D2" s="390"/>
      <c r="E2" s="390"/>
      <c r="F2" s="390"/>
      <c r="G2" s="390"/>
      <c r="H2" s="390"/>
      <c r="I2" s="390">
        <v>56640</v>
      </c>
      <c r="J2" s="390"/>
      <c r="K2" s="390">
        <v>2</v>
      </c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</row>
    <row r="3" spans="1:38" x14ac:dyDescent="0.25">
      <c r="A3" s="390" t="s">
        <v>537</v>
      </c>
      <c r="B3" s="390"/>
      <c r="C3" s="390"/>
      <c r="D3" s="390"/>
      <c r="E3" s="390"/>
      <c r="F3" s="390"/>
      <c r="G3" s="390"/>
      <c r="H3" s="390"/>
      <c r="I3" s="390">
        <v>79.619879999999995</v>
      </c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</row>
    <row r="5" spans="1:38" x14ac:dyDescent="0.25">
      <c r="A5" s="390" t="s">
        <v>538</v>
      </c>
      <c r="B5" s="390" t="s">
        <v>539</v>
      </c>
      <c r="C5" s="390" t="s">
        <v>540</v>
      </c>
      <c r="D5" s="390" t="s">
        <v>541</v>
      </c>
      <c r="E5" s="390" t="s">
        <v>542</v>
      </c>
      <c r="F5" s="390" t="s">
        <v>543</v>
      </c>
      <c r="G5" s="390" t="s">
        <v>544</v>
      </c>
      <c r="H5" s="390" t="s">
        <v>545</v>
      </c>
      <c r="I5" s="390" t="s">
        <v>546</v>
      </c>
      <c r="J5" s="390" t="s">
        <v>547</v>
      </c>
      <c r="K5" s="390" t="s">
        <v>548</v>
      </c>
      <c r="L5" s="390" t="s">
        <v>549</v>
      </c>
      <c r="M5" s="390" t="s">
        <v>550</v>
      </c>
      <c r="N5" s="390" t="s">
        <v>551</v>
      </c>
      <c r="O5" s="390" t="s">
        <v>552</v>
      </c>
      <c r="P5" s="392" t="s">
        <v>553</v>
      </c>
      <c r="Q5" s="390" t="s">
        <v>554</v>
      </c>
      <c r="R5" s="390" t="s">
        <v>555</v>
      </c>
      <c r="S5" s="390" t="s">
        <v>556</v>
      </c>
      <c r="T5" s="390" t="s">
        <v>557</v>
      </c>
      <c r="U5" s="390" t="s">
        <v>558</v>
      </c>
      <c r="V5" s="390" t="s">
        <v>559</v>
      </c>
      <c r="W5" s="390" t="s">
        <v>560</v>
      </c>
      <c r="X5" s="390" t="s">
        <v>561</v>
      </c>
      <c r="Y5" s="390" t="s">
        <v>562</v>
      </c>
      <c r="Z5" s="390" t="s">
        <v>563</v>
      </c>
      <c r="AA5" s="390" t="s">
        <v>564</v>
      </c>
      <c r="AB5" s="390" t="s">
        <v>565</v>
      </c>
      <c r="AC5" s="390" t="s">
        <v>566</v>
      </c>
      <c r="AD5" s="390" t="s">
        <v>122</v>
      </c>
      <c r="AE5" s="390" t="s">
        <v>567</v>
      </c>
      <c r="AF5" s="390" t="s">
        <v>568</v>
      </c>
      <c r="AG5" s="390" t="s">
        <v>569</v>
      </c>
      <c r="AH5" s="390" t="s">
        <v>570</v>
      </c>
      <c r="AI5" s="390" t="s">
        <v>571</v>
      </c>
      <c r="AJ5" s="390" t="s">
        <v>572</v>
      </c>
      <c r="AK5" s="390" t="s">
        <v>573</v>
      </c>
      <c r="AL5" s="390" t="s">
        <v>574</v>
      </c>
    </row>
    <row r="6" spans="1:38" x14ac:dyDescent="0.25">
      <c r="A6" s="394" t="s">
        <v>575</v>
      </c>
      <c r="B6" s="390" t="s">
        <v>576</v>
      </c>
      <c r="C6" s="390" t="s">
        <v>206</v>
      </c>
      <c r="D6" s="390" t="s">
        <v>577</v>
      </c>
      <c r="E6" s="390" t="s">
        <v>578</v>
      </c>
      <c r="F6" s="390" t="s">
        <v>579</v>
      </c>
      <c r="G6" s="390" t="s">
        <v>580</v>
      </c>
      <c r="H6" s="390">
        <v>50</v>
      </c>
      <c r="I6" s="390">
        <v>50000</v>
      </c>
      <c r="J6" s="390" t="s">
        <v>581</v>
      </c>
      <c r="K6" s="390">
        <v>0</v>
      </c>
      <c r="L6" s="390">
        <v>0</v>
      </c>
      <c r="M6" s="390">
        <v>0</v>
      </c>
      <c r="N6" s="390">
        <v>-10</v>
      </c>
      <c r="O6" s="390">
        <v>3.8199999999999998E-2</v>
      </c>
      <c r="P6" s="392">
        <v>2.86</v>
      </c>
      <c r="Q6" s="390">
        <v>0</v>
      </c>
      <c r="R6" s="390">
        <v>0</v>
      </c>
      <c r="S6" s="390">
        <v>0</v>
      </c>
      <c r="T6" s="390">
        <v>0</v>
      </c>
      <c r="U6" s="390">
        <v>0</v>
      </c>
      <c r="V6" s="390">
        <v>0</v>
      </c>
      <c r="W6" s="390"/>
      <c r="X6" s="390"/>
      <c r="Y6" s="390">
        <v>2</v>
      </c>
      <c r="Z6" s="390" t="s">
        <v>207</v>
      </c>
      <c r="AA6" s="390" t="s">
        <v>7</v>
      </c>
      <c r="AB6" s="390" t="s">
        <v>582</v>
      </c>
      <c r="AC6" s="390" t="s">
        <v>412</v>
      </c>
      <c r="AD6" s="390" t="s">
        <v>583</v>
      </c>
      <c r="AE6" s="390" t="s">
        <v>581</v>
      </c>
      <c r="AF6" s="390" t="s">
        <v>584</v>
      </c>
      <c r="AG6" s="390" t="s">
        <v>585</v>
      </c>
      <c r="AH6" s="390"/>
      <c r="AI6" s="390" t="s">
        <v>586</v>
      </c>
      <c r="AJ6" s="390" t="s">
        <v>587</v>
      </c>
      <c r="AK6" s="390" t="s">
        <v>588</v>
      </c>
      <c r="AL6" s="390" t="s">
        <v>589</v>
      </c>
    </row>
    <row r="7" spans="1:38" x14ac:dyDescent="0.25">
      <c r="A7" s="394" t="s">
        <v>575</v>
      </c>
      <c r="B7" s="390" t="s">
        <v>576</v>
      </c>
      <c r="C7" s="390" t="s">
        <v>206</v>
      </c>
      <c r="D7" s="390" t="s">
        <v>577</v>
      </c>
      <c r="E7" s="390" t="s">
        <v>578</v>
      </c>
      <c r="F7" s="390" t="s">
        <v>579</v>
      </c>
      <c r="G7" s="390" t="s">
        <v>580</v>
      </c>
      <c r="H7" s="390">
        <v>50</v>
      </c>
      <c r="I7" s="390">
        <v>50000</v>
      </c>
      <c r="J7" s="390" t="s">
        <v>581</v>
      </c>
      <c r="K7" s="390">
        <v>0</v>
      </c>
      <c r="L7" s="390">
        <v>0</v>
      </c>
      <c r="M7" s="390">
        <v>0</v>
      </c>
      <c r="N7" s="390">
        <v>3.58</v>
      </c>
      <c r="O7" s="391">
        <v>8.1199999999999995E-5</v>
      </c>
      <c r="P7" s="392">
        <v>0.13700000000000001</v>
      </c>
      <c r="Q7" s="390">
        <v>0</v>
      </c>
      <c r="R7" s="390">
        <v>0</v>
      </c>
      <c r="S7" s="390">
        <v>0</v>
      </c>
      <c r="T7" s="390">
        <v>0</v>
      </c>
      <c r="U7" s="390">
        <v>0</v>
      </c>
      <c r="V7" s="390">
        <v>0</v>
      </c>
      <c r="W7" s="390"/>
      <c r="X7" s="390"/>
      <c r="Y7" s="390">
        <v>2</v>
      </c>
      <c r="Z7" s="390" t="s">
        <v>207</v>
      </c>
      <c r="AA7" s="390" t="s">
        <v>7</v>
      </c>
      <c r="AB7" s="390" t="s">
        <v>582</v>
      </c>
      <c r="AC7" s="390" t="s">
        <v>590</v>
      </c>
      <c r="AD7" s="390" t="s">
        <v>583</v>
      </c>
      <c r="AE7" s="390" t="s">
        <v>581</v>
      </c>
      <c r="AF7" s="390" t="s">
        <v>584</v>
      </c>
      <c r="AG7" s="390" t="s">
        <v>585</v>
      </c>
      <c r="AH7" s="390"/>
      <c r="AI7" s="390" t="s">
        <v>586</v>
      </c>
      <c r="AJ7" s="390" t="s">
        <v>587</v>
      </c>
      <c r="AK7" s="390" t="s">
        <v>588</v>
      </c>
      <c r="AL7" s="390" t="s">
        <v>589</v>
      </c>
    </row>
    <row r="8" spans="1:38" x14ac:dyDescent="0.25">
      <c r="A8" s="394" t="s">
        <v>575</v>
      </c>
      <c r="B8" s="390" t="s">
        <v>576</v>
      </c>
      <c r="C8" s="390" t="s">
        <v>206</v>
      </c>
      <c r="D8" s="390" t="s">
        <v>577</v>
      </c>
      <c r="E8" s="390" t="s">
        <v>578</v>
      </c>
      <c r="F8" s="390" t="s">
        <v>579</v>
      </c>
      <c r="G8" s="390" t="s">
        <v>580</v>
      </c>
      <c r="H8" s="390">
        <v>50</v>
      </c>
      <c r="I8" s="390">
        <v>50000</v>
      </c>
      <c r="J8" s="390" t="s">
        <v>581</v>
      </c>
      <c r="K8" s="390">
        <v>0</v>
      </c>
      <c r="L8" s="390">
        <v>0</v>
      </c>
      <c r="M8" s="390">
        <v>0</v>
      </c>
      <c r="N8" s="390">
        <v>3.03</v>
      </c>
      <c r="O8" s="390">
        <v>1.4200000000000001E-4</v>
      </c>
      <c r="P8" s="392">
        <v>0.13200000000000001</v>
      </c>
      <c r="Q8" s="390">
        <v>0</v>
      </c>
      <c r="R8" s="390">
        <v>0</v>
      </c>
      <c r="S8" s="390">
        <v>0</v>
      </c>
      <c r="T8" s="390">
        <v>0</v>
      </c>
      <c r="U8" s="390">
        <v>0</v>
      </c>
      <c r="V8" s="390">
        <v>0</v>
      </c>
      <c r="W8" s="390"/>
      <c r="X8" s="390"/>
      <c r="Y8" s="390">
        <v>2</v>
      </c>
      <c r="Z8" s="390" t="s">
        <v>207</v>
      </c>
      <c r="AA8" s="390" t="s">
        <v>7</v>
      </c>
      <c r="AB8" s="390" t="s">
        <v>582</v>
      </c>
      <c r="AC8" s="390" t="s">
        <v>591</v>
      </c>
      <c r="AD8" s="390" t="s">
        <v>583</v>
      </c>
      <c r="AE8" s="390" t="s">
        <v>581</v>
      </c>
      <c r="AF8" s="390" t="s">
        <v>584</v>
      </c>
      <c r="AG8" s="390" t="s">
        <v>585</v>
      </c>
      <c r="AH8" s="390"/>
      <c r="AI8" s="390" t="s">
        <v>586</v>
      </c>
      <c r="AJ8" s="390" t="s">
        <v>587</v>
      </c>
      <c r="AK8" s="390" t="s">
        <v>588</v>
      </c>
      <c r="AL8" s="390" t="s">
        <v>589</v>
      </c>
    </row>
    <row r="9" spans="1:38" x14ac:dyDescent="0.25">
      <c r="A9" s="394" t="s">
        <v>575</v>
      </c>
      <c r="B9" s="390" t="s">
        <v>576</v>
      </c>
      <c r="C9" s="390" t="s">
        <v>206</v>
      </c>
      <c r="D9" s="390" t="s">
        <v>577</v>
      </c>
      <c r="E9" s="390" t="s">
        <v>578</v>
      </c>
      <c r="F9" s="390" t="s">
        <v>579</v>
      </c>
      <c r="G9" s="390" t="s">
        <v>580</v>
      </c>
      <c r="H9" s="390">
        <v>50</v>
      </c>
      <c r="I9" s="390">
        <v>50000</v>
      </c>
      <c r="J9" s="390" t="s">
        <v>581</v>
      </c>
      <c r="K9" s="390">
        <v>0</v>
      </c>
      <c r="L9" s="390">
        <v>0</v>
      </c>
      <c r="M9" s="390">
        <v>0</v>
      </c>
      <c r="N9" s="390">
        <v>8.32</v>
      </c>
      <c r="O9" s="390">
        <v>-3.4499999999999999E-3</v>
      </c>
      <c r="P9" s="392">
        <v>-0.39500000000000002</v>
      </c>
      <c r="Q9" s="390">
        <v>0</v>
      </c>
      <c r="R9" s="390">
        <v>0</v>
      </c>
      <c r="S9" s="390">
        <v>0</v>
      </c>
      <c r="T9" s="390">
        <v>0</v>
      </c>
      <c r="U9" s="390">
        <v>0</v>
      </c>
      <c r="V9" s="390">
        <v>0</v>
      </c>
      <c r="W9" s="390"/>
      <c r="X9" s="390"/>
      <c r="Y9" s="390">
        <v>2</v>
      </c>
      <c r="Z9" s="390" t="s">
        <v>207</v>
      </c>
      <c r="AA9" s="390" t="s">
        <v>7</v>
      </c>
      <c r="AB9" s="390" t="s">
        <v>582</v>
      </c>
      <c r="AC9" s="390" t="s">
        <v>592</v>
      </c>
      <c r="AD9" s="390" t="s">
        <v>583</v>
      </c>
      <c r="AE9" s="390" t="s">
        <v>581</v>
      </c>
      <c r="AF9" s="390" t="s">
        <v>584</v>
      </c>
      <c r="AG9" s="390" t="s">
        <v>585</v>
      </c>
      <c r="AH9" s="390"/>
      <c r="AI9" s="390" t="s">
        <v>586</v>
      </c>
      <c r="AJ9" s="390" t="s">
        <v>587</v>
      </c>
      <c r="AK9" s="390" t="s">
        <v>588</v>
      </c>
      <c r="AL9" s="390" t="s">
        <v>589</v>
      </c>
    </row>
    <row r="11" spans="1:38" x14ac:dyDescent="0.25">
      <c r="A11" s="390" t="s">
        <v>593</v>
      </c>
      <c r="B11" s="390" t="s">
        <v>576</v>
      </c>
      <c r="C11" s="390" t="s">
        <v>206</v>
      </c>
      <c r="D11" s="390" t="s">
        <v>577</v>
      </c>
      <c r="E11" s="390" t="s">
        <v>578</v>
      </c>
      <c r="F11" s="390" t="s">
        <v>579</v>
      </c>
      <c r="G11" s="390" t="s">
        <v>580</v>
      </c>
      <c r="H11" s="390">
        <v>50</v>
      </c>
      <c r="I11" s="390">
        <v>50000</v>
      </c>
      <c r="J11" s="390" t="s">
        <v>581</v>
      </c>
      <c r="K11" s="390">
        <v>0</v>
      </c>
      <c r="L11" s="390">
        <v>0</v>
      </c>
      <c r="M11" s="390">
        <v>0</v>
      </c>
      <c r="N11" s="390">
        <v>137</v>
      </c>
      <c r="O11" s="390">
        <v>0.17599999999999999</v>
      </c>
      <c r="P11" s="392">
        <v>-4.6500000000000004</v>
      </c>
      <c r="Q11" s="390">
        <v>0</v>
      </c>
      <c r="R11" s="390">
        <v>0</v>
      </c>
      <c r="S11" s="390">
        <v>0</v>
      </c>
      <c r="T11" s="390">
        <v>137</v>
      </c>
      <c r="U11" s="390">
        <v>0.17599999999999999</v>
      </c>
      <c r="V11" s="390">
        <v>-4.6500000000000004</v>
      </c>
      <c r="W11" s="390"/>
      <c r="X11" s="390"/>
      <c r="Y11" s="390">
        <v>2</v>
      </c>
      <c r="Z11" s="390" t="s">
        <v>207</v>
      </c>
      <c r="AA11" s="390" t="s">
        <v>7</v>
      </c>
      <c r="AB11" s="390" t="s">
        <v>582</v>
      </c>
      <c r="AC11" s="390" t="s">
        <v>412</v>
      </c>
      <c r="AD11" s="390" t="s">
        <v>594</v>
      </c>
      <c r="AE11" s="390" t="s">
        <v>581</v>
      </c>
      <c r="AF11" s="390" t="s">
        <v>595</v>
      </c>
      <c r="AG11" s="390" t="s">
        <v>585</v>
      </c>
      <c r="AH11" s="390"/>
      <c r="AI11" s="390" t="s">
        <v>596</v>
      </c>
      <c r="AJ11" s="390" t="s">
        <v>597</v>
      </c>
      <c r="AK11" s="390" t="s">
        <v>598</v>
      </c>
      <c r="AL11" s="390" t="s">
        <v>589</v>
      </c>
    </row>
    <row r="12" spans="1:38" x14ac:dyDescent="0.25">
      <c r="A12" s="390" t="s">
        <v>593</v>
      </c>
      <c r="B12" s="390" t="s">
        <v>576</v>
      </c>
      <c r="C12" s="390" t="s">
        <v>206</v>
      </c>
      <c r="D12" s="390" t="s">
        <v>577</v>
      </c>
      <c r="E12" s="390" t="s">
        <v>578</v>
      </c>
      <c r="F12" s="390" t="s">
        <v>579</v>
      </c>
      <c r="G12" s="390" t="s">
        <v>580</v>
      </c>
      <c r="H12" s="390">
        <v>50</v>
      </c>
      <c r="I12" s="390">
        <v>50000</v>
      </c>
      <c r="J12" s="390" t="s">
        <v>581</v>
      </c>
      <c r="K12" s="390">
        <v>0</v>
      </c>
      <c r="L12" s="390">
        <v>0</v>
      </c>
      <c r="M12" s="390">
        <v>0</v>
      </c>
      <c r="N12" s="390">
        <v>175</v>
      </c>
      <c r="O12" s="390">
        <v>0.156</v>
      </c>
      <c r="P12" s="392">
        <v>-3.61</v>
      </c>
      <c r="Q12" s="390">
        <v>0</v>
      </c>
      <c r="R12" s="390">
        <v>0</v>
      </c>
      <c r="S12" s="390">
        <v>0</v>
      </c>
      <c r="T12" s="390">
        <v>175</v>
      </c>
      <c r="U12" s="390">
        <v>0.156</v>
      </c>
      <c r="V12" s="390">
        <v>-3.61</v>
      </c>
      <c r="W12" s="390"/>
      <c r="X12" s="390"/>
      <c r="Y12" s="390">
        <v>2</v>
      </c>
      <c r="Z12" s="390" t="s">
        <v>207</v>
      </c>
      <c r="AA12" s="390" t="s">
        <v>7</v>
      </c>
      <c r="AB12" s="390" t="s">
        <v>582</v>
      </c>
      <c r="AC12" s="390" t="s">
        <v>590</v>
      </c>
      <c r="AD12" s="390" t="s">
        <v>594</v>
      </c>
      <c r="AE12" s="390" t="s">
        <v>581</v>
      </c>
      <c r="AF12" s="390" t="s">
        <v>595</v>
      </c>
      <c r="AG12" s="390" t="s">
        <v>585</v>
      </c>
      <c r="AH12" s="390"/>
      <c r="AI12" s="390" t="s">
        <v>596</v>
      </c>
      <c r="AJ12" s="390" t="s">
        <v>597</v>
      </c>
      <c r="AK12" s="390" t="s">
        <v>598</v>
      </c>
      <c r="AL12" s="390" t="s">
        <v>589</v>
      </c>
    </row>
    <row r="13" spans="1:38" x14ac:dyDescent="0.25">
      <c r="A13" s="390" t="s">
        <v>593</v>
      </c>
      <c r="B13" s="393" t="s">
        <v>576</v>
      </c>
      <c r="C13" s="393" t="s">
        <v>206</v>
      </c>
      <c r="D13" s="393" t="s">
        <v>577</v>
      </c>
      <c r="E13" s="390" t="s">
        <v>578</v>
      </c>
      <c r="F13" s="390" t="s">
        <v>579</v>
      </c>
      <c r="G13" s="390" t="s">
        <v>580</v>
      </c>
      <c r="H13" s="390">
        <v>50</v>
      </c>
      <c r="I13" s="390">
        <v>50000</v>
      </c>
      <c r="J13" s="390" t="s">
        <v>581</v>
      </c>
      <c r="K13" s="390">
        <v>0</v>
      </c>
      <c r="L13" s="390">
        <v>0</v>
      </c>
      <c r="M13" s="390">
        <v>0</v>
      </c>
      <c r="N13" s="390">
        <v>179</v>
      </c>
      <c r="O13" s="390">
        <v>0.155</v>
      </c>
      <c r="P13" s="392">
        <v>-3.52</v>
      </c>
      <c r="Q13" s="390">
        <v>0</v>
      </c>
      <c r="R13" s="390">
        <v>0</v>
      </c>
      <c r="S13" s="390">
        <v>0</v>
      </c>
      <c r="T13" s="390">
        <v>179</v>
      </c>
      <c r="U13" s="390">
        <v>0.155</v>
      </c>
      <c r="V13" s="390">
        <v>-3.52</v>
      </c>
      <c r="W13" s="390"/>
      <c r="X13" s="390"/>
      <c r="Y13" s="390">
        <v>2</v>
      </c>
      <c r="Z13" s="390" t="s">
        <v>207</v>
      </c>
      <c r="AA13" s="390" t="s">
        <v>7</v>
      </c>
      <c r="AB13" s="390" t="s">
        <v>582</v>
      </c>
      <c r="AC13" s="390" t="s">
        <v>591</v>
      </c>
      <c r="AD13" s="390" t="s">
        <v>594</v>
      </c>
      <c r="AE13" s="390" t="s">
        <v>581</v>
      </c>
      <c r="AF13" s="390" t="s">
        <v>595</v>
      </c>
      <c r="AG13" s="390" t="s">
        <v>585</v>
      </c>
      <c r="AH13" s="390"/>
      <c r="AI13" s="390" t="s">
        <v>596</v>
      </c>
      <c r="AJ13" s="390" t="s">
        <v>597</v>
      </c>
      <c r="AK13" s="390" t="s">
        <v>598</v>
      </c>
      <c r="AL13" s="390" t="s">
        <v>589</v>
      </c>
    </row>
    <row r="14" spans="1:38" x14ac:dyDescent="0.25">
      <c r="A14" s="390" t="s">
        <v>593</v>
      </c>
      <c r="B14" s="393" t="s">
        <v>576</v>
      </c>
      <c r="C14" s="393" t="s">
        <v>206</v>
      </c>
      <c r="D14" s="393" t="s">
        <v>577</v>
      </c>
      <c r="E14" s="390" t="s">
        <v>578</v>
      </c>
      <c r="F14" s="390" t="s">
        <v>579</v>
      </c>
      <c r="G14" s="390" t="s">
        <v>580</v>
      </c>
      <c r="H14" s="390">
        <v>50</v>
      </c>
      <c r="I14" s="390">
        <v>50000</v>
      </c>
      <c r="J14" s="390" t="s">
        <v>581</v>
      </c>
      <c r="K14" s="390">
        <v>0</v>
      </c>
      <c r="L14" s="390">
        <v>0</v>
      </c>
      <c r="M14" s="390">
        <v>0</v>
      </c>
      <c r="N14" s="390">
        <v>162</v>
      </c>
      <c r="O14" s="390">
        <v>0.13600000000000001</v>
      </c>
      <c r="P14" s="392">
        <v>-3.27</v>
      </c>
      <c r="Q14" s="390">
        <v>0</v>
      </c>
      <c r="R14" s="390">
        <v>0</v>
      </c>
      <c r="S14" s="390">
        <v>0</v>
      </c>
      <c r="T14" s="390">
        <v>162</v>
      </c>
      <c r="U14" s="390">
        <v>0.13600000000000001</v>
      </c>
      <c r="V14" s="390">
        <v>-3.27</v>
      </c>
      <c r="W14" s="390"/>
      <c r="X14" s="390"/>
      <c r="Y14" s="390">
        <v>2</v>
      </c>
      <c r="Z14" s="390" t="s">
        <v>207</v>
      </c>
      <c r="AA14" s="390" t="s">
        <v>7</v>
      </c>
      <c r="AB14" s="390" t="s">
        <v>582</v>
      </c>
      <c r="AC14" s="390" t="s">
        <v>592</v>
      </c>
      <c r="AD14" s="390" t="s">
        <v>594</v>
      </c>
      <c r="AE14" s="390" t="s">
        <v>581</v>
      </c>
      <c r="AF14" s="390" t="s">
        <v>595</v>
      </c>
      <c r="AG14" s="390" t="s">
        <v>585</v>
      </c>
      <c r="AH14" s="390"/>
      <c r="AI14" s="390" t="s">
        <v>596</v>
      </c>
      <c r="AJ14" s="390" t="s">
        <v>597</v>
      </c>
      <c r="AK14" s="390" t="s">
        <v>598</v>
      </c>
      <c r="AL14" s="390" t="s">
        <v>589</v>
      </c>
    </row>
    <row r="15" spans="1:38" x14ac:dyDescent="0.25">
      <c r="A15" s="390"/>
      <c r="B15" s="393"/>
      <c r="C15" s="393"/>
      <c r="D15" s="393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</row>
    <row r="16" spans="1:38" x14ac:dyDescent="0.25">
      <c r="A16" s="393" t="s">
        <v>599</v>
      </c>
      <c r="B16" s="390" t="s">
        <v>576</v>
      </c>
      <c r="C16" s="390" t="s">
        <v>206</v>
      </c>
      <c r="D16" s="390" t="s">
        <v>577</v>
      </c>
      <c r="E16" s="390" t="s">
        <v>578</v>
      </c>
      <c r="F16" s="390" t="s">
        <v>579</v>
      </c>
      <c r="G16" s="390" t="s">
        <v>600</v>
      </c>
      <c r="H16" s="390">
        <v>7.6</v>
      </c>
      <c r="I16" s="390">
        <v>50000</v>
      </c>
      <c r="J16" s="390" t="s">
        <v>581</v>
      </c>
      <c r="K16" s="390">
        <v>0</v>
      </c>
      <c r="L16" s="390">
        <v>0</v>
      </c>
      <c r="M16" s="390">
        <v>0</v>
      </c>
      <c r="N16" s="390">
        <v>473</v>
      </c>
      <c r="O16" s="390">
        <v>0.38900000000000001</v>
      </c>
      <c r="P16" s="392">
        <v>-21.1</v>
      </c>
      <c r="Q16" s="390">
        <v>0</v>
      </c>
      <c r="R16" s="390">
        <v>0</v>
      </c>
      <c r="S16" s="390">
        <v>0</v>
      </c>
      <c r="T16" s="390">
        <v>135</v>
      </c>
      <c r="U16" s="390">
        <v>0.107</v>
      </c>
      <c r="V16" s="390">
        <v>-7.1</v>
      </c>
      <c r="W16" s="390"/>
      <c r="X16" s="390"/>
      <c r="Y16" s="390">
        <v>2</v>
      </c>
      <c r="Z16" s="390" t="s">
        <v>207</v>
      </c>
      <c r="AA16" s="390" t="s">
        <v>7</v>
      </c>
      <c r="AB16" s="390" t="s">
        <v>582</v>
      </c>
      <c r="AC16" s="390" t="s">
        <v>412</v>
      </c>
      <c r="AD16" s="390" t="s">
        <v>601</v>
      </c>
      <c r="AE16" s="390" t="s">
        <v>581</v>
      </c>
      <c r="AF16" s="390" t="s">
        <v>602</v>
      </c>
      <c r="AG16" s="390" t="s">
        <v>585</v>
      </c>
      <c r="AH16" s="390"/>
      <c r="AI16" s="390" t="s">
        <v>603</v>
      </c>
      <c r="AJ16" s="390" t="s">
        <v>604</v>
      </c>
      <c r="AK16" s="390" t="s">
        <v>605</v>
      </c>
      <c r="AL16" s="390" t="s">
        <v>589</v>
      </c>
    </row>
    <row r="17" spans="1:38" x14ac:dyDescent="0.25">
      <c r="A17" s="393" t="s">
        <v>599</v>
      </c>
      <c r="B17" s="390" t="s">
        <v>576</v>
      </c>
      <c r="C17" s="390" t="s">
        <v>206</v>
      </c>
      <c r="D17" s="390" t="s">
        <v>577</v>
      </c>
      <c r="E17" s="390" t="s">
        <v>578</v>
      </c>
      <c r="F17" s="390" t="s">
        <v>579</v>
      </c>
      <c r="G17" s="390" t="s">
        <v>600</v>
      </c>
      <c r="H17" s="390">
        <v>7.6</v>
      </c>
      <c r="I17" s="390">
        <v>50000</v>
      </c>
      <c r="J17" s="390" t="s">
        <v>581</v>
      </c>
      <c r="K17" s="390">
        <v>0</v>
      </c>
      <c r="L17" s="390">
        <v>0</v>
      </c>
      <c r="M17" s="390">
        <v>0</v>
      </c>
      <c r="N17" s="390">
        <v>463</v>
      </c>
      <c r="O17" s="390">
        <v>0.223</v>
      </c>
      <c r="P17" s="392">
        <v>-12.1</v>
      </c>
      <c r="Q17" s="390">
        <v>0</v>
      </c>
      <c r="R17" s="390">
        <v>0</v>
      </c>
      <c r="S17" s="390">
        <v>0</v>
      </c>
      <c r="T17" s="390">
        <v>184</v>
      </c>
      <c r="U17" s="390">
        <v>8.5900000000000004E-2</v>
      </c>
      <c r="V17" s="390">
        <v>-5.14</v>
      </c>
      <c r="W17" s="390"/>
      <c r="X17" s="390"/>
      <c r="Y17" s="390">
        <v>2</v>
      </c>
      <c r="Z17" s="390" t="s">
        <v>207</v>
      </c>
      <c r="AA17" s="390" t="s">
        <v>7</v>
      </c>
      <c r="AB17" s="390" t="s">
        <v>582</v>
      </c>
      <c r="AC17" s="390" t="s">
        <v>590</v>
      </c>
      <c r="AD17" s="390" t="s">
        <v>601</v>
      </c>
      <c r="AE17" s="390" t="s">
        <v>581</v>
      </c>
      <c r="AF17" s="390" t="s">
        <v>602</v>
      </c>
      <c r="AG17" s="390" t="s">
        <v>585</v>
      </c>
      <c r="AH17" s="390"/>
      <c r="AI17" s="390" t="s">
        <v>603</v>
      </c>
      <c r="AJ17" s="390" t="s">
        <v>604</v>
      </c>
      <c r="AK17" s="390" t="s">
        <v>605</v>
      </c>
      <c r="AL17" s="390" t="s">
        <v>589</v>
      </c>
    </row>
    <row r="18" spans="1:38" x14ac:dyDescent="0.25">
      <c r="A18" s="393" t="s">
        <v>599</v>
      </c>
      <c r="B18" s="390" t="s">
        <v>576</v>
      </c>
      <c r="C18" s="390" t="s">
        <v>206</v>
      </c>
      <c r="D18" s="390" t="s">
        <v>577</v>
      </c>
      <c r="E18" s="390" t="s">
        <v>578</v>
      </c>
      <c r="F18" s="390" t="s">
        <v>579</v>
      </c>
      <c r="G18" s="390" t="s">
        <v>600</v>
      </c>
      <c r="H18" s="390">
        <v>7.6</v>
      </c>
      <c r="I18" s="390">
        <v>50000</v>
      </c>
      <c r="J18" s="390" t="s">
        <v>581</v>
      </c>
      <c r="K18" s="390">
        <v>0</v>
      </c>
      <c r="L18" s="390">
        <v>0</v>
      </c>
      <c r="M18" s="390">
        <v>0</v>
      </c>
      <c r="N18" s="390">
        <v>464</v>
      </c>
      <c r="O18" s="390">
        <v>0.218</v>
      </c>
      <c r="P18" s="392">
        <v>-11.7</v>
      </c>
      <c r="Q18" s="390">
        <v>0</v>
      </c>
      <c r="R18" s="390">
        <v>0</v>
      </c>
      <c r="S18" s="390">
        <v>0</v>
      </c>
      <c r="T18" s="390">
        <v>193</v>
      </c>
      <c r="U18" s="390">
        <v>8.7999999999999995E-2</v>
      </c>
      <c r="V18" s="390">
        <v>-5.17</v>
      </c>
      <c r="W18" s="390"/>
      <c r="X18" s="390"/>
      <c r="Y18" s="390">
        <v>2</v>
      </c>
      <c r="Z18" s="390" t="s">
        <v>207</v>
      </c>
      <c r="AA18" s="390" t="s">
        <v>7</v>
      </c>
      <c r="AB18" s="390" t="s">
        <v>582</v>
      </c>
      <c r="AC18" s="390" t="s">
        <v>591</v>
      </c>
      <c r="AD18" s="390" t="s">
        <v>601</v>
      </c>
      <c r="AE18" s="390" t="s">
        <v>581</v>
      </c>
      <c r="AF18" s="390" t="s">
        <v>602</v>
      </c>
      <c r="AG18" s="390" t="s">
        <v>585</v>
      </c>
      <c r="AH18" s="390"/>
      <c r="AI18" s="390" t="s">
        <v>603</v>
      </c>
      <c r="AJ18" s="390" t="s">
        <v>604</v>
      </c>
      <c r="AK18" s="390" t="s">
        <v>605</v>
      </c>
      <c r="AL18" s="390" t="s">
        <v>589</v>
      </c>
    </row>
    <row r="19" spans="1:38" x14ac:dyDescent="0.25">
      <c r="A19" s="393" t="s">
        <v>599</v>
      </c>
      <c r="B19" s="390" t="s">
        <v>576</v>
      </c>
      <c r="C19" s="390" t="s">
        <v>206</v>
      </c>
      <c r="D19" s="390" t="s">
        <v>577</v>
      </c>
      <c r="E19" s="390" t="s">
        <v>578</v>
      </c>
      <c r="F19" s="390" t="s">
        <v>579</v>
      </c>
      <c r="G19" s="390" t="s">
        <v>600</v>
      </c>
      <c r="H19" s="390">
        <v>7.6</v>
      </c>
      <c r="I19" s="390">
        <v>50000</v>
      </c>
      <c r="J19" s="390" t="s">
        <v>581</v>
      </c>
      <c r="K19" s="390">
        <v>0</v>
      </c>
      <c r="L19" s="390">
        <v>0</v>
      </c>
      <c r="M19" s="390">
        <v>0</v>
      </c>
      <c r="N19" s="390">
        <v>433</v>
      </c>
      <c r="O19" s="390">
        <v>0.214</v>
      </c>
      <c r="P19" s="392">
        <v>-10.3</v>
      </c>
      <c r="Q19" s="390">
        <v>0</v>
      </c>
      <c r="R19" s="390">
        <v>0</v>
      </c>
      <c r="S19" s="390">
        <v>0</v>
      </c>
      <c r="T19" s="390">
        <v>165</v>
      </c>
      <c r="U19" s="390">
        <v>8.2799999999999999E-2</v>
      </c>
      <c r="V19" s="390">
        <v>-4.4400000000000004</v>
      </c>
      <c r="W19" s="390"/>
      <c r="X19" s="390"/>
      <c r="Y19" s="390">
        <v>2</v>
      </c>
      <c r="Z19" s="390" t="s">
        <v>207</v>
      </c>
      <c r="AA19" s="390" t="s">
        <v>7</v>
      </c>
      <c r="AB19" s="390" t="s">
        <v>582</v>
      </c>
      <c r="AC19" s="390" t="s">
        <v>592</v>
      </c>
      <c r="AD19" s="390" t="s">
        <v>601</v>
      </c>
      <c r="AE19" s="390" t="s">
        <v>581</v>
      </c>
      <c r="AF19" s="390" t="s">
        <v>602</v>
      </c>
      <c r="AG19" s="390" t="s">
        <v>585</v>
      </c>
      <c r="AH19" s="390"/>
      <c r="AI19" s="390" t="s">
        <v>603</v>
      </c>
      <c r="AJ19" s="390" t="s">
        <v>604</v>
      </c>
      <c r="AK19" s="390" t="s">
        <v>605</v>
      </c>
      <c r="AL19" s="390" t="s">
        <v>589</v>
      </c>
    </row>
    <row r="20" spans="1:38" x14ac:dyDescent="0.25">
      <c r="A20" s="393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</row>
    <row r="21" spans="1:38" x14ac:dyDescent="0.25">
      <c r="A21" s="393" t="s">
        <v>606</v>
      </c>
      <c r="B21" s="390" t="s">
        <v>576</v>
      </c>
      <c r="C21" s="390" t="s">
        <v>206</v>
      </c>
      <c r="D21" s="390" t="s">
        <v>577</v>
      </c>
      <c r="E21" s="390" t="s">
        <v>578</v>
      </c>
      <c r="F21" s="390" t="s">
        <v>579</v>
      </c>
      <c r="G21" s="390" t="s">
        <v>600</v>
      </c>
      <c r="H21" s="390">
        <v>7.6</v>
      </c>
      <c r="I21" s="390">
        <v>50000</v>
      </c>
      <c r="J21" s="390" t="s">
        <v>581</v>
      </c>
      <c r="K21" s="390">
        <v>0</v>
      </c>
      <c r="L21" s="390">
        <v>0</v>
      </c>
      <c r="M21" s="390">
        <v>0</v>
      </c>
      <c r="N21" s="390">
        <v>620</v>
      </c>
      <c r="O21" s="390">
        <v>0.65700000000000003</v>
      </c>
      <c r="P21" s="392">
        <v>-35.4</v>
      </c>
      <c r="Q21" s="390">
        <v>0</v>
      </c>
      <c r="R21" s="390">
        <v>0</v>
      </c>
      <c r="S21" s="390">
        <v>0</v>
      </c>
      <c r="T21" s="390">
        <v>179</v>
      </c>
      <c r="U21" s="390">
        <v>0.20200000000000001</v>
      </c>
      <c r="V21" s="390">
        <v>-11.9</v>
      </c>
      <c r="W21" s="390"/>
      <c r="X21" s="390"/>
      <c r="Y21" s="390">
        <v>2</v>
      </c>
      <c r="Z21" s="390" t="s">
        <v>207</v>
      </c>
      <c r="AA21" s="390" t="s">
        <v>7</v>
      </c>
      <c r="AB21" s="390" t="s">
        <v>582</v>
      </c>
      <c r="AC21" s="390" t="s">
        <v>412</v>
      </c>
      <c r="AD21" s="390" t="s">
        <v>607</v>
      </c>
      <c r="AE21" s="390" t="s">
        <v>581</v>
      </c>
      <c r="AF21" s="390" t="s">
        <v>608</v>
      </c>
      <c r="AG21" s="390" t="s">
        <v>585</v>
      </c>
      <c r="AH21" s="390"/>
      <c r="AI21" s="390" t="s">
        <v>609</v>
      </c>
      <c r="AJ21" s="390" t="s">
        <v>604</v>
      </c>
      <c r="AK21" s="390" t="s">
        <v>605</v>
      </c>
      <c r="AL21" s="390" t="s">
        <v>589</v>
      </c>
    </row>
    <row r="22" spans="1:38" x14ac:dyDescent="0.25">
      <c r="A22" s="393" t="s">
        <v>606</v>
      </c>
      <c r="B22" s="390" t="s">
        <v>576</v>
      </c>
      <c r="C22" s="390" t="s">
        <v>206</v>
      </c>
      <c r="D22" s="390" t="s">
        <v>577</v>
      </c>
      <c r="E22" s="390" t="s">
        <v>578</v>
      </c>
      <c r="F22" s="390" t="s">
        <v>579</v>
      </c>
      <c r="G22" s="390" t="s">
        <v>600</v>
      </c>
      <c r="H22" s="390">
        <v>7.6</v>
      </c>
      <c r="I22" s="390">
        <v>50000</v>
      </c>
      <c r="J22" s="390" t="s">
        <v>581</v>
      </c>
      <c r="K22" s="390">
        <v>0</v>
      </c>
      <c r="L22" s="390">
        <v>0</v>
      </c>
      <c r="M22" s="390">
        <v>0</v>
      </c>
      <c r="N22" s="390">
        <v>648</v>
      </c>
      <c r="O22" s="390">
        <v>0.49399999999999999</v>
      </c>
      <c r="P22" s="392">
        <v>-23</v>
      </c>
      <c r="Q22" s="390">
        <v>0</v>
      </c>
      <c r="R22" s="390">
        <v>0</v>
      </c>
      <c r="S22" s="390">
        <v>0</v>
      </c>
      <c r="T22" s="390">
        <v>260</v>
      </c>
      <c r="U22" s="390">
        <v>0.20100000000000001</v>
      </c>
      <c r="V22" s="390">
        <v>-9.7200000000000006</v>
      </c>
      <c r="W22" s="390"/>
      <c r="X22" s="390"/>
      <c r="Y22" s="390">
        <v>2</v>
      </c>
      <c r="Z22" s="390" t="s">
        <v>207</v>
      </c>
      <c r="AA22" s="390" t="s">
        <v>7</v>
      </c>
      <c r="AB22" s="390" t="s">
        <v>582</v>
      </c>
      <c r="AC22" s="390" t="s">
        <v>590</v>
      </c>
      <c r="AD22" s="390" t="s">
        <v>607</v>
      </c>
      <c r="AE22" s="390" t="s">
        <v>581</v>
      </c>
      <c r="AF22" s="390" t="s">
        <v>608</v>
      </c>
      <c r="AG22" s="390" t="s">
        <v>585</v>
      </c>
      <c r="AH22" s="390"/>
      <c r="AI22" s="390" t="s">
        <v>609</v>
      </c>
      <c r="AJ22" s="390" t="s">
        <v>604</v>
      </c>
      <c r="AK22" s="390" t="s">
        <v>605</v>
      </c>
      <c r="AL22" s="390" t="s">
        <v>589</v>
      </c>
    </row>
    <row r="23" spans="1:38" x14ac:dyDescent="0.25">
      <c r="A23" s="393" t="s">
        <v>606</v>
      </c>
      <c r="B23" s="390" t="s">
        <v>576</v>
      </c>
      <c r="C23" s="390" t="s">
        <v>206</v>
      </c>
      <c r="D23" s="390" t="s">
        <v>577</v>
      </c>
      <c r="E23" s="390" t="s">
        <v>578</v>
      </c>
      <c r="F23" s="390" t="s">
        <v>579</v>
      </c>
      <c r="G23" s="390" t="s">
        <v>600</v>
      </c>
      <c r="H23" s="390">
        <v>7.6</v>
      </c>
      <c r="I23" s="390">
        <v>50000</v>
      </c>
      <c r="J23" s="390" t="s">
        <v>581</v>
      </c>
      <c r="K23" s="390">
        <v>0</v>
      </c>
      <c r="L23" s="390">
        <v>0</v>
      </c>
      <c r="M23" s="390">
        <v>0</v>
      </c>
      <c r="N23" s="390">
        <v>654</v>
      </c>
      <c r="O23" s="390">
        <v>0.49099999999999999</v>
      </c>
      <c r="P23" s="392">
        <v>-22.3</v>
      </c>
      <c r="Q23" s="390">
        <v>0</v>
      </c>
      <c r="R23" s="390">
        <v>0</v>
      </c>
      <c r="S23" s="390">
        <v>0</v>
      </c>
      <c r="T23" s="390">
        <v>273</v>
      </c>
      <c r="U23" s="390">
        <v>0.20699999999999999</v>
      </c>
      <c r="V23" s="390">
        <v>-9.7799999999999994</v>
      </c>
      <c r="W23" s="390"/>
      <c r="X23" s="390"/>
      <c r="Y23" s="390">
        <v>2</v>
      </c>
      <c r="Z23" s="390" t="s">
        <v>207</v>
      </c>
      <c r="AA23" s="390" t="s">
        <v>7</v>
      </c>
      <c r="AB23" s="390" t="s">
        <v>582</v>
      </c>
      <c r="AC23" s="390" t="s">
        <v>591</v>
      </c>
      <c r="AD23" s="390" t="s">
        <v>607</v>
      </c>
      <c r="AE23" s="390" t="s">
        <v>581</v>
      </c>
      <c r="AF23" s="390" t="s">
        <v>608</v>
      </c>
      <c r="AG23" s="390" t="s">
        <v>585</v>
      </c>
      <c r="AH23" s="390"/>
      <c r="AI23" s="390" t="s">
        <v>609</v>
      </c>
      <c r="AJ23" s="390" t="s">
        <v>604</v>
      </c>
      <c r="AK23" s="390" t="s">
        <v>605</v>
      </c>
      <c r="AL23" s="390" t="s">
        <v>589</v>
      </c>
    </row>
    <row r="24" spans="1:38" x14ac:dyDescent="0.25">
      <c r="A24" s="393" t="s">
        <v>606</v>
      </c>
      <c r="B24" s="390" t="s">
        <v>576</v>
      </c>
      <c r="C24" s="390" t="s">
        <v>206</v>
      </c>
      <c r="D24" s="390" t="s">
        <v>577</v>
      </c>
      <c r="E24" s="390" t="s">
        <v>578</v>
      </c>
      <c r="F24" s="390" t="s">
        <v>579</v>
      </c>
      <c r="G24" s="390" t="s">
        <v>600</v>
      </c>
      <c r="H24" s="390">
        <v>7.6</v>
      </c>
      <c r="I24" s="390">
        <v>50000</v>
      </c>
      <c r="J24" s="390" t="s">
        <v>581</v>
      </c>
      <c r="K24" s="390">
        <v>0</v>
      </c>
      <c r="L24" s="390">
        <v>0</v>
      </c>
      <c r="M24" s="390">
        <v>0</v>
      </c>
      <c r="N24" s="390">
        <v>630</v>
      </c>
      <c r="O24" s="390">
        <v>0.41499999999999998</v>
      </c>
      <c r="P24" s="392">
        <v>-20.7</v>
      </c>
      <c r="Q24" s="390">
        <v>0</v>
      </c>
      <c r="R24" s="390">
        <v>0</v>
      </c>
      <c r="S24" s="390">
        <v>0</v>
      </c>
      <c r="T24" s="390">
        <v>243</v>
      </c>
      <c r="U24" s="390">
        <v>0.158</v>
      </c>
      <c r="V24" s="390">
        <v>-8.93</v>
      </c>
      <c r="W24" s="390"/>
      <c r="X24" s="390"/>
      <c r="Y24" s="390">
        <v>2</v>
      </c>
      <c r="Z24" s="390" t="s">
        <v>207</v>
      </c>
      <c r="AA24" s="390" t="s">
        <v>7</v>
      </c>
      <c r="AB24" s="390" t="s">
        <v>582</v>
      </c>
      <c r="AC24" s="390" t="s">
        <v>592</v>
      </c>
      <c r="AD24" s="390" t="s">
        <v>607</v>
      </c>
      <c r="AE24" s="390" t="s">
        <v>581</v>
      </c>
      <c r="AF24" s="390" t="s">
        <v>608</v>
      </c>
      <c r="AG24" s="390" t="s">
        <v>585</v>
      </c>
      <c r="AH24" s="390"/>
      <c r="AI24" s="390" t="s">
        <v>609</v>
      </c>
      <c r="AJ24" s="390" t="s">
        <v>604</v>
      </c>
      <c r="AK24" s="390" t="s">
        <v>605</v>
      </c>
      <c r="AL24" s="390" t="s">
        <v>589</v>
      </c>
    </row>
    <row r="25" spans="1:38" x14ac:dyDescent="0.25">
      <c r="A25" s="393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390"/>
    </row>
    <row r="26" spans="1:38" x14ac:dyDescent="0.25">
      <c r="A26" s="393" t="s">
        <v>610</v>
      </c>
      <c r="B26" s="390" t="s">
        <v>576</v>
      </c>
      <c r="C26" s="390" t="s">
        <v>206</v>
      </c>
      <c r="D26" s="390" t="s">
        <v>577</v>
      </c>
      <c r="E26" s="390" t="s">
        <v>578</v>
      </c>
      <c r="F26" s="390" t="s">
        <v>579</v>
      </c>
      <c r="G26" s="390" t="s">
        <v>600</v>
      </c>
      <c r="H26" s="390">
        <v>9.2899999999999991</v>
      </c>
      <c r="I26" s="390">
        <v>50000</v>
      </c>
      <c r="J26" s="390" t="s">
        <v>581</v>
      </c>
      <c r="K26" s="390">
        <v>0</v>
      </c>
      <c r="L26" s="390">
        <v>0</v>
      </c>
      <c r="M26" s="390">
        <v>0</v>
      </c>
      <c r="N26" s="390">
        <v>479</v>
      </c>
      <c r="O26" s="390">
        <v>0.73</v>
      </c>
      <c r="P26" s="392">
        <v>-14.3</v>
      </c>
      <c r="Q26" s="390">
        <v>0</v>
      </c>
      <c r="R26" s="390">
        <v>0</v>
      </c>
      <c r="S26" s="390">
        <v>0</v>
      </c>
      <c r="T26" s="390">
        <v>140</v>
      </c>
      <c r="U26" s="390">
        <v>0.223</v>
      </c>
      <c r="V26" s="390">
        <v>-4.83</v>
      </c>
      <c r="W26" s="390"/>
      <c r="X26" s="390"/>
      <c r="Y26" s="390">
        <v>2</v>
      </c>
      <c r="Z26" s="390" t="s">
        <v>207</v>
      </c>
      <c r="AA26" s="390" t="s">
        <v>7</v>
      </c>
      <c r="AB26" s="390" t="s">
        <v>582</v>
      </c>
      <c r="AC26" s="390" t="s">
        <v>412</v>
      </c>
      <c r="AD26" s="390" t="s">
        <v>611</v>
      </c>
      <c r="AE26" s="390" t="s">
        <v>581</v>
      </c>
      <c r="AF26" s="390" t="s">
        <v>612</v>
      </c>
      <c r="AG26" s="390" t="s">
        <v>585</v>
      </c>
      <c r="AH26" s="390"/>
      <c r="AI26" s="390" t="s">
        <v>613</v>
      </c>
      <c r="AJ26" s="390" t="s">
        <v>604</v>
      </c>
      <c r="AK26" s="390" t="s">
        <v>605</v>
      </c>
      <c r="AL26" s="390" t="s">
        <v>589</v>
      </c>
    </row>
    <row r="27" spans="1:38" x14ac:dyDescent="0.25">
      <c r="A27" s="393" t="s">
        <v>610</v>
      </c>
      <c r="B27" s="390" t="s">
        <v>576</v>
      </c>
      <c r="C27" s="390" t="s">
        <v>206</v>
      </c>
      <c r="D27" s="390" t="s">
        <v>577</v>
      </c>
      <c r="E27" s="390" t="s">
        <v>578</v>
      </c>
      <c r="F27" s="390" t="s">
        <v>579</v>
      </c>
      <c r="G27" s="390" t="s">
        <v>600</v>
      </c>
      <c r="H27" s="390">
        <v>9.2899999999999991</v>
      </c>
      <c r="I27" s="390">
        <v>50000</v>
      </c>
      <c r="J27" s="390" t="s">
        <v>581</v>
      </c>
      <c r="K27" s="390">
        <v>0</v>
      </c>
      <c r="L27" s="390">
        <v>0</v>
      </c>
      <c r="M27" s="390">
        <v>0</v>
      </c>
      <c r="N27" s="390">
        <v>488</v>
      </c>
      <c r="O27" s="390">
        <v>0.54400000000000004</v>
      </c>
      <c r="P27" s="392">
        <v>-8.44</v>
      </c>
      <c r="Q27" s="390">
        <v>0</v>
      </c>
      <c r="R27" s="390">
        <v>0</v>
      </c>
      <c r="S27" s="390">
        <v>0</v>
      </c>
      <c r="T27" s="390">
        <v>198</v>
      </c>
      <c r="U27" s="390">
        <v>0.221</v>
      </c>
      <c r="V27" s="390">
        <v>-3.57</v>
      </c>
      <c r="W27" s="390"/>
      <c r="X27" s="390"/>
      <c r="Y27" s="390">
        <v>2</v>
      </c>
      <c r="Z27" s="390" t="s">
        <v>207</v>
      </c>
      <c r="AA27" s="390" t="s">
        <v>7</v>
      </c>
      <c r="AB27" s="390" t="s">
        <v>582</v>
      </c>
      <c r="AC27" s="390" t="s">
        <v>590</v>
      </c>
      <c r="AD27" s="390" t="s">
        <v>611</v>
      </c>
      <c r="AE27" s="390" t="s">
        <v>581</v>
      </c>
      <c r="AF27" s="390" t="s">
        <v>612</v>
      </c>
      <c r="AG27" s="390" t="s">
        <v>585</v>
      </c>
      <c r="AH27" s="390"/>
      <c r="AI27" s="390" t="s">
        <v>613</v>
      </c>
      <c r="AJ27" s="390" t="s">
        <v>604</v>
      </c>
      <c r="AK27" s="390" t="s">
        <v>605</v>
      </c>
      <c r="AL27" s="390" t="s">
        <v>589</v>
      </c>
    </row>
    <row r="28" spans="1:38" x14ac:dyDescent="0.25">
      <c r="A28" s="393" t="s">
        <v>610</v>
      </c>
      <c r="B28" s="390" t="s">
        <v>576</v>
      </c>
      <c r="C28" s="390" t="s">
        <v>206</v>
      </c>
      <c r="D28" s="390" t="s">
        <v>577</v>
      </c>
      <c r="E28" s="390" t="s">
        <v>578</v>
      </c>
      <c r="F28" s="390" t="s">
        <v>579</v>
      </c>
      <c r="G28" s="390" t="s">
        <v>600</v>
      </c>
      <c r="H28" s="390">
        <v>9.2899999999999991</v>
      </c>
      <c r="I28" s="390">
        <v>50000</v>
      </c>
      <c r="J28" s="390" t="s">
        <v>581</v>
      </c>
      <c r="K28" s="390">
        <v>0</v>
      </c>
      <c r="L28" s="390">
        <v>0</v>
      </c>
      <c r="M28" s="390">
        <v>0</v>
      </c>
      <c r="N28" s="390">
        <v>492</v>
      </c>
      <c r="O28" s="390">
        <v>0.53700000000000003</v>
      </c>
      <c r="P28" s="392">
        <v>-8.1199999999999992</v>
      </c>
      <c r="Q28" s="390">
        <v>0</v>
      </c>
      <c r="R28" s="390">
        <v>0</v>
      </c>
      <c r="S28" s="390">
        <v>0</v>
      </c>
      <c r="T28" s="390">
        <v>208</v>
      </c>
      <c r="U28" s="390">
        <v>0.22800000000000001</v>
      </c>
      <c r="V28" s="390">
        <v>-3.56</v>
      </c>
      <c r="W28" s="390"/>
      <c r="X28" s="390"/>
      <c r="Y28" s="390">
        <v>2</v>
      </c>
      <c r="Z28" s="390" t="s">
        <v>207</v>
      </c>
      <c r="AA28" s="390" t="s">
        <v>7</v>
      </c>
      <c r="AB28" s="390" t="s">
        <v>582</v>
      </c>
      <c r="AC28" s="390" t="s">
        <v>591</v>
      </c>
      <c r="AD28" s="390" t="s">
        <v>611</v>
      </c>
      <c r="AE28" s="390" t="s">
        <v>581</v>
      </c>
      <c r="AF28" s="390" t="s">
        <v>612</v>
      </c>
      <c r="AG28" s="390" t="s">
        <v>585</v>
      </c>
      <c r="AH28" s="390"/>
      <c r="AI28" s="390" t="s">
        <v>613</v>
      </c>
      <c r="AJ28" s="390" t="s">
        <v>604</v>
      </c>
      <c r="AK28" s="390" t="s">
        <v>605</v>
      </c>
      <c r="AL28" s="390" t="s">
        <v>589</v>
      </c>
    </row>
    <row r="29" spans="1:38" x14ac:dyDescent="0.25">
      <c r="A29" s="393" t="s">
        <v>610</v>
      </c>
      <c r="B29" s="390" t="s">
        <v>576</v>
      </c>
      <c r="C29" s="390" t="s">
        <v>206</v>
      </c>
      <c r="D29" s="390" t="s">
        <v>577</v>
      </c>
      <c r="E29" s="390" t="s">
        <v>578</v>
      </c>
      <c r="F29" s="390" t="s">
        <v>579</v>
      </c>
      <c r="G29" s="390" t="s">
        <v>600</v>
      </c>
      <c r="H29" s="390">
        <v>9.2899999999999991</v>
      </c>
      <c r="I29" s="390">
        <v>50000</v>
      </c>
      <c r="J29" s="390" t="s">
        <v>581</v>
      </c>
      <c r="K29" s="390">
        <v>0</v>
      </c>
      <c r="L29" s="390">
        <v>0</v>
      </c>
      <c r="M29" s="390">
        <v>0</v>
      </c>
      <c r="N29" s="390">
        <v>472</v>
      </c>
      <c r="O29" s="390">
        <v>0.45300000000000001</v>
      </c>
      <c r="P29" s="392">
        <v>-7.48</v>
      </c>
      <c r="Q29" s="390">
        <v>0</v>
      </c>
      <c r="R29" s="390">
        <v>0</v>
      </c>
      <c r="S29" s="390">
        <v>0</v>
      </c>
      <c r="T29" s="390">
        <v>186</v>
      </c>
      <c r="U29" s="390">
        <v>0.17100000000000001</v>
      </c>
      <c r="V29" s="390">
        <v>-3.29</v>
      </c>
      <c r="W29" s="390"/>
      <c r="X29" s="390"/>
      <c r="Y29" s="390">
        <v>2</v>
      </c>
      <c r="Z29" s="390" t="s">
        <v>207</v>
      </c>
      <c r="AA29" s="390" t="s">
        <v>7</v>
      </c>
      <c r="AB29" s="390" t="s">
        <v>582</v>
      </c>
      <c r="AC29" s="390" t="s">
        <v>592</v>
      </c>
      <c r="AD29" s="390" t="s">
        <v>611</v>
      </c>
      <c r="AE29" s="390" t="s">
        <v>581</v>
      </c>
      <c r="AF29" s="390" t="s">
        <v>612</v>
      </c>
      <c r="AG29" s="390" t="s">
        <v>585</v>
      </c>
      <c r="AH29" s="390"/>
      <c r="AI29" s="390" t="s">
        <v>613</v>
      </c>
      <c r="AJ29" s="390" t="s">
        <v>604</v>
      </c>
      <c r="AK29" s="390" t="s">
        <v>605</v>
      </c>
      <c r="AL29" s="390" t="s">
        <v>589</v>
      </c>
    </row>
    <row r="30" spans="1:38" x14ac:dyDescent="0.25">
      <c r="A30" s="393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390"/>
    </row>
    <row r="31" spans="1:38" x14ac:dyDescent="0.25">
      <c r="A31" s="394" t="s">
        <v>575</v>
      </c>
      <c r="B31" s="390" t="s">
        <v>576</v>
      </c>
      <c r="C31" s="390" t="s">
        <v>211</v>
      </c>
      <c r="D31" s="390" t="s">
        <v>577</v>
      </c>
      <c r="E31" s="390" t="s">
        <v>578</v>
      </c>
      <c r="F31" s="390" t="s">
        <v>579</v>
      </c>
      <c r="G31" s="390" t="s">
        <v>580</v>
      </c>
      <c r="H31" s="390">
        <v>1.92</v>
      </c>
      <c r="I31" s="390">
        <v>1920</v>
      </c>
      <c r="J31" s="390" t="s">
        <v>581</v>
      </c>
      <c r="K31" s="390">
        <v>0</v>
      </c>
      <c r="L31" s="390">
        <v>0</v>
      </c>
      <c r="M31" s="390">
        <v>0</v>
      </c>
      <c r="N31" s="390">
        <v>305</v>
      </c>
      <c r="O31" s="390">
        <v>0.28699999999999998</v>
      </c>
      <c r="P31" s="392">
        <v>0.443</v>
      </c>
      <c r="Q31" s="390">
        <v>0</v>
      </c>
      <c r="R31" s="390">
        <v>0</v>
      </c>
      <c r="S31" s="390">
        <v>0</v>
      </c>
      <c r="T31" s="390">
        <v>0</v>
      </c>
      <c r="U31" s="390">
        <v>0</v>
      </c>
      <c r="V31" s="390">
        <v>0</v>
      </c>
      <c r="W31" s="390"/>
      <c r="X31" s="390"/>
      <c r="Y31" s="390">
        <v>2</v>
      </c>
      <c r="Z31" s="390" t="s">
        <v>212</v>
      </c>
      <c r="AA31" s="390" t="s">
        <v>7</v>
      </c>
      <c r="AB31" s="390" t="s">
        <v>582</v>
      </c>
      <c r="AC31" s="390" t="s">
        <v>412</v>
      </c>
      <c r="AD31" s="390" t="s">
        <v>583</v>
      </c>
      <c r="AE31" s="390" t="s">
        <v>581</v>
      </c>
      <c r="AF31" s="390" t="s">
        <v>584</v>
      </c>
      <c r="AG31" s="390" t="s">
        <v>585</v>
      </c>
      <c r="AH31" s="390"/>
      <c r="AI31" s="390" t="s">
        <v>586</v>
      </c>
      <c r="AJ31" s="390" t="s">
        <v>587</v>
      </c>
      <c r="AK31" s="390" t="s">
        <v>588</v>
      </c>
      <c r="AL31" s="390" t="s">
        <v>589</v>
      </c>
    </row>
    <row r="32" spans="1:38" x14ac:dyDescent="0.25">
      <c r="A32" s="394" t="s">
        <v>575</v>
      </c>
      <c r="B32" s="390" t="s">
        <v>576</v>
      </c>
      <c r="C32" s="390" t="s">
        <v>211</v>
      </c>
      <c r="D32" s="390" t="s">
        <v>577</v>
      </c>
      <c r="E32" s="390" t="s">
        <v>578</v>
      </c>
      <c r="F32" s="390" t="s">
        <v>579</v>
      </c>
      <c r="G32" s="390" t="s">
        <v>580</v>
      </c>
      <c r="H32" s="390">
        <v>1.92</v>
      </c>
      <c r="I32" s="390">
        <v>1920</v>
      </c>
      <c r="J32" s="390" t="s">
        <v>581</v>
      </c>
      <c r="K32" s="390">
        <v>0</v>
      </c>
      <c r="L32" s="390">
        <v>0</v>
      </c>
      <c r="M32" s="390">
        <v>0</v>
      </c>
      <c r="N32" s="390">
        <v>279</v>
      </c>
      <c r="O32" s="390">
        <v>0.26800000000000002</v>
      </c>
      <c r="P32" s="392">
        <v>0.32800000000000001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/>
      <c r="X32" s="390"/>
      <c r="Y32" s="390">
        <v>2</v>
      </c>
      <c r="Z32" s="390" t="s">
        <v>212</v>
      </c>
      <c r="AA32" s="390" t="s">
        <v>7</v>
      </c>
      <c r="AB32" s="390" t="s">
        <v>582</v>
      </c>
      <c r="AC32" s="390" t="s">
        <v>590</v>
      </c>
      <c r="AD32" s="390" t="s">
        <v>583</v>
      </c>
      <c r="AE32" s="390" t="s">
        <v>581</v>
      </c>
      <c r="AF32" s="390" t="s">
        <v>584</v>
      </c>
      <c r="AG32" s="390" t="s">
        <v>585</v>
      </c>
      <c r="AH32" s="390"/>
      <c r="AI32" s="390" t="s">
        <v>586</v>
      </c>
      <c r="AJ32" s="390" t="s">
        <v>587</v>
      </c>
      <c r="AK32" s="390" t="s">
        <v>588</v>
      </c>
      <c r="AL32" s="390" t="s">
        <v>589</v>
      </c>
    </row>
    <row r="33" spans="1:38" x14ac:dyDescent="0.25">
      <c r="A33" s="394" t="s">
        <v>575</v>
      </c>
      <c r="B33" s="390" t="s">
        <v>576</v>
      </c>
      <c r="C33" s="390" t="s">
        <v>211</v>
      </c>
      <c r="D33" s="390" t="s">
        <v>577</v>
      </c>
      <c r="E33" s="390" t="s">
        <v>578</v>
      </c>
      <c r="F33" s="390" t="s">
        <v>579</v>
      </c>
      <c r="G33" s="390" t="s">
        <v>580</v>
      </c>
      <c r="H33" s="390">
        <v>1.92</v>
      </c>
      <c r="I33" s="390">
        <v>1920</v>
      </c>
      <c r="J33" s="390" t="s">
        <v>581</v>
      </c>
      <c r="K33" s="390">
        <v>0</v>
      </c>
      <c r="L33" s="390">
        <v>0</v>
      </c>
      <c r="M33" s="390">
        <v>0</v>
      </c>
      <c r="N33" s="390">
        <v>283</v>
      </c>
      <c r="O33" s="390">
        <v>0.26100000000000001</v>
      </c>
      <c r="P33" s="392">
        <v>0.32700000000000001</v>
      </c>
      <c r="Q33" s="390">
        <v>0</v>
      </c>
      <c r="R33" s="390">
        <v>0</v>
      </c>
      <c r="S33" s="390">
        <v>0</v>
      </c>
      <c r="T33" s="390">
        <v>0</v>
      </c>
      <c r="U33" s="390">
        <v>0</v>
      </c>
      <c r="V33" s="390">
        <v>0</v>
      </c>
      <c r="W33" s="390"/>
      <c r="X33" s="390"/>
      <c r="Y33" s="390">
        <v>2</v>
      </c>
      <c r="Z33" s="390" t="s">
        <v>212</v>
      </c>
      <c r="AA33" s="390" t="s">
        <v>7</v>
      </c>
      <c r="AB33" s="390" t="s">
        <v>582</v>
      </c>
      <c r="AC33" s="390" t="s">
        <v>591</v>
      </c>
      <c r="AD33" s="390" t="s">
        <v>583</v>
      </c>
      <c r="AE33" s="390" t="s">
        <v>581</v>
      </c>
      <c r="AF33" s="390" t="s">
        <v>584</v>
      </c>
      <c r="AG33" s="390" t="s">
        <v>585</v>
      </c>
      <c r="AH33" s="390"/>
      <c r="AI33" s="390" t="s">
        <v>586</v>
      </c>
      <c r="AJ33" s="390" t="s">
        <v>587</v>
      </c>
      <c r="AK33" s="390" t="s">
        <v>588</v>
      </c>
      <c r="AL33" s="390" t="s">
        <v>589</v>
      </c>
    </row>
    <row r="34" spans="1:38" x14ac:dyDescent="0.25">
      <c r="A34" s="394" t="s">
        <v>575</v>
      </c>
      <c r="B34" s="390" t="s">
        <v>576</v>
      </c>
      <c r="C34" s="390" t="s">
        <v>211</v>
      </c>
      <c r="D34" s="390" t="s">
        <v>577</v>
      </c>
      <c r="E34" s="390" t="s">
        <v>578</v>
      </c>
      <c r="F34" s="390" t="s">
        <v>579</v>
      </c>
      <c r="G34" s="390" t="s">
        <v>580</v>
      </c>
      <c r="H34" s="390">
        <v>1.92</v>
      </c>
      <c r="I34" s="390">
        <v>1920</v>
      </c>
      <c r="J34" s="390" t="s">
        <v>581</v>
      </c>
      <c r="K34" s="390">
        <v>0</v>
      </c>
      <c r="L34" s="390">
        <v>0</v>
      </c>
      <c r="M34" s="390">
        <v>0</v>
      </c>
      <c r="N34" s="390">
        <v>241</v>
      </c>
      <c r="O34" s="390">
        <v>0.22600000000000001</v>
      </c>
      <c r="P34" s="392">
        <v>0.314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/>
      <c r="X34" s="390"/>
      <c r="Y34" s="390">
        <v>2</v>
      </c>
      <c r="Z34" s="390" t="s">
        <v>212</v>
      </c>
      <c r="AA34" s="390" t="s">
        <v>7</v>
      </c>
      <c r="AB34" s="390" t="s">
        <v>582</v>
      </c>
      <c r="AC34" s="390" t="s">
        <v>592</v>
      </c>
      <c r="AD34" s="390" t="s">
        <v>583</v>
      </c>
      <c r="AE34" s="390" t="s">
        <v>581</v>
      </c>
      <c r="AF34" s="390" t="s">
        <v>584</v>
      </c>
      <c r="AG34" s="390" t="s">
        <v>585</v>
      </c>
      <c r="AH34" s="390"/>
      <c r="AI34" s="390" t="s">
        <v>586</v>
      </c>
      <c r="AJ34" s="390" t="s">
        <v>587</v>
      </c>
      <c r="AK34" s="390" t="s">
        <v>588</v>
      </c>
      <c r="AL34" s="390" t="s">
        <v>589</v>
      </c>
    </row>
    <row r="36" spans="1:38" x14ac:dyDescent="0.25">
      <c r="A36" s="390" t="s">
        <v>614</v>
      </c>
      <c r="B36" s="390" t="s">
        <v>576</v>
      </c>
      <c r="C36" s="390" t="s">
        <v>211</v>
      </c>
      <c r="D36" s="390" t="s">
        <v>577</v>
      </c>
      <c r="E36" s="390" t="s">
        <v>578</v>
      </c>
      <c r="F36" s="390" t="s">
        <v>579</v>
      </c>
      <c r="G36" s="390" t="s">
        <v>600</v>
      </c>
      <c r="H36" s="390">
        <v>0.32</v>
      </c>
      <c r="I36" s="390">
        <v>1920</v>
      </c>
      <c r="J36" s="390" t="s">
        <v>581</v>
      </c>
      <c r="K36" s="390">
        <v>0</v>
      </c>
      <c r="L36" s="390">
        <v>0</v>
      </c>
      <c r="M36" s="390">
        <v>0</v>
      </c>
      <c r="N36" s="390">
        <v>-60.3</v>
      </c>
      <c r="O36" s="390">
        <v>0.121</v>
      </c>
      <c r="P36" s="392">
        <v>-0.58799999999999997</v>
      </c>
      <c r="Q36" s="390">
        <v>0</v>
      </c>
      <c r="R36" s="390">
        <v>0</v>
      </c>
      <c r="S36" s="390">
        <v>0</v>
      </c>
      <c r="T36" s="390">
        <v>-25.7</v>
      </c>
      <c r="U36" s="390">
        <v>5.2200000000000003E-2</v>
      </c>
      <c r="V36" s="390">
        <v>-0.26600000000000001</v>
      </c>
      <c r="W36" s="390"/>
      <c r="X36" s="390"/>
      <c r="Y36" s="390">
        <v>2</v>
      </c>
      <c r="Z36" s="390" t="s">
        <v>212</v>
      </c>
      <c r="AA36" s="390" t="s">
        <v>7</v>
      </c>
      <c r="AB36" s="390" t="s">
        <v>582</v>
      </c>
      <c r="AC36" s="390" t="s">
        <v>412</v>
      </c>
      <c r="AD36" s="390" t="s">
        <v>601</v>
      </c>
      <c r="AE36" s="390" t="s">
        <v>581</v>
      </c>
      <c r="AF36" s="390" t="s">
        <v>602</v>
      </c>
      <c r="AG36" s="390" t="s">
        <v>585</v>
      </c>
      <c r="AH36" s="390"/>
      <c r="AI36" s="390" t="s">
        <v>603</v>
      </c>
      <c r="AJ36" s="390" t="s">
        <v>604</v>
      </c>
      <c r="AK36" s="390" t="s">
        <v>605</v>
      </c>
      <c r="AL36" s="390" t="s">
        <v>589</v>
      </c>
    </row>
    <row r="37" spans="1:38" x14ac:dyDescent="0.25">
      <c r="A37" s="390" t="s">
        <v>614</v>
      </c>
      <c r="B37" s="390" t="s">
        <v>576</v>
      </c>
      <c r="C37" s="390" t="s">
        <v>211</v>
      </c>
      <c r="D37" s="390" t="s">
        <v>577</v>
      </c>
      <c r="E37" s="390" t="s">
        <v>578</v>
      </c>
      <c r="F37" s="390" t="s">
        <v>579</v>
      </c>
      <c r="G37" s="390" t="s">
        <v>600</v>
      </c>
      <c r="H37" s="390">
        <v>0.32</v>
      </c>
      <c r="I37" s="390">
        <v>1920</v>
      </c>
      <c r="J37" s="390" t="s">
        <v>581</v>
      </c>
      <c r="K37" s="390">
        <v>0</v>
      </c>
      <c r="L37" s="390">
        <v>0</v>
      </c>
      <c r="M37" s="390">
        <v>0</v>
      </c>
      <c r="N37" s="390">
        <v>72.599999999999994</v>
      </c>
      <c r="O37" s="390">
        <v>0.10199999999999999</v>
      </c>
      <c r="P37" s="392">
        <v>-0.55300000000000005</v>
      </c>
      <c r="Q37" s="390">
        <v>0</v>
      </c>
      <c r="R37" s="390">
        <v>0</v>
      </c>
      <c r="S37" s="390">
        <v>0</v>
      </c>
      <c r="T37" s="390">
        <v>32.6</v>
      </c>
      <c r="U37" s="390">
        <v>1.5100000000000001E-2</v>
      </c>
      <c r="V37" s="390">
        <v>-0.26800000000000002</v>
      </c>
      <c r="W37" s="390"/>
      <c r="X37" s="390"/>
      <c r="Y37" s="390">
        <v>2</v>
      </c>
      <c r="Z37" s="390" t="s">
        <v>212</v>
      </c>
      <c r="AA37" s="390" t="s">
        <v>7</v>
      </c>
      <c r="AB37" s="390" t="s">
        <v>582</v>
      </c>
      <c r="AC37" s="390" t="s">
        <v>590</v>
      </c>
      <c r="AD37" s="390" t="s">
        <v>601</v>
      </c>
      <c r="AE37" s="390" t="s">
        <v>581</v>
      </c>
      <c r="AF37" s="390" t="s">
        <v>602</v>
      </c>
      <c r="AG37" s="390" t="s">
        <v>585</v>
      </c>
      <c r="AH37" s="390"/>
      <c r="AI37" s="390" t="s">
        <v>603</v>
      </c>
      <c r="AJ37" s="390" t="s">
        <v>604</v>
      </c>
      <c r="AK37" s="390" t="s">
        <v>605</v>
      </c>
      <c r="AL37" s="390" t="s">
        <v>589</v>
      </c>
    </row>
    <row r="38" spans="1:38" x14ac:dyDescent="0.25">
      <c r="A38" s="390" t="s">
        <v>614</v>
      </c>
      <c r="B38" s="390" t="s">
        <v>576</v>
      </c>
      <c r="C38" s="390" t="s">
        <v>211</v>
      </c>
      <c r="D38" s="390" t="s">
        <v>577</v>
      </c>
      <c r="E38" s="390" t="s">
        <v>578</v>
      </c>
      <c r="F38" s="390" t="s">
        <v>579</v>
      </c>
      <c r="G38" s="390" t="s">
        <v>600</v>
      </c>
      <c r="H38" s="390">
        <v>0.32</v>
      </c>
      <c r="I38" s="390">
        <v>1920</v>
      </c>
      <c r="J38" s="390" t="s">
        <v>581</v>
      </c>
      <c r="K38" s="390">
        <v>0</v>
      </c>
      <c r="L38" s="390">
        <v>0</v>
      </c>
      <c r="M38" s="390">
        <v>0</v>
      </c>
      <c r="N38" s="390">
        <v>72.599999999999994</v>
      </c>
      <c r="O38" s="390">
        <v>8.7900000000000006E-2</v>
      </c>
      <c r="P38" s="392">
        <v>-0.53800000000000003</v>
      </c>
      <c r="Q38" s="390">
        <v>0</v>
      </c>
      <c r="R38" s="390">
        <v>0</v>
      </c>
      <c r="S38" s="390">
        <v>0</v>
      </c>
      <c r="T38" s="390">
        <v>33.1</v>
      </c>
      <c r="U38" s="390">
        <v>1.23E-2</v>
      </c>
      <c r="V38" s="390">
        <v>-0.26400000000000001</v>
      </c>
      <c r="W38" s="390"/>
      <c r="X38" s="390"/>
      <c r="Y38" s="390">
        <v>2</v>
      </c>
      <c r="Z38" s="390" t="s">
        <v>212</v>
      </c>
      <c r="AA38" s="390" t="s">
        <v>7</v>
      </c>
      <c r="AB38" s="390" t="s">
        <v>582</v>
      </c>
      <c r="AC38" s="390" t="s">
        <v>591</v>
      </c>
      <c r="AD38" s="390" t="s">
        <v>601</v>
      </c>
      <c r="AE38" s="390" t="s">
        <v>581</v>
      </c>
      <c r="AF38" s="390" t="s">
        <v>602</v>
      </c>
      <c r="AG38" s="390" t="s">
        <v>585</v>
      </c>
      <c r="AH38" s="390"/>
      <c r="AI38" s="390" t="s">
        <v>603</v>
      </c>
      <c r="AJ38" s="390" t="s">
        <v>604</v>
      </c>
      <c r="AK38" s="390" t="s">
        <v>605</v>
      </c>
      <c r="AL38" s="390" t="s">
        <v>589</v>
      </c>
    </row>
    <row r="39" spans="1:38" x14ac:dyDescent="0.25">
      <c r="A39" s="390" t="s">
        <v>614</v>
      </c>
      <c r="B39" s="390" t="s">
        <v>576</v>
      </c>
      <c r="C39" s="390" t="s">
        <v>211</v>
      </c>
      <c r="D39" s="390" t="s">
        <v>577</v>
      </c>
      <c r="E39" s="390" t="s">
        <v>578</v>
      </c>
      <c r="F39" s="390" t="s">
        <v>579</v>
      </c>
      <c r="G39" s="390" t="s">
        <v>600</v>
      </c>
      <c r="H39" s="390">
        <v>0.32</v>
      </c>
      <c r="I39" s="390">
        <v>1920</v>
      </c>
      <c r="J39" s="390" t="s">
        <v>581</v>
      </c>
      <c r="K39" s="390">
        <v>0</v>
      </c>
      <c r="L39" s="390">
        <v>0</v>
      </c>
      <c r="M39" s="390">
        <v>0</v>
      </c>
      <c r="N39" s="390">
        <v>93.5</v>
      </c>
      <c r="O39" s="390">
        <v>0.187</v>
      </c>
      <c r="P39" s="392">
        <v>-0.53400000000000003</v>
      </c>
      <c r="Q39" s="390">
        <v>0</v>
      </c>
      <c r="R39" s="390">
        <v>0</v>
      </c>
      <c r="S39" s="390">
        <v>0</v>
      </c>
      <c r="T39" s="390">
        <v>45</v>
      </c>
      <c r="U39" s="390">
        <v>9.5699999999999995E-4</v>
      </c>
      <c r="V39" s="390">
        <v>-0.26300000000000001</v>
      </c>
      <c r="W39" s="390"/>
      <c r="X39" s="390"/>
      <c r="Y39" s="390">
        <v>2</v>
      </c>
      <c r="Z39" s="390" t="s">
        <v>212</v>
      </c>
      <c r="AA39" s="390" t="s">
        <v>7</v>
      </c>
      <c r="AB39" s="390" t="s">
        <v>582</v>
      </c>
      <c r="AC39" s="390" t="s">
        <v>592</v>
      </c>
      <c r="AD39" s="390" t="s">
        <v>601</v>
      </c>
      <c r="AE39" s="390" t="s">
        <v>581</v>
      </c>
      <c r="AF39" s="390" t="s">
        <v>602</v>
      </c>
      <c r="AG39" s="390" t="s">
        <v>585</v>
      </c>
      <c r="AH39" s="390"/>
      <c r="AI39" s="390" t="s">
        <v>603</v>
      </c>
      <c r="AJ39" s="390" t="s">
        <v>604</v>
      </c>
      <c r="AK39" s="390" t="s">
        <v>605</v>
      </c>
      <c r="AL39" s="390" t="s">
        <v>589</v>
      </c>
    </row>
    <row r="41" spans="1:38" x14ac:dyDescent="0.25">
      <c r="A41" s="390" t="s">
        <v>615</v>
      </c>
      <c r="B41" s="390" t="s">
        <v>576</v>
      </c>
      <c r="C41" s="390" t="s">
        <v>211</v>
      </c>
      <c r="D41" s="390" t="s">
        <v>577</v>
      </c>
      <c r="E41" s="390" t="s">
        <v>578</v>
      </c>
      <c r="F41" s="390" t="s">
        <v>579</v>
      </c>
      <c r="G41" s="390" t="s">
        <v>600</v>
      </c>
      <c r="H41" s="390">
        <v>0.32</v>
      </c>
      <c r="I41" s="390">
        <v>1920</v>
      </c>
      <c r="J41" s="390" t="s">
        <v>581</v>
      </c>
      <c r="K41" s="390">
        <v>0</v>
      </c>
      <c r="L41" s="390">
        <v>0</v>
      </c>
      <c r="M41" s="390">
        <v>0</v>
      </c>
      <c r="N41" s="390">
        <v>124</v>
      </c>
      <c r="O41" s="390">
        <v>0.36199999999999999</v>
      </c>
      <c r="P41" s="392">
        <v>0</v>
      </c>
      <c r="Q41" s="390">
        <v>0</v>
      </c>
      <c r="R41" s="390">
        <v>0</v>
      </c>
      <c r="S41" s="390">
        <v>0</v>
      </c>
      <c r="T41" s="390">
        <v>45.4</v>
      </c>
      <c r="U41" s="390">
        <v>0.13</v>
      </c>
      <c r="V41" s="390">
        <v>0</v>
      </c>
      <c r="W41" s="390"/>
      <c r="X41" s="390"/>
      <c r="Y41" s="390">
        <v>2</v>
      </c>
      <c r="Z41" s="390" t="s">
        <v>212</v>
      </c>
      <c r="AA41" s="390" t="s">
        <v>7</v>
      </c>
      <c r="AB41" s="390" t="s">
        <v>582</v>
      </c>
      <c r="AC41" s="390" t="s">
        <v>412</v>
      </c>
      <c r="AD41" s="390" t="s">
        <v>607</v>
      </c>
      <c r="AE41" s="390" t="s">
        <v>581</v>
      </c>
      <c r="AF41" s="390" t="s">
        <v>608</v>
      </c>
      <c r="AG41" s="390" t="s">
        <v>585</v>
      </c>
      <c r="AH41" s="390"/>
      <c r="AI41" s="390" t="s">
        <v>609</v>
      </c>
      <c r="AJ41" s="390" t="s">
        <v>604</v>
      </c>
      <c r="AK41" s="390" t="s">
        <v>605</v>
      </c>
      <c r="AL41" s="390" t="s">
        <v>589</v>
      </c>
    </row>
    <row r="42" spans="1:38" x14ac:dyDescent="0.25">
      <c r="A42" s="390" t="s">
        <v>615</v>
      </c>
      <c r="B42" s="390" t="s">
        <v>576</v>
      </c>
      <c r="C42" s="390" t="s">
        <v>211</v>
      </c>
      <c r="D42" s="390" t="s">
        <v>577</v>
      </c>
      <c r="E42" s="390" t="s">
        <v>578</v>
      </c>
      <c r="F42" s="390" t="s">
        <v>579</v>
      </c>
      <c r="G42" s="390" t="s">
        <v>600</v>
      </c>
      <c r="H42" s="390">
        <v>0.32</v>
      </c>
      <c r="I42" s="390">
        <v>1920</v>
      </c>
      <c r="J42" s="390" t="s">
        <v>581</v>
      </c>
      <c r="K42" s="390">
        <v>0</v>
      </c>
      <c r="L42" s="390">
        <v>0</v>
      </c>
      <c r="M42" s="390">
        <v>0</v>
      </c>
      <c r="N42" s="390">
        <v>277</v>
      </c>
      <c r="O42" s="390">
        <v>0.318</v>
      </c>
      <c r="P42" s="392">
        <v>0</v>
      </c>
      <c r="Q42" s="390">
        <v>0</v>
      </c>
      <c r="R42" s="390">
        <v>0</v>
      </c>
      <c r="S42" s="390">
        <v>0</v>
      </c>
      <c r="T42" s="390">
        <v>127</v>
      </c>
      <c r="U42" s="390">
        <v>0.19400000000000001</v>
      </c>
      <c r="V42" s="390">
        <v>0</v>
      </c>
      <c r="W42" s="390"/>
      <c r="X42" s="390"/>
      <c r="Y42" s="390">
        <v>2</v>
      </c>
      <c r="Z42" s="390" t="s">
        <v>212</v>
      </c>
      <c r="AA42" s="390" t="s">
        <v>7</v>
      </c>
      <c r="AB42" s="390" t="s">
        <v>582</v>
      </c>
      <c r="AC42" s="390" t="s">
        <v>590</v>
      </c>
      <c r="AD42" s="390" t="s">
        <v>607</v>
      </c>
      <c r="AE42" s="390" t="s">
        <v>581</v>
      </c>
      <c r="AF42" s="390" t="s">
        <v>608</v>
      </c>
      <c r="AG42" s="390" t="s">
        <v>585</v>
      </c>
      <c r="AH42" s="390"/>
      <c r="AI42" s="390" t="s">
        <v>609</v>
      </c>
      <c r="AJ42" s="390" t="s">
        <v>604</v>
      </c>
      <c r="AK42" s="390" t="s">
        <v>605</v>
      </c>
      <c r="AL42" s="390" t="s">
        <v>589</v>
      </c>
    </row>
    <row r="43" spans="1:38" x14ac:dyDescent="0.25">
      <c r="A43" s="390" t="s">
        <v>615</v>
      </c>
      <c r="B43" s="390" t="s">
        <v>576</v>
      </c>
      <c r="C43" s="390" t="s">
        <v>211</v>
      </c>
      <c r="D43" s="390" t="s">
        <v>577</v>
      </c>
      <c r="E43" s="390" t="s">
        <v>578</v>
      </c>
      <c r="F43" s="390" t="s">
        <v>579</v>
      </c>
      <c r="G43" s="390" t="s">
        <v>600</v>
      </c>
      <c r="H43" s="390">
        <v>0.32</v>
      </c>
      <c r="I43" s="390">
        <v>1920</v>
      </c>
      <c r="J43" s="390" t="s">
        <v>581</v>
      </c>
      <c r="K43" s="390">
        <v>0</v>
      </c>
      <c r="L43" s="390">
        <v>0</v>
      </c>
      <c r="M43" s="390">
        <v>0</v>
      </c>
      <c r="N43" s="390">
        <v>282</v>
      </c>
      <c r="O43" s="390">
        <v>0.316</v>
      </c>
      <c r="P43" s="392">
        <v>0</v>
      </c>
      <c r="Q43" s="390">
        <v>0</v>
      </c>
      <c r="R43" s="390">
        <v>0</v>
      </c>
      <c r="S43" s="390">
        <v>0</v>
      </c>
      <c r="T43" s="390">
        <v>131</v>
      </c>
      <c r="U43" s="390">
        <v>0.20899999999999999</v>
      </c>
      <c r="V43" s="390">
        <v>0</v>
      </c>
      <c r="W43" s="390"/>
      <c r="X43" s="390"/>
      <c r="Y43" s="390">
        <v>2</v>
      </c>
      <c r="Z43" s="390" t="s">
        <v>212</v>
      </c>
      <c r="AA43" s="390" t="s">
        <v>7</v>
      </c>
      <c r="AB43" s="390" t="s">
        <v>582</v>
      </c>
      <c r="AC43" s="390" t="s">
        <v>591</v>
      </c>
      <c r="AD43" s="390" t="s">
        <v>607</v>
      </c>
      <c r="AE43" s="390" t="s">
        <v>581</v>
      </c>
      <c r="AF43" s="390" t="s">
        <v>608</v>
      </c>
      <c r="AG43" s="390" t="s">
        <v>585</v>
      </c>
      <c r="AH43" s="390"/>
      <c r="AI43" s="390" t="s">
        <v>609</v>
      </c>
      <c r="AJ43" s="390" t="s">
        <v>604</v>
      </c>
      <c r="AK43" s="390" t="s">
        <v>605</v>
      </c>
      <c r="AL43" s="390" t="s">
        <v>589</v>
      </c>
    </row>
    <row r="44" spans="1:38" x14ac:dyDescent="0.25">
      <c r="A44" s="390" t="s">
        <v>615</v>
      </c>
      <c r="B44" s="390" t="s">
        <v>576</v>
      </c>
      <c r="C44" s="390" t="s">
        <v>211</v>
      </c>
      <c r="D44" s="390" t="s">
        <v>577</v>
      </c>
      <c r="E44" s="390" t="s">
        <v>578</v>
      </c>
      <c r="F44" s="390" t="s">
        <v>579</v>
      </c>
      <c r="G44" s="390" t="s">
        <v>600</v>
      </c>
      <c r="H44" s="390">
        <v>0.32</v>
      </c>
      <c r="I44" s="390">
        <v>1920</v>
      </c>
      <c r="J44" s="390" t="s">
        <v>581</v>
      </c>
      <c r="K44" s="390">
        <v>0</v>
      </c>
      <c r="L44" s="390">
        <v>0</v>
      </c>
      <c r="M44" s="390">
        <v>0</v>
      </c>
      <c r="N44" s="390">
        <v>312</v>
      </c>
      <c r="O44" s="390">
        <v>0.28899999999999998</v>
      </c>
      <c r="P44" s="392">
        <v>0</v>
      </c>
      <c r="Q44" s="390">
        <v>0</v>
      </c>
      <c r="R44" s="390">
        <v>0</v>
      </c>
      <c r="S44" s="390">
        <v>0</v>
      </c>
      <c r="T44" s="390">
        <v>144</v>
      </c>
      <c r="U44" s="390">
        <v>8.6199999999999999E-2</v>
      </c>
      <c r="V44" s="390">
        <v>0</v>
      </c>
      <c r="W44" s="390"/>
      <c r="X44" s="390"/>
      <c r="Y44" s="390">
        <v>2</v>
      </c>
      <c r="Z44" s="390" t="s">
        <v>212</v>
      </c>
      <c r="AA44" s="390" t="s">
        <v>7</v>
      </c>
      <c r="AB44" s="390" t="s">
        <v>582</v>
      </c>
      <c r="AC44" s="390" t="s">
        <v>592</v>
      </c>
      <c r="AD44" s="390" t="s">
        <v>607</v>
      </c>
      <c r="AE44" s="390" t="s">
        <v>581</v>
      </c>
      <c r="AF44" s="390" t="s">
        <v>608</v>
      </c>
      <c r="AG44" s="390" t="s">
        <v>585</v>
      </c>
      <c r="AH44" s="390"/>
      <c r="AI44" s="390" t="s">
        <v>609</v>
      </c>
      <c r="AJ44" s="390" t="s">
        <v>604</v>
      </c>
      <c r="AK44" s="390" t="s">
        <v>605</v>
      </c>
      <c r="AL44" s="390" t="s">
        <v>589</v>
      </c>
    </row>
    <row r="46" spans="1:38" x14ac:dyDescent="0.25">
      <c r="A46" s="393" t="s">
        <v>616</v>
      </c>
      <c r="B46" s="390" t="s">
        <v>576</v>
      </c>
      <c r="C46" s="390" t="s">
        <v>211</v>
      </c>
      <c r="D46" s="390" t="s">
        <v>577</v>
      </c>
      <c r="E46" s="390" t="s">
        <v>578</v>
      </c>
      <c r="F46" s="390" t="s">
        <v>579</v>
      </c>
      <c r="G46" s="390" t="s">
        <v>600</v>
      </c>
      <c r="H46" s="390">
        <v>0.32</v>
      </c>
      <c r="I46" s="390">
        <v>1920</v>
      </c>
      <c r="J46" s="390" t="s">
        <v>581</v>
      </c>
      <c r="K46" s="390">
        <v>0</v>
      </c>
      <c r="L46" s="390">
        <v>0</v>
      </c>
      <c r="M46" s="390">
        <v>0</v>
      </c>
      <c r="N46" s="390">
        <v>123</v>
      </c>
      <c r="O46" s="390">
        <v>0.36399999999999999</v>
      </c>
      <c r="P46" s="392">
        <v>-0.84499999999999997</v>
      </c>
      <c r="Q46" s="390">
        <v>0</v>
      </c>
      <c r="R46" s="390">
        <v>0</v>
      </c>
      <c r="S46" s="390">
        <v>0</v>
      </c>
      <c r="T46" s="390">
        <v>48.8</v>
      </c>
      <c r="U46" s="390">
        <v>8.7999999999999995E-2</v>
      </c>
      <c r="V46" s="390">
        <v>-0.38</v>
      </c>
      <c r="W46" s="390"/>
      <c r="X46" s="390"/>
      <c r="Y46" s="390">
        <v>2</v>
      </c>
      <c r="Z46" s="390" t="s">
        <v>212</v>
      </c>
      <c r="AA46" s="390" t="s">
        <v>7</v>
      </c>
      <c r="AB46" s="390" t="s">
        <v>582</v>
      </c>
      <c r="AC46" s="390" t="s">
        <v>412</v>
      </c>
      <c r="AD46" s="390" t="s">
        <v>611</v>
      </c>
      <c r="AE46" s="390" t="s">
        <v>581</v>
      </c>
      <c r="AF46" s="390" t="s">
        <v>612</v>
      </c>
      <c r="AG46" s="390" t="s">
        <v>585</v>
      </c>
      <c r="AH46" s="390"/>
      <c r="AI46" s="390" t="s">
        <v>613</v>
      </c>
      <c r="AJ46" s="390" t="s">
        <v>604</v>
      </c>
      <c r="AK46" s="390" t="s">
        <v>605</v>
      </c>
      <c r="AL46" s="390" t="s">
        <v>589</v>
      </c>
    </row>
    <row r="47" spans="1:38" x14ac:dyDescent="0.25">
      <c r="A47" s="390" t="s">
        <v>617</v>
      </c>
      <c r="B47" s="390" t="s">
        <v>576</v>
      </c>
      <c r="C47" s="390" t="s">
        <v>211</v>
      </c>
      <c r="D47" s="390" t="s">
        <v>577</v>
      </c>
      <c r="E47" s="390" t="s">
        <v>578</v>
      </c>
      <c r="F47" s="390" t="s">
        <v>579</v>
      </c>
      <c r="G47" s="390" t="s">
        <v>600</v>
      </c>
      <c r="H47" s="390">
        <v>0.32</v>
      </c>
      <c r="I47" s="390">
        <v>1920</v>
      </c>
      <c r="J47" s="390" t="s">
        <v>581</v>
      </c>
      <c r="K47" s="390">
        <v>0</v>
      </c>
      <c r="L47" s="390">
        <v>0</v>
      </c>
      <c r="M47" s="390">
        <v>0</v>
      </c>
      <c r="N47" s="390">
        <v>226</v>
      </c>
      <c r="O47" s="390">
        <v>0.36699999999999999</v>
      </c>
      <c r="P47" s="392">
        <v>-0.77700000000000002</v>
      </c>
      <c r="Q47" s="390">
        <v>0</v>
      </c>
      <c r="R47" s="390">
        <v>0</v>
      </c>
      <c r="S47" s="390">
        <v>0</v>
      </c>
      <c r="T47" s="390">
        <v>105</v>
      </c>
      <c r="U47" s="390">
        <v>0.22900000000000001</v>
      </c>
      <c r="V47" s="390">
        <v>-0.378</v>
      </c>
      <c r="W47" s="390"/>
      <c r="X47" s="390"/>
      <c r="Y47" s="390">
        <v>2</v>
      </c>
      <c r="Z47" s="390" t="s">
        <v>212</v>
      </c>
      <c r="AA47" s="390" t="s">
        <v>7</v>
      </c>
      <c r="AB47" s="390" t="s">
        <v>582</v>
      </c>
      <c r="AC47" s="390" t="s">
        <v>590</v>
      </c>
      <c r="AD47" s="390" t="s">
        <v>611</v>
      </c>
      <c r="AE47" s="390" t="s">
        <v>581</v>
      </c>
      <c r="AF47" s="390" t="s">
        <v>612</v>
      </c>
      <c r="AG47" s="390" t="s">
        <v>585</v>
      </c>
      <c r="AH47" s="390"/>
      <c r="AI47" s="390" t="s">
        <v>613</v>
      </c>
      <c r="AJ47" s="390" t="s">
        <v>604</v>
      </c>
      <c r="AK47" s="390" t="s">
        <v>605</v>
      </c>
      <c r="AL47" s="390" t="s">
        <v>589</v>
      </c>
    </row>
    <row r="48" spans="1:38" x14ac:dyDescent="0.25">
      <c r="A48" s="390" t="s">
        <v>617</v>
      </c>
      <c r="B48" s="390" t="s">
        <v>576</v>
      </c>
      <c r="C48" s="390" t="s">
        <v>211</v>
      </c>
      <c r="D48" s="390" t="s">
        <v>577</v>
      </c>
      <c r="E48" s="390" t="s">
        <v>578</v>
      </c>
      <c r="F48" s="390" t="s">
        <v>579</v>
      </c>
      <c r="G48" s="390" t="s">
        <v>600</v>
      </c>
      <c r="H48" s="390">
        <v>0.32</v>
      </c>
      <c r="I48" s="390">
        <v>1920</v>
      </c>
      <c r="J48" s="390" t="s">
        <v>581</v>
      </c>
      <c r="K48" s="390">
        <v>0</v>
      </c>
      <c r="L48" s="390">
        <v>0</v>
      </c>
      <c r="M48" s="390">
        <v>0</v>
      </c>
      <c r="N48" s="390">
        <v>229</v>
      </c>
      <c r="O48" s="390">
        <v>0.36099999999999999</v>
      </c>
      <c r="P48" s="392">
        <v>-0.76</v>
      </c>
      <c r="Q48" s="390">
        <v>0</v>
      </c>
      <c r="R48" s="390">
        <v>0</v>
      </c>
      <c r="S48" s="390">
        <v>0</v>
      </c>
      <c r="T48" s="390">
        <v>108</v>
      </c>
      <c r="U48" s="390">
        <v>0.24299999999999999</v>
      </c>
      <c r="V48" s="390">
        <v>-0.373</v>
      </c>
      <c r="W48" s="390"/>
      <c r="X48" s="390"/>
      <c r="Y48" s="390">
        <v>2</v>
      </c>
      <c r="Z48" s="390" t="s">
        <v>212</v>
      </c>
      <c r="AA48" s="390" t="s">
        <v>7</v>
      </c>
      <c r="AB48" s="390" t="s">
        <v>582</v>
      </c>
      <c r="AC48" s="390" t="s">
        <v>591</v>
      </c>
      <c r="AD48" s="390" t="s">
        <v>611</v>
      </c>
      <c r="AE48" s="390" t="s">
        <v>581</v>
      </c>
      <c r="AF48" s="390" t="s">
        <v>612</v>
      </c>
      <c r="AG48" s="390" t="s">
        <v>585</v>
      </c>
      <c r="AH48" s="390"/>
      <c r="AI48" s="390" t="s">
        <v>613</v>
      </c>
      <c r="AJ48" s="390" t="s">
        <v>604</v>
      </c>
      <c r="AK48" s="390" t="s">
        <v>605</v>
      </c>
      <c r="AL48" s="390" t="s">
        <v>589</v>
      </c>
    </row>
    <row r="49" spans="1:38" x14ac:dyDescent="0.25">
      <c r="A49" s="390" t="s">
        <v>617</v>
      </c>
      <c r="B49" s="390" t="s">
        <v>576</v>
      </c>
      <c r="C49" s="390" t="s">
        <v>211</v>
      </c>
      <c r="D49" s="390" t="s">
        <v>577</v>
      </c>
      <c r="E49" s="390" t="s">
        <v>578</v>
      </c>
      <c r="F49" s="390" t="s">
        <v>579</v>
      </c>
      <c r="G49" s="390" t="s">
        <v>600</v>
      </c>
      <c r="H49" s="390">
        <v>0.32</v>
      </c>
      <c r="I49" s="390">
        <v>1920</v>
      </c>
      <c r="J49" s="390" t="s">
        <v>581</v>
      </c>
      <c r="K49" s="390">
        <v>0</v>
      </c>
      <c r="L49" s="390">
        <v>0</v>
      </c>
      <c r="M49" s="390">
        <v>0</v>
      </c>
      <c r="N49" s="390">
        <v>236</v>
      </c>
      <c r="O49" s="390">
        <v>0.32700000000000001</v>
      </c>
      <c r="P49" s="392">
        <v>-0.76700000000000002</v>
      </c>
      <c r="Q49" s="390">
        <v>0</v>
      </c>
      <c r="R49" s="390">
        <v>0</v>
      </c>
      <c r="S49" s="390">
        <v>0</v>
      </c>
      <c r="T49" s="390">
        <v>112</v>
      </c>
      <c r="U49" s="390">
        <v>0.122</v>
      </c>
      <c r="V49" s="390">
        <v>-0.38400000000000001</v>
      </c>
      <c r="W49" s="390"/>
      <c r="X49" s="390"/>
      <c r="Y49" s="390">
        <v>2</v>
      </c>
      <c r="Z49" s="390" t="s">
        <v>212</v>
      </c>
      <c r="AA49" s="390" t="s">
        <v>7</v>
      </c>
      <c r="AB49" s="390" t="s">
        <v>582</v>
      </c>
      <c r="AC49" s="390" t="s">
        <v>592</v>
      </c>
      <c r="AD49" s="390" t="s">
        <v>611</v>
      </c>
      <c r="AE49" s="390" t="s">
        <v>581</v>
      </c>
      <c r="AF49" s="390" t="s">
        <v>612</v>
      </c>
      <c r="AG49" s="390" t="s">
        <v>585</v>
      </c>
      <c r="AH49" s="390"/>
      <c r="AI49" s="390" t="s">
        <v>613</v>
      </c>
      <c r="AJ49" s="390" t="s">
        <v>604</v>
      </c>
      <c r="AK49" s="390" t="s">
        <v>605</v>
      </c>
      <c r="AL49" s="390" t="s">
        <v>589</v>
      </c>
    </row>
    <row r="51" spans="1:38" x14ac:dyDescent="0.25">
      <c r="A51" s="394" t="s">
        <v>618</v>
      </c>
      <c r="B51" s="390" t="s">
        <v>576</v>
      </c>
      <c r="C51" s="390" t="s">
        <v>216</v>
      </c>
      <c r="D51" s="390" t="s">
        <v>577</v>
      </c>
      <c r="E51" s="390" t="s">
        <v>578</v>
      </c>
      <c r="F51" s="390" t="s">
        <v>579</v>
      </c>
      <c r="G51" s="390" t="s">
        <v>580</v>
      </c>
      <c r="H51" s="390">
        <v>93.8</v>
      </c>
      <c r="I51" s="390">
        <v>150000</v>
      </c>
      <c r="J51" s="390" t="s">
        <v>581</v>
      </c>
      <c r="K51" s="390">
        <v>0</v>
      </c>
      <c r="L51" s="390">
        <v>0</v>
      </c>
      <c r="M51" s="390">
        <v>0</v>
      </c>
      <c r="N51" s="390">
        <v>-11.3</v>
      </c>
      <c r="O51" s="390">
        <v>1.8599999999999998E-2</v>
      </c>
      <c r="P51" s="392">
        <v>3.16</v>
      </c>
      <c r="Q51" s="390">
        <v>0</v>
      </c>
      <c r="R51" s="390">
        <v>0</v>
      </c>
      <c r="S51" s="390">
        <v>0</v>
      </c>
      <c r="T51" s="390">
        <v>0</v>
      </c>
      <c r="U51" s="390">
        <v>0</v>
      </c>
      <c r="V51" s="390">
        <v>0</v>
      </c>
      <c r="W51" s="390"/>
      <c r="X51" s="390"/>
      <c r="Y51" s="390">
        <v>2</v>
      </c>
      <c r="Z51" s="390" t="s">
        <v>217</v>
      </c>
      <c r="AA51" s="390" t="s">
        <v>7</v>
      </c>
      <c r="AB51" s="390" t="s">
        <v>582</v>
      </c>
      <c r="AC51" s="390" t="s">
        <v>412</v>
      </c>
      <c r="AD51" s="390" t="s">
        <v>583</v>
      </c>
      <c r="AE51" s="390" t="s">
        <v>581</v>
      </c>
      <c r="AF51" s="390" t="s">
        <v>584</v>
      </c>
      <c r="AG51" s="390" t="s">
        <v>585</v>
      </c>
      <c r="AH51" s="390"/>
      <c r="AI51" s="390" t="s">
        <v>586</v>
      </c>
      <c r="AJ51" s="390" t="s">
        <v>587</v>
      </c>
      <c r="AK51" s="390" t="s">
        <v>588</v>
      </c>
      <c r="AL51" s="390" t="s">
        <v>589</v>
      </c>
    </row>
    <row r="52" spans="1:38" x14ac:dyDescent="0.25">
      <c r="A52" s="394" t="s">
        <v>618</v>
      </c>
      <c r="B52" s="390" t="s">
        <v>576</v>
      </c>
      <c r="C52" s="390" t="s">
        <v>216</v>
      </c>
      <c r="D52" s="390" t="s">
        <v>577</v>
      </c>
      <c r="E52" s="390" t="s">
        <v>578</v>
      </c>
      <c r="F52" s="390" t="s">
        <v>579</v>
      </c>
      <c r="G52" s="390" t="s">
        <v>580</v>
      </c>
      <c r="H52" s="390">
        <v>93.8</v>
      </c>
      <c r="I52" s="390">
        <v>150000</v>
      </c>
      <c r="J52" s="390" t="s">
        <v>581</v>
      </c>
      <c r="K52" s="390">
        <v>0</v>
      </c>
      <c r="L52" s="390">
        <v>0</v>
      </c>
      <c r="M52" s="390">
        <v>0</v>
      </c>
      <c r="N52" s="390">
        <v>3.6</v>
      </c>
      <c r="O52" s="390">
        <v>5.4900000000000001E-3</v>
      </c>
      <c r="P52" s="392">
        <v>0.11799999999999999</v>
      </c>
      <c r="Q52" s="390">
        <v>0</v>
      </c>
      <c r="R52" s="390">
        <v>0</v>
      </c>
      <c r="S52" s="390">
        <v>0</v>
      </c>
      <c r="T52" s="390">
        <v>0</v>
      </c>
      <c r="U52" s="390">
        <v>0</v>
      </c>
      <c r="V52" s="390">
        <v>0</v>
      </c>
      <c r="W52" s="390"/>
      <c r="X52" s="390"/>
      <c r="Y52" s="390">
        <v>2</v>
      </c>
      <c r="Z52" s="390" t="s">
        <v>217</v>
      </c>
      <c r="AA52" s="390" t="s">
        <v>7</v>
      </c>
      <c r="AB52" s="390" t="s">
        <v>582</v>
      </c>
      <c r="AC52" s="390" t="s">
        <v>590</v>
      </c>
      <c r="AD52" s="390" t="s">
        <v>583</v>
      </c>
      <c r="AE52" s="390" t="s">
        <v>581</v>
      </c>
      <c r="AF52" s="390" t="s">
        <v>584</v>
      </c>
      <c r="AG52" s="390" t="s">
        <v>585</v>
      </c>
      <c r="AH52" s="390"/>
      <c r="AI52" s="390" t="s">
        <v>586</v>
      </c>
      <c r="AJ52" s="390" t="s">
        <v>587</v>
      </c>
      <c r="AK52" s="390" t="s">
        <v>588</v>
      </c>
      <c r="AL52" s="390" t="s">
        <v>589</v>
      </c>
    </row>
    <row r="53" spans="1:38" x14ac:dyDescent="0.25">
      <c r="A53" s="394" t="s">
        <v>618</v>
      </c>
      <c r="B53" s="390" t="s">
        <v>576</v>
      </c>
      <c r="C53" s="390" t="s">
        <v>216</v>
      </c>
      <c r="D53" s="390" t="s">
        <v>577</v>
      </c>
      <c r="E53" s="390" t="s">
        <v>578</v>
      </c>
      <c r="F53" s="390" t="s">
        <v>579</v>
      </c>
      <c r="G53" s="390" t="s">
        <v>580</v>
      </c>
      <c r="H53" s="390">
        <v>93.8</v>
      </c>
      <c r="I53" s="390">
        <v>150000</v>
      </c>
      <c r="J53" s="390" t="s">
        <v>581</v>
      </c>
      <c r="K53" s="390">
        <v>0</v>
      </c>
      <c r="L53" s="390">
        <v>0</v>
      </c>
      <c r="M53" s="390">
        <v>0</v>
      </c>
      <c r="N53" s="390">
        <v>3.01</v>
      </c>
      <c r="O53" s="390">
        <v>5.0499999999999998E-3</v>
      </c>
      <c r="P53" s="392">
        <v>0.111</v>
      </c>
      <c r="Q53" s="390">
        <v>0</v>
      </c>
      <c r="R53" s="390">
        <v>0</v>
      </c>
      <c r="S53" s="390">
        <v>0</v>
      </c>
      <c r="T53" s="390">
        <v>0</v>
      </c>
      <c r="U53" s="390">
        <v>0</v>
      </c>
      <c r="V53" s="390">
        <v>0</v>
      </c>
      <c r="W53" s="390"/>
      <c r="X53" s="390"/>
      <c r="Y53" s="390">
        <v>2</v>
      </c>
      <c r="Z53" s="390" t="s">
        <v>217</v>
      </c>
      <c r="AA53" s="390" t="s">
        <v>7</v>
      </c>
      <c r="AB53" s="390" t="s">
        <v>582</v>
      </c>
      <c r="AC53" s="390" t="s">
        <v>591</v>
      </c>
      <c r="AD53" s="390" t="s">
        <v>583</v>
      </c>
      <c r="AE53" s="390" t="s">
        <v>581</v>
      </c>
      <c r="AF53" s="390" t="s">
        <v>584</v>
      </c>
      <c r="AG53" s="390" t="s">
        <v>585</v>
      </c>
      <c r="AH53" s="390"/>
      <c r="AI53" s="390" t="s">
        <v>586</v>
      </c>
      <c r="AJ53" s="390" t="s">
        <v>587</v>
      </c>
      <c r="AK53" s="390" t="s">
        <v>588</v>
      </c>
      <c r="AL53" s="390" t="s">
        <v>589</v>
      </c>
    </row>
    <row r="54" spans="1:38" x14ac:dyDescent="0.25">
      <c r="A54" s="394" t="s">
        <v>618</v>
      </c>
      <c r="B54" s="390" t="s">
        <v>576</v>
      </c>
      <c r="C54" s="390" t="s">
        <v>216</v>
      </c>
      <c r="D54" s="390" t="s">
        <v>577</v>
      </c>
      <c r="E54" s="390" t="s">
        <v>578</v>
      </c>
      <c r="F54" s="390" t="s">
        <v>579</v>
      </c>
      <c r="G54" s="390" t="s">
        <v>580</v>
      </c>
      <c r="H54" s="390">
        <v>93.8</v>
      </c>
      <c r="I54" s="390">
        <v>150000</v>
      </c>
      <c r="J54" s="390" t="s">
        <v>581</v>
      </c>
      <c r="K54" s="390">
        <v>0</v>
      </c>
      <c r="L54" s="390">
        <v>0</v>
      </c>
      <c r="M54" s="390">
        <v>0</v>
      </c>
      <c r="N54" s="390">
        <v>8.6199999999999992</v>
      </c>
      <c r="O54" s="390">
        <v>1.25E-3</v>
      </c>
      <c r="P54" s="392">
        <v>-0.47</v>
      </c>
      <c r="Q54" s="390">
        <v>0</v>
      </c>
      <c r="R54" s="390">
        <v>0</v>
      </c>
      <c r="S54" s="390">
        <v>0</v>
      </c>
      <c r="T54" s="390">
        <v>0</v>
      </c>
      <c r="U54" s="390">
        <v>0</v>
      </c>
      <c r="V54" s="390">
        <v>0</v>
      </c>
      <c r="W54" s="390"/>
      <c r="X54" s="390"/>
      <c r="Y54" s="390">
        <v>2</v>
      </c>
      <c r="Z54" s="390" t="s">
        <v>217</v>
      </c>
      <c r="AA54" s="390" t="s">
        <v>7</v>
      </c>
      <c r="AB54" s="390" t="s">
        <v>582</v>
      </c>
      <c r="AC54" s="390" t="s">
        <v>592</v>
      </c>
      <c r="AD54" s="390" t="s">
        <v>583</v>
      </c>
      <c r="AE54" s="390" t="s">
        <v>581</v>
      </c>
      <c r="AF54" s="390" t="s">
        <v>584</v>
      </c>
      <c r="AG54" s="390" t="s">
        <v>585</v>
      </c>
      <c r="AH54" s="390"/>
      <c r="AI54" s="390" t="s">
        <v>586</v>
      </c>
      <c r="AJ54" s="390" t="s">
        <v>587</v>
      </c>
      <c r="AK54" s="390" t="s">
        <v>588</v>
      </c>
      <c r="AL54" s="390" t="s">
        <v>589</v>
      </c>
    </row>
    <row r="56" spans="1:38" x14ac:dyDescent="0.25">
      <c r="A56" s="390" t="s">
        <v>614</v>
      </c>
      <c r="B56" s="390" t="s">
        <v>576</v>
      </c>
      <c r="C56" s="390" t="s">
        <v>216</v>
      </c>
      <c r="D56" s="390" t="s">
        <v>577</v>
      </c>
      <c r="E56" s="390" t="s">
        <v>578</v>
      </c>
      <c r="F56" s="390" t="s">
        <v>579</v>
      </c>
      <c r="G56" s="390" t="s">
        <v>600</v>
      </c>
      <c r="H56" s="390">
        <v>36.6</v>
      </c>
      <c r="I56" s="390">
        <v>150000</v>
      </c>
      <c r="J56" s="390" t="s">
        <v>581</v>
      </c>
      <c r="K56" s="390">
        <v>0</v>
      </c>
      <c r="L56" s="390">
        <v>0</v>
      </c>
      <c r="M56" s="390">
        <v>0</v>
      </c>
      <c r="N56" s="390">
        <v>293</v>
      </c>
      <c r="O56" s="390">
        <v>0.32300000000000001</v>
      </c>
      <c r="P56" s="392">
        <v>-17.399999999999999</v>
      </c>
      <c r="Q56" s="390">
        <v>0</v>
      </c>
      <c r="R56" s="390">
        <v>0</v>
      </c>
      <c r="S56" s="390">
        <v>0</v>
      </c>
      <c r="T56" s="390">
        <v>83.7</v>
      </c>
      <c r="U56" s="390">
        <v>9.1499999999999998E-2</v>
      </c>
      <c r="V56" s="390">
        <v>-6.17</v>
      </c>
      <c r="W56" s="390"/>
      <c r="X56" s="390"/>
      <c r="Y56" s="390">
        <v>2</v>
      </c>
      <c r="Z56" s="390" t="s">
        <v>217</v>
      </c>
      <c r="AA56" s="390" t="s">
        <v>7</v>
      </c>
      <c r="AB56" s="390" t="s">
        <v>582</v>
      </c>
      <c r="AC56" s="390" t="s">
        <v>412</v>
      </c>
      <c r="AD56" s="390" t="s">
        <v>601</v>
      </c>
      <c r="AE56" s="390" t="s">
        <v>581</v>
      </c>
      <c r="AF56" s="390" t="s">
        <v>602</v>
      </c>
      <c r="AG56" s="390" t="s">
        <v>585</v>
      </c>
      <c r="AH56" s="390"/>
      <c r="AI56" s="390" t="s">
        <v>603</v>
      </c>
      <c r="AJ56" s="390" t="s">
        <v>604</v>
      </c>
      <c r="AK56" s="390" t="s">
        <v>605</v>
      </c>
      <c r="AL56" s="390" t="s">
        <v>589</v>
      </c>
    </row>
    <row r="57" spans="1:38" x14ac:dyDescent="0.25">
      <c r="A57" s="390" t="s">
        <v>614</v>
      </c>
      <c r="B57" s="390" t="s">
        <v>576</v>
      </c>
      <c r="C57" s="390" t="s">
        <v>216</v>
      </c>
      <c r="D57" s="390" t="s">
        <v>577</v>
      </c>
      <c r="E57" s="390" t="s">
        <v>578</v>
      </c>
      <c r="F57" s="390" t="s">
        <v>579</v>
      </c>
      <c r="G57" s="390" t="s">
        <v>600</v>
      </c>
      <c r="H57" s="390">
        <v>36.6</v>
      </c>
      <c r="I57" s="390">
        <v>150000</v>
      </c>
      <c r="J57" s="390" t="s">
        <v>581</v>
      </c>
      <c r="K57" s="390">
        <v>0</v>
      </c>
      <c r="L57" s="390">
        <v>0</v>
      </c>
      <c r="M57" s="390">
        <v>0</v>
      </c>
      <c r="N57" s="390">
        <v>301</v>
      </c>
      <c r="O57" s="390">
        <v>0.19800000000000001</v>
      </c>
      <c r="P57" s="392">
        <v>-11.7</v>
      </c>
      <c r="Q57" s="390">
        <v>0</v>
      </c>
      <c r="R57" s="390">
        <v>0</v>
      </c>
      <c r="S57" s="390">
        <v>0</v>
      </c>
      <c r="T57" s="390">
        <v>119</v>
      </c>
      <c r="U57" s="390">
        <v>7.9600000000000004E-2</v>
      </c>
      <c r="V57" s="390">
        <v>-5.0999999999999996</v>
      </c>
      <c r="W57" s="390"/>
      <c r="X57" s="390"/>
      <c r="Y57" s="390">
        <v>2</v>
      </c>
      <c r="Z57" s="390" t="s">
        <v>217</v>
      </c>
      <c r="AA57" s="390" t="s">
        <v>7</v>
      </c>
      <c r="AB57" s="390" t="s">
        <v>582</v>
      </c>
      <c r="AC57" s="390" t="s">
        <v>590</v>
      </c>
      <c r="AD57" s="390" t="s">
        <v>601</v>
      </c>
      <c r="AE57" s="390" t="s">
        <v>581</v>
      </c>
      <c r="AF57" s="390" t="s">
        <v>602</v>
      </c>
      <c r="AG57" s="390" t="s">
        <v>585</v>
      </c>
      <c r="AH57" s="390"/>
      <c r="AI57" s="390" t="s">
        <v>603</v>
      </c>
      <c r="AJ57" s="390" t="s">
        <v>604</v>
      </c>
      <c r="AK57" s="390" t="s">
        <v>605</v>
      </c>
      <c r="AL57" s="390" t="s">
        <v>589</v>
      </c>
    </row>
    <row r="58" spans="1:38" x14ac:dyDescent="0.25">
      <c r="A58" s="390" t="s">
        <v>614</v>
      </c>
      <c r="B58" s="390" t="s">
        <v>576</v>
      </c>
      <c r="C58" s="390" t="s">
        <v>216</v>
      </c>
      <c r="D58" s="390" t="s">
        <v>577</v>
      </c>
      <c r="E58" s="390" t="s">
        <v>578</v>
      </c>
      <c r="F58" s="390" t="s">
        <v>579</v>
      </c>
      <c r="G58" s="390" t="s">
        <v>600</v>
      </c>
      <c r="H58" s="390">
        <v>36.6</v>
      </c>
      <c r="I58" s="390">
        <v>150000</v>
      </c>
      <c r="J58" s="390" t="s">
        <v>581</v>
      </c>
      <c r="K58" s="390">
        <v>0</v>
      </c>
      <c r="L58" s="390">
        <v>0</v>
      </c>
      <c r="M58" s="390">
        <v>0</v>
      </c>
      <c r="N58" s="390">
        <v>299</v>
      </c>
      <c r="O58" s="390">
        <v>0.19400000000000001</v>
      </c>
      <c r="P58" s="392">
        <v>-11.5</v>
      </c>
      <c r="Q58" s="390">
        <v>0</v>
      </c>
      <c r="R58" s="390">
        <v>0</v>
      </c>
      <c r="S58" s="390">
        <v>0</v>
      </c>
      <c r="T58" s="390">
        <v>123</v>
      </c>
      <c r="U58" s="390">
        <v>8.09E-2</v>
      </c>
      <c r="V58" s="390">
        <v>-5.2</v>
      </c>
      <c r="W58" s="390"/>
      <c r="X58" s="390"/>
      <c r="Y58" s="390">
        <v>2</v>
      </c>
      <c r="Z58" s="390" t="s">
        <v>217</v>
      </c>
      <c r="AA58" s="390" t="s">
        <v>7</v>
      </c>
      <c r="AB58" s="390" t="s">
        <v>582</v>
      </c>
      <c r="AC58" s="390" t="s">
        <v>591</v>
      </c>
      <c r="AD58" s="390" t="s">
        <v>601</v>
      </c>
      <c r="AE58" s="390" t="s">
        <v>581</v>
      </c>
      <c r="AF58" s="390" t="s">
        <v>602</v>
      </c>
      <c r="AG58" s="390" t="s">
        <v>585</v>
      </c>
      <c r="AH58" s="390"/>
      <c r="AI58" s="390" t="s">
        <v>603</v>
      </c>
      <c r="AJ58" s="390" t="s">
        <v>604</v>
      </c>
      <c r="AK58" s="390" t="s">
        <v>605</v>
      </c>
      <c r="AL58" s="390" t="s">
        <v>589</v>
      </c>
    </row>
    <row r="59" spans="1:38" x14ac:dyDescent="0.25">
      <c r="A59" s="390" t="s">
        <v>614</v>
      </c>
      <c r="B59" s="390" t="s">
        <v>576</v>
      </c>
      <c r="C59" s="390" t="s">
        <v>216</v>
      </c>
      <c r="D59" s="390" t="s">
        <v>577</v>
      </c>
      <c r="E59" s="390" t="s">
        <v>578</v>
      </c>
      <c r="F59" s="390" t="s">
        <v>579</v>
      </c>
      <c r="G59" s="390" t="s">
        <v>600</v>
      </c>
      <c r="H59" s="390">
        <v>36.6</v>
      </c>
      <c r="I59" s="390">
        <v>150000</v>
      </c>
      <c r="J59" s="390" t="s">
        <v>581</v>
      </c>
      <c r="K59" s="390">
        <v>0</v>
      </c>
      <c r="L59" s="390">
        <v>0</v>
      </c>
      <c r="M59" s="390">
        <v>0</v>
      </c>
      <c r="N59" s="390">
        <v>288</v>
      </c>
      <c r="O59" s="390">
        <v>0.17699999999999999</v>
      </c>
      <c r="P59" s="392">
        <v>-9.76</v>
      </c>
      <c r="Q59" s="390">
        <v>0</v>
      </c>
      <c r="R59" s="390">
        <v>0</v>
      </c>
      <c r="S59" s="390">
        <v>0</v>
      </c>
      <c r="T59" s="390">
        <v>112</v>
      </c>
      <c r="U59" s="390">
        <v>7.1400000000000005E-2</v>
      </c>
      <c r="V59" s="390">
        <v>-4.5</v>
      </c>
      <c r="W59" s="390"/>
      <c r="X59" s="390"/>
      <c r="Y59" s="390">
        <v>2</v>
      </c>
      <c r="Z59" s="390" t="s">
        <v>217</v>
      </c>
      <c r="AA59" s="390" t="s">
        <v>7</v>
      </c>
      <c r="AB59" s="390" t="s">
        <v>582</v>
      </c>
      <c r="AC59" s="390" t="s">
        <v>592</v>
      </c>
      <c r="AD59" s="390" t="s">
        <v>601</v>
      </c>
      <c r="AE59" s="390" t="s">
        <v>581</v>
      </c>
      <c r="AF59" s="390" t="s">
        <v>602</v>
      </c>
      <c r="AG59" s="390" t="s">
        <v>585</v>
      </c>
      <c r="AH59" s="390"/>
      <c r="AI59" s="390" t="s">
        <v>603</v>
      </c>
      <c r="AJ59" s="390" t="s">
        <v>604</v>
      </c>
      <c r="AK59" s="390" t="s">
        <v>605</v>
      </c>
      <c r="AL59" s="390" t="s">
        <v>589</v>
      </c>
    </row>
    <row r="61" spans="1:38" x14ac:dyDescent="0.25">
      <c r="A61" s="390" t="s">
        <v>615</v>
      </c>
      <c r="B61" s="390" t="s">
        <v>576</v>
      </c>
      <c r="C61" s="390" t="s">
        <v>216</v>
      </c>
      <c r="D61" s="390" t="s">
        <v>577</v>
      </c>
      <c r="E61" s="390" t="s">
        <v>578</v>
      </c>
      <c r="F61" s="390" t="s">
        <v>579</v>
      </c>
      <c r="G61" s="390" t="s">
        <v>600</v>
      </c>
      <c r="H61" s="390">
        <v>36.6</v>
      </c>
      <c r="I61" s="390">
        <v>150000</v>
      </c>
      <c r="J61" s="390" t="s">
        <v>581</v>
      </c>
      <c r="K61" s="390">
        <v>0</v>
      </c>
      <c r="L61" s="390">
        <v>0</v>
      </c>
      <c r="M61" s="390">
        <v>0</v>
      </c>
      <c r="N61" s="390">
        <v>437</v>
      </c>
      <c r="O61" s="390">
        <v>0.48699999999999999</v>
      </c>
      <c r="P61" s="392">
        <v>-25.5</v>
      </c>
      <c r="Q61" s="390">
        <v>0</v>
      </c>
      <c r="R61" s="390">
        <v>0</v>
      </c>
      <c r="S61" s="390">
        <v>0</v>
      </c>
      <c r="T61" s="390">
        <v>125</v>
      </c>
      <c r="U61" s="390">
        <v>0.151</v>
      </c>
      <c r="V61" s="390">
        <v>-9.42</v>
      </c>
      <c r="W61" s="390"/>
      <c r="X61" s="390"/>
      <c r="Y61" s="390">
        <v>2</v>
      </c>
      <c r="Z61" s="390" t="s">
        <v>217</v>
      </c>
      <c r="AA61" s="390" t="s">
        <v>7</v>
      </c>
      <c r="AB61" s="390" t="s">
        <v>582</v>
      </c>
      <c r="AC61" s="390" t="s">
        <v>412</v>
      </c>
      <c r="AD61" s="390" t="s">
        <v>607</v>
      </c>
      <c r="AE61" s="390" t="s">
        <v>581</v>
      </c>
      <c r="AF61" s="390" t="s">
        <v>608</v>
      </c>
      <c r="AG61" s="390" t="s">
        <v>585</v>
      </c>
      <c r="AH61" s="390"/>
      <c r="AI61" s="390" t="s">
        <v>609</v>
      </c>
      <c r="AJ61" s="390" t="s">
        <v>604</v>
      </c>
      <c r="AK61" s="390" t="s">
        <v>605</v>
      </c>
      <c r="AL61" s="390" t="s">
        <v>589</v>
      </c>
    </row>
    <row r="62" spans="1:38" x14ac:dyDescent="0.25">
      <c r="A62" s="390" t="s">
        <v>615</v>
      </c>
      <c r="B62" s="390" t="s">
        <v>576</v>
      </c>
      <c r="C62" s="390" t="s">
        <v>216</v>
      </c>
      <c r="D62" s="390" t="s">
        <v>577</v>
      </c>
      <c r="E62" s="390" t="s">
        <v>578</v>
      </c>
      <c r="F62" s="390" t="s">
        <v>579</v>
      </c>
      <c r="G62" s="390" t="s">
        <v>600</v>
      </c>
      <c r="H62" s="390">
        <v>36.6</v>
      </c>
      <c r="I62" s="390">
        <v>150000</v>
      </c>
      <c r="J62" s="390" t="s">
        <v>581</v>
      </c>
      <c r="K62" s="390">
        <v>0</v>
      </c>
      <c r="L62" s="390">
        <v>0</v>
      </c>
      <c r="M62" s="390">
        <v>0</v>
      </c>
      <c r="N62" s="390">
        <v>496</v>
      </c>
      <c r="O62" s="390">
        <v>0.39200000000000002</v>
      </c>
      <c r="P62" s="392">
        <v>-14.4</v>
      </c>
      <c r="Q62" s="390">
        <v>0</v>
      </c>
      <c r="R62" s="390">
        <v>0</v>
      </c>
      <c r="S62" s="390">
        <v>0</v>
      </c>
      <c r="T62" s="390">
        <v>198</v>
      </c>
      <c r="U62" s="390">
        <v>0.16200000000000001</v>
      </c>
      <c r="V62" s="390">
        <v>-6.23</v>
      </c>
      <c r="W62" s="390"/>
      <c r="X62" s="390"/>
      <c r="Y62" s="390">
        <v>2</v>
      </c>
      <c r="Z62" s="390" t="s">
        <v>217</v>
      </c>
      <c r="AA62" s="390" t="s">
        <v>7</v>
      </c>
      <c r="AB62" s="390" t="s">
        <v>582</v>
      </c>
      <c r="AC62" s="390" t="s">
        <v>590</v>
      </c>
      <c r="AD62" s="390" t="s">
        <v>607</v>
      </c>
      <c r="AE62" s="390" t="s">
        <v>581</v>
      </c>
      <c r="AF62" s="390" t="s">
        <v>608</v>
      </c>
      <c r="AG62" s="390" t="s">
        <v>585</v>
      </c>
      <c r="AH62" s="390"/>
      <c r="AI62" s="390" t="s">
        <v>609</v>
      </c>
      <c r="AJ62" s="390" t="s">
        <v>604</v>
      </c>
      <c r="AK62" s="390" t="s">
        <v>605</v>
      </c>
      <c r="AL62" s="390" t="s">
        <v>589</v>
      </c>
    </row>
    <row r="63" spans="1:38" x14ac:dyDescent="0.25">
      <c r="A63" s="390" t="s">
        <v>615</v>
      </c>
      <c r="B63" s="390" t="s">
        <v>576</v>
      </c>
      <c r="C63" s="390" t="s">
        <v>216</v>
      </c>
      <c r="D63" s="390" t="s">
        <v>577</v>
      </c>
      <c r="E63" s="390" t="s">
        <v>578</v>
      </c>
      <c r="F63" s="390" t="s">
        <v>579</v>
      </c>
      <c r="G63" s="390" t="s">
        <v>600</v>
      </c>
      <c r="H63" s="390">
        <v>36.6</v>
      </c>
      <c r="I63" s="390">
        <v>150000</v>
      </c>
      <c r="J63" s="390" t="s">
        <v>581</v>
      </c>
      <c r="K63" s="390">
        <v>0</v>
      </c>
      <c r="L63" s="390">
        <v>0</v>
      </c>
      <c r="M63" s="390">
        <v>0</v>
      </c>
      <c r="N63" s="390">
        <v>497</v>
      </c>
      <c r="O63" s="390">
        <v>0.38800000000000001</v>
      </c>
      <c r="P63" s="392">
        <v>-13.7</v>
      </c>
      <c r="Q63" s="390">
        <v>0</v>
      </c>
      <c r="R63" s="390">
        <v>0</v>
      </c>
      <c r="S63" s="390">
        <v>0</v>
      </c>
      <c r="T63" s="390">
        <v>207</v>
      </c>
      <c r="U63" s="390">
        <v>0.16700000000000001</v>
      </c>
      <c r="V63" s="390">
        <v>-6.13</v>
      </c>
      <c r="W63" s="390"/>
      <c r="X63" s="390"/>
      <c r="Y63" s="390">
        <v>2</v>
      </c>
      <c r="Z63" s="390" t="s">
        <v>217</v>
      </c>
      <c r="AA63" s="390" t="s">
        <v>7</v>
      </c>
      <c r="AB63" s="390" t="s">
        <v>582</v>
      </c>
      <c r="AC63" s="390" t="s">
        <v>591</v>
      </c>
      <c r="AD63" s="390" t="s">
        <v>607</v>
      </c>
      <c r="AE63" s="390" t="s">
        <v>581</v>
      </c>
      <c r="AF63" s="390" t="s">
        <v>608</v>
      </c>
      <c r="AG63" s="390" t="s">
        <v>585</v>
      </c>
      <c r="AH63" s="390"/>
      <c r="AI63" s="390" t="s">
        <v>609</v>
      </c>
      <c r="AJ63" s="390" t="s">
        <v>604</v>
      </c>
      <c r="AK63" s="390" t="s">
        <v>605</v>
      </c>
      <c r="AL63" s="390" t="s">
        <v>589</v>
      </c>
    </row>
    <row r="64" spans="1:38" x14ac:dyDescent="0.25">
      <c r="A64" s="390" t="s">
        <v>615</v>
      </c>
      <c r="B64" s="390" t="s">
        <v>576</v>
      </c>
      <c r="C64" s="390" t="s">
        <v>216</v>
      </c>
      <c r="D64" s="390" t="s">
        <v>577</v>
      </c>
      <c r="E64" s="390" t="s">
        <v>578</v>
      </c>
      <c r="F64" s="390" t="s">
        <v>579</v>
      </c>
      <c r="G64" s="390" t="s">
        <v>600</v>
      </c>
      <c r="H64" s="390">
        <v>36.6</v>
      </c>
      <c r="I64" s="390">
        <v>150000</v>
      </c>
      <c r="J64" s="390" t="s">
        <v>581</v>
      </c>
      <c r="K64" s="390">
        <v>0</v>
      </c>
      <c r="L64" s="390">
        <v>0</v>
      </c>
      <c r="M64" s="390">
        <v>0</v>
      </c>
      <c r="N64" s="390">
        <v>490</v>
      </c>
      <c r="O64" s="390">
        <v>0.318</v>
      </c>
      <c r="P64" s="392">
        <v>-12.7</v>
      </c>
      <c r="Q64" s="390">
        <v>0</v>
      </c>
      <c r="R64" s="390">
        <v>0</v>
      </c>
      <c r="S64" s="390">
        <v>0</v>
      </c>
      <c r="T64" s="390">
        <v>192</v>
      </c>
      <c r="U64" s="390">
        <v>0.125</v>
      </c>
      <c r="V64" s="390">
        <v>-5.75</v>
      </c>
      <c r="W64" s="390"/>
      <c r="X64" s="390"/>
      <c r="Y64" s="390">
        <v>2</v>
      </c>
      <c r="Z64" s="390" t="s">
        <v>217</v>
      </c>
      <c r="AA64" s="390" t="s">
        <v>7</v>
      </c>
      <c r="AB64" s="390" t="s">
        <v>582</v>
      </c>
      <c r="AC64" s="390" t="s">
        <v>592</v>
      </c>
      <c r="AD64" s="390" t="s">
        <v>607</v>
      </c>
      <c r="AE64" s="390" t="s">
        <v>581</v>
      </c>
      <c r="AF64" s="390" t="s">
        <v>608</v>
      </c>
      <c r="AG64" s="390" t="s">
        <v>585</v>
      </c>
      <c r="AH64" s="390"/>
      <c r="AI64" s="390" t="s">
        <v>609</v>
      </c>
      <c r="AJ64" s="390" t="s">
        <v>604</v>
      </c>
      <c r="AK64" s="390" t="s">
        <v>605</v>
      </c>
      <c r="AL64" s="390" t="s">
        <v>589</v>
      </c>
    </row>
    <row r="66" spans="1:38" x14ac:dyDescent="0.25">
      <c r="A66" s="393" t="s">
        <v>616</v>
      </c>
      <c r="B66" s="390" t="s">
        <v>576</v>
      </c>
      <c r="C66" s="390" t="s">
        <v>216</v>
      </c>
      <c r="D66" s="390" t="s">
        <v>577</v>
      </c>
      <c r="E66" s="390" t="s">
        <v>578</v>
      </c>
      <c r="F66" s="390" t="s">
        <v>579</v>
      </c>
      <c r="G66" s="390" t="s">
        <v>600</v>
      </c>
      <c r="H66" s="390">
        <v>36.6</v>
      </c>
      <c r="I66" s="390">
        <v>150000</v>
      </c>
      <c r="J66" s="390" t="s">
        <v>581</v>
      </c>
      <c r="K66" s="390">
        <v>0</v>
      </c>
      <c r="L66" s="390">
        <v>0</v>
      </c>
      <c r="M66" s="390">
        <v>0</v>
      </c>
      <c r="N66" s="390">
        <v>330</v>
      </c>
      <c r="O66" s="390">
        <v>0.54300000000000004</v>
      </c>
      <c r="P66" s="392">
        <v>-18.600000000000001</v>
      </c>
      <c r="Q66" s="390">
        <v>0</v>
      </c>
      <c r="R66" s="390">
        <v>0</v>
      </c>
      <c r="S66" s="390">
        <v>0</v>
      </c>
      <c r="T66" s="390">
        <v>96.3</v>
      </c>
      <c r="U66" s="390">
        <v>0.16300000000000001</v>
      </c>
      <c r="V66" s="390">
        <v>-6.82</v>
      </c>
      <c r="W66" s="390"/>
      <c r="X66" s="390"/>
      <c r="Y66" s="390">
        <v>2</v>
      </c>
      <c r="Z66" s="390" t="s">
        <v>217</v>
      </c>
      <c r="AA66" s="390" t="s">
        <v>7</v>
      </c>
      <c r="AB66" s="390" t="s">
        <v>582</v>
      </c>
      <c r="AC66" s="390" t="s">
        <v>412</v>
      </c>
      <c r="AD66" s="390" t="s">
        <v>611</v>
      </c>
      <c r="AE66" s="390" t="s">
        <v>581</v>
      </c>
      <c r="AF66" s="390" t="s">
        <v>612</v>
      </c>
      <c r="AG66" s="390" t="s">
        <v>585</v>
      </c>
      <c r="AH66" s="390"/>
      <c r="AI66" s="390" t="s">
        <v>613</v>
      </c>
      <c r="AJ66" s="390" t="s">
        <v>604</v>
      </c>
      <c r="AK66" s="390" t="s">
        <v>605</v>
      </c>
      <c r="AL66" s="390" t="s">
        <v>589</v>
      </c>
    </row>
    <row r="67" spans="1:38" x14ac:dyDescent="0.25">
      <c r="A67" s="393" t="s">
        <v>616</v>
      </c>
      <c r="B67" s="390" t="s">
        <v>576</v>
      </c>
      <c r="C67" s="390" t="s">
        <v>216</v>
      </c>
      <c r="D67" s="390" t="s">
        <v>577</v>
      </c>
      <c r="E67" s="390" t="s">
        <v>578</v>
      </c>
      <c r="F67" s="390" t="s">
        <v>579</v>
      </c>
      <c r="G67" s="390" t="s">
        <v>600</v>
      </c>
      <c r="H67" s="390">
        <v>36.6</v>
      </c>
      <c r="I67" s="390">
        <v>150000</v>
      </c>
      <c r="J67" s="390" t="s">
        <v>581</v>
      </c>
      <c r="K67" s="390">
        <v>0</v>
      </c>
      <c r="L67" s="390">
        <v>0</v>
      </c>
      <c r="M67" s="390">
        <v>0</v>
      </c>
      <c r="N67" s="390">
        <v>367</v>
      </c>
      <c r="O67" s="390">
        <v>0.39800000000000002</v>
      </c>
      <c r="P67" s="392">
        <v>-11.1</v>
      </c>
      <c r="Q67" s="390">
        <v>0</v>
      </c>
      <c r="R67" s="390">
        <v>0</v>
      </c>
      <c r="S67" s="390">
        <v>0</v>
      </c>
      <c r="T67" s="390">
        <v>150</v>
      </c>
      <c r="U67" s="390">
        <v>0.16400000000000001</v>
      </c>
      <c r="V67" s="390">
        <v>-4.55</v>
      </c>
      <c r="W67" s="390"/>
      <c r="X67" s="390"/>
      <c r="Y67" s="390">
        <v>2</v>
      </c>
      <c r="Z67" s="390" t="s">
        <v>217</v>
      </c>
      <c r="AA67" s="390" t="s">
        <v>7</v>
      </c>
      <c r="AB67" s="390" t="s">
        <v>582</v>
      </c>
      <c r="AC67" s="390" t="s">
        <v>590</v>
      </c>
      <c r="AD67" s="390" t="s">
        <v>611</v>
      </c>
      <c r="AE67" s="390" t="s">
        <v>581</v>
      </c>
      <c r="AF67" s="390" t="s">
        <v>612</v>
      </c>
      <c r="AG67" s="390" t="s">
        <v>585</v>
      </c>
      <c r="AH67" s="390"/>
      <c r="AI67" s="390" t="s">
        <v>613</v>
      </c>
      <c r="AJ67" s="390" t="s">
        <v>604</v>
      </c>
      <c r="AK67" s="390" t="s">
        <v>605</v>
      </c>
      <c r="AL67" s="390" t="s">
        <v>589</v>
      </c>
    </row>
    <row r="68" spans="1:38" x14ac:dyDescent="0.25">
      <c r="A68" s="393" t="s">
        <v>616</v>
      </c>
      <c r="B68" s="390" t="s">
        <v>576</v>
      </c>
      <c r="C68" s="390" t="s">
        <v>216</v>
      </c>
      <c r="D68" s="390" t="s">
        <v>577</v>
      </c>
      <c r="E68" s="390" t="s">
        <v>578</v>
      </c>
      <c r="F68" s="390" t="s">
        <v>579</v>
      </c>
      <c r="G68" s="390" t="s">
        <v>600</v>
      </c>
      <c r="H68" s="390">
        <v>36.6</v>
      </c>
      <c r="I68" s="390">
        <v>150000</v>
      </c>
      <c r="J68" s="390" t="s">
        <v>581</v>
      </c>
      <c r="K68" s="390">
        <v>0</v>
      </c>
      <c r="L68" s="390">
        <v>0</v>
      </c>
      <c r="M68" s="390">
        <v>0</v>
      </c>
      <c r="N68" s="390">
        <v>367</v>
      </c>
      <c r="O68" s="390">
        <v>0.39100000000000001</v>
      </c>
      <c r="P68" s="392">
        <v>-10.8</v>
      </c>
      <c r="Q68" s="390">
        <v>0</v>
      </c>
      <c r="R68" s="390">
        <v>0</v>
      </c>
      <c r="S68" s="390">
        <v>0</v>
      </c>
      <c r="T68" s="390">
        <v>156</v>
      </c>
      <c r="U68" s="390">
        <v>0.16700000000000001</v>
      </c>
      <c r="V68" s="390">
        <v>-4.5</v>
      </c>
      <c r="W68" s="390"/>
      <c r="X68" s="390"/>
      <c r="Y68" s="390">
        <v>2</v>
      </c>
      <c r="Z68" s="390" t="s">
        <v>217</v>
      </c>
      <c r="AA68" s="390" t="s">
        <v>7</v>
      </c>
      <c r="AB68" s="390" t="s">
        <v>582</v>
      </c>
      <c r="AC68" s="390" t="s">
        <v>591</v>
      </c>
      <c r="AD68" s="390" t="s">
        <v>611</v>
      </c>
      <c r="AE68" s="390" t="s">
        <v>581</v>
      </c>
      <c r="AF68" s="390" t="s">
        <v>612</v>
      </c>
      <c r="AG68" s="390" t="s">
        <v>585</v>
      </c>
      <c r="AH68" s="390"/>
      <c r="AI68" s="390" t="s">
        <v>613</v>
      </c>
      <c r="AJ68" s="390" t="s">
        <v>604</v>
      </c>
      <c r="AK68" s="390" t="s">
        <v>605</v>
      </c>
      <c r="AL68" s="390" t="s">
        <v>589</v>
      </c>
    </row>
    <row r="69" spans="1:38" x14ac:dyDescent="0.25">
      <c r="A69" s="393" t="s">
        <v>616</v>
      </c>
      <c r="B69" s="390" t="s">
        <v>576</v>
      </c>
      <c r="C69" s="390" t="s">
        <v>216</v>
      </c>
      <c r="D69" s="390" t="s">
        <v>577</v>
      </c>
      <c r="E69" s="390" t="s">
        <v>578</v>
      </c>
      <c r="F69" s="390" t="s">
        <v>579</v>
      </c>
      <c r="G69" s="390" t="s">
        <v>600</v>
      </c>
      <c r="H69" s="390">
        <v>36.6</v>
      </c>
      <c r="I69" s="390">
        <v>150000</v>
      </c>
      <c r="J69" s="390" t="s">
        <v>581</v>
      </c>
      <c r="K69" s="390">
        <v>0</v>
      </c>
      <c r="L69" s="390">
        <v>0</v>
      </c>
      <c r="M69" s="390">
        <v>0</v>
      </c>
      <c r="N69" s="390">
        <v>365</v>
      </c>
      <c r="O69" s="390">
        <v>0.33800000000000002</v>
      </c>
      <c r="P69" s="392">
        <v>-9.32</v>
      </c>
      <c r="Q69" s="390">
        <v>0</v>
      </c>
      <c r="R69" s="390">
        <v>0</v>
      </c>
      <c r="S69" s="390">
        <v>0</v>
      </c>
      <c r="T69" s="390">
        <v>147</v>
      </c>
      <c r="U69" s="390">
        <v>0.13400000000000001</v>
      </c>
      <c r="V69" s="390">
        <v>-4.09</v>
      </c>
      <c r="W69" s="390"/>
      <c r="X69" s="390"/>
      <c r="Y69" s="390">
        <v>2</v>
      </c>
      <c r="Z69" s="390" t="s">
        <v>217</v>
      </c>
      <c r="AA69" s="390" t="s">
        <v>7</v>
      </c>
      <c r="AB69" s="390" t="s">
        <v>582</v>
      </c>
      <c r="AC69" s="390" t="s">
        <v>592</v>
      </c>
      <c r="AD69" s="390" t="s">
        <v>611</v>
      </c>
      <c r="AE69" s="390" t="s">
        <v>581</v>
      </c>
      <c r="AF69" s="390" t="s">
        <v>612</v>
      </c>
      <c r="AG69" s="390" t="s">
        <v>585</v>
      </c>
      <c r="AH69" s="390"/>
      <c r="AI69" s="390" t="s">
        <v>613</v>
      </c>
      <c r="AJ69" s="390" t="s">
        <v>604</v>
      </c>
      <c r="AK69" s="390" t="s">
        <v>605</v>
      </c>
      <c r="AL69" s="390" t="s">
        <v>589</v>
      </c>
    </row>
    <row r="73" spans="1:38" x14ac:dyDescent="0.25">
      <c r="A73" s="393" t="s">
        <v>630</v>
      </c>
      <c r="B73" s="390" t="s">
        <v>412</v>
      </c>
      <c r="C73" s="390" t="s">
        <v>619</v>
      </c>
      <c r="D73" s="390" t="s">
        <v>577</v>
      </c>
      <c r="E73" s="390" t="s">
        <v>578</v>
      </c>
      <c r="F73" s="390" t="s">
        <v>579</v>
      </c>
      <c r="G73" s="390" t="s">
        <v>600</v>
      </c>
      <c r="H73" s="395" t="s">
        <v>620</v>
      </c>
      <c r="I73" s="390" t="s">
        <v>621</v>
      </c>
      <c r="J73" s="390" t="s">
        <v>581</v>
      </c>
      <c r="K73" s="390"/>
      <c r="L73" s="390"/>
      <c r="M73" s="390"/>
      <c r="N73" s="396">
        <v>235.23333333333335</v>
      </c>
      <c r="O73" s="397">
        <v>0.27766666666666667</v>
      </c>
      <c r="P73" s="396">
        <v>-13.029333333333334</v>
      </c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</row>
    <row r="74" spans="1:38" x14ac:dyDescent="0.25">
      <c r="A74" s="393" t="s">
        <v>630</v>
      </c>
      <c r="B74" s="390" t="s">
        <v>622</v>
      </c>
      <c r="C74" s="390" t="s">
        <v>619</v>
      </c>
      <c r="D74" s="390" t="s">
        <v>577</v>
      </c>
      <c r="E74" s="390" t="s">
        <v>578</v>
      </c>
      <c r="F74" s="390" t="s">
        <v>579</v>
      </c>
      <c r="G74" s="390" t="s">
        <v>600</v>
      </c>
      <c r="H74" s="395" t="s">
        <v>620</v>
      </c>
      <c r="I74" s="390" t="s">
        <v>621</v>
      </c>
      <c r="J74" s="390" t="s">
        <v>581</v>
      </c>
      <c r="K74" s="390"/>
      <c r="L74" s="390"/>
      <c r="M74" s="390"/>
      <c r="N74" s="396">
        <v>278.7</v>
      </c>
      <c r="O74" s="397">
        <v>0.17048333333333332</v>
      </c>
      <c r="P74" s="396">
        <v>-8.0151666666666657</v>
      </c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</row>
    <row r="75" spans="1:38" x14ac:dyDescent="0.25">
      <c r="A75" s="393" t="s">
        <v>630</v>
      </c>
      <c r="B75" s="390" t="s">
        <v>591</v>
      </c>
      <c r="C75" s="390" t="s">
        <v>619</v>
      </c>
      <c r="D75" s="390" t="s">
        <v>577</v>
      </c>
      <c r="E75" s="390" t="s">
        <v>578</v>
      </c>
      <c r="F75" s="390" t="s">
        <v>579</v>
      </c>
      <c r="G75" s="390" t="s">
        <v>600</v>
      </c>
      <c r="H75" s="395" t="s">
        <v>620</v>
      </c>
      <c r="I75" s="390" t="s">
        <v>621</v>
      </c>
      <c r="J75" s="390" t="s">
        <v>581</v>
      </c>
      <c r="K75" s="390"/>
      <c r="L75" s="390"/>
      <c r="M75" s="390"/>
      <c r="N75" s="396"/>
      <c r="O75" s="397"/>
      <c r="P75" s="396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</row>
    <row r="76" spans="1:38" x14ac:dyDescent="0.25">
      <c r="A76" s="393" t="s">
        <v>630</v>
      </c>
      <c r="B76" s="390" t="s">
        <v>592</v>
      </c>
      <c r="C76" s="390" t="s">
        <v>619</v>
      </c>
      <c r="D76" s="390" t="s">
        <v>577</v>
      </c>
      <c r="E76" s="390" t="s">
        <v>578</v>
      </c>
      <c r="F76" s="390" t="s">
        <v>579</v>
      </c>
      <c r="G76" s="390" t="s">
        <v>600</v>
      </c>
      <c r="H76" s="395" t="s">
        <v>620</v>
      </c>
      <c r="I76" s="390" t="s">
        <v>621</v>
      </c>
      <c r="J76" s="390" t="s">
        <v>581</v>
      </c>
      <c r="K76" s="390"/>
      <c r="L76" s="390"/>
      <c r="M76" s="390"/>
      <c r="N76" s="396">
        <v>271.5</v>
      </c>
      <c r="O76" s="397">
        <v>0.19266666666666668</v>
      </c>
      <c r="P76" s="396">
        <v>-6.8646666666666674</v>
      </c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</row>
    <row r="77" spans="1:38" x14ac:dyDescent="0.25">
      <c r="A77" s="393"/>
      <c r="B77" s="390"/>
      <c r="C77" s="390"/>
      <c r="D77" s="390"/>
      <c r="E77" s="390"/>
      <c r="F77" s="390"/>
      <c r="G77" s="390"/>
      <c r="H77" s="395"/>
      <c r="I77" s="390"/>
      <c r="J77" s="390"/>
      <c r="K77" s="390"/>
      <c r="L77" s="390"/>
      <c r="M77" s="390"/>
      <c r="N77" s="396"/>
      <c r="O77" s="397"/>
      <c r="P77" s="396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</row>
    <row r="78" spans="1:38" x14ac:dyDescent="0.25">
      <c r="A78" s="393" t="s">
        <v>631</v>
      </c>
      <c r="B78" s="390" t="s">
        <v>412</v>
      </c>
      <c r="C78" s="390" t="s">
        <v>619</v>
      </c>
      <c r="D78" s="390" t="s">
        <v>577</v>
      </c>
      <c r="E78" s="390" t="s">
        <v>578</v>
      </c>
      <c r="F78" s="390" t="s">
        <v>579</v>
      </c>
      <c r="G78" s="390" t="s">
        <v>600</v>
      </c>
      <c r="H78" s="395" t="s">
        <v>620</v>
      </c>
      <c r="I78" s="390" t="s">
        <v>621</v>
      </c>
      <c r="J78" s="390" t="s">
        <v>581</v>
      </c>
      <c r="K78" s="390"/>
      <c r="L78" s="390"/>
      <c r="M78" s="390"/>
      <c r="N78" s="396">
        <v>393.66666666666669</v>
      </c>
      <c r="O78" s="397">
        <v>0.50200000000000011</v>
      </c>
      <c r="P78" s="396">
        <v>-20.3</v>
      </c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</row>
    <row r="79" spans="1:38" x14ac:dyDescent="0.25">
      <c r="A79" s="393" t="s">
        <v>631</v>
      </c>
      <c r="B79" s="390" t="s">
        <v>622</v>
      </c>
      <c r="C79" s="390" t="s">
        <v>619</v>
      </c>
      <c r="D79" s="390" t="s">
        <v>577</v>
      </c>
      <c r="E79" s="390" t="s">
        <v>578</v>
      </c>
      <c r="F79" s="390" t="s">
        <v>579</v>
      </c>
      <c r="G79" s="390" t="s">
        <v>600</v>
      </c>
      <c r="H79" s="395" t="s">
        <v>620</v>
      </c>
      <c r="I79" s="390" t="s">
        <v>621</v>
      </c>
      <c r="J79" s="390" t="s">
        <v>581</v>
      </c>
      <c r="K79" s="390"/>
      <c r="L79" s="390"/>
      <c r="M79" s="390"/>
      <c r="N79" s="396">
        <v>475.66666666666669</v>
      </c>
      <c r="O79" s="397">
        <v>0.39983333333333332</v>
      </c>
      <c r="P79" s="396">
        <v>-12.233333333333334</v>
      </c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</row>
    <row r="80" spans="1:38" x14ac:dyDescent="0.25">
      <c r="A80" s="393" t="s">
        <v>631</v>
      </c>
      <c r="B80" s="390" t="s">
        <v>591</v>
      </c>
      <c r="C80" s="390" t="s">
        <v>619</v>
      </c>
      <c r="D80" s="390" t="s">
        <v>577</v>
      </c>
      <c r="E80" s="390" t="s">
        <v>578</v>
      </c>
      <c r="F80" s="390" t="s">
        <v>579</v>
      </c>
      <c r="G80" s="390" t="s">
        <v>600</v>
      </c>
      <c r="H80" s="395" t="s">
        <v>620</v>
      </c>
      <c r="I80" s="390" t="s">
        <v>621</v>
      </c>
      <c r="J80" s="390" t="s">
        <v>581</v>
      </c>
      <c r="K80" s="390"/>
      <c r="L80" s="390"/>
      <c r="M80" s="390"/>
      <c r="N80" s="396"/>
      <c r="O80" s="397"/>
      <c r="P80" s="396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</row>
    <row r="81" spans="1:16" x14ac:dyDescent="0.25">
      <c r="A81" s="393" t="s">
        <v>631</v>
      </c>
      <c r="B81" s="390" t="s">
        <v>592</v>
      </c>
      <c r="C81" s="390" t="s">
        <v>619</v>
      </c>
      <c r="D81" s="390" t="s">
        <v>577</v>
      </c>
      <c r="E81" s="390" t="s">
        <v>578</v>
      </c>
      <c r="F81" s="390" t="s">
        <v>579</v>
      </c>
      <c r="G81" s="390" t="s">
        <v>600</v>
      </c>
      <c r="H81" s="395" t="s">
        <v>620</v>
      </c>
      <c r="I81" s="390" t="s">
        <v>621</v>
      </c>
      <c r="J81" s="390" t="s">
        <v>581</v>
      </c>
      <c r="K81" s="390"/>
      <c r="L81" s="390"/>
      <c r="M81" s="390"/>
      <c r="N81" s="396">
        <v>477.33333333333331</v>
      </c>
      <c r="O81" s="397">
        <v>0.34066666666666667</v>
      </c>
      <c r="P81" s="396">
        <v>-11.133333333333333</v>
      </c>
    </row>
    <row r="82" spans="1:16" x14ac:dyDescent="0.25">
      <c r="A82" s="393"/>
      <c r="B82" s="390"/>
      <c r="C82" s="390"/>
      <c r="D82" s="390"/>
      <c r="E82" s="390"/>
      <c r="F82" s="390"/>
      <c r="G82" s="390"/>
      <c r="H82" s="395"/>
      <c r="I82" s="390"/>
      <c r="J82" s="390"/>
      <c r="K82" s="390"/>
      <c r="L82" s="390"/>
      <c r="M82" s="390"/>
      <c r="N82" s="390"/>
      <c r="O82" s="397"/>
      <c r="P82" s="390"/>
    </row>
    <row r="83" spans="1:16" x14ac:dyDescent="0.25">
      <c r="A83" s="393" t="s">
        <v>632</v>
      </c>
      <c r="B83" s="390" t="s">
        <v>412</v>
      </c>
      <c r="C83" s="390" t="s">
        <v>619</v>
      </c>
      <c r="D83" s="390" t="s">
        <v>577</v>
      </c>
      <c r="E83" s="390" t="s">
        <v>578</v>
      </c>
      <c r="F83" s="390" t="s">
        <v>579</v>
      </c>
      <c r="G83" s="390" t="s">
        <v>600</v>
      </c>
      <c r="H83" s="395" t="s">
        <v>620</v>
      </c>
      <c r="I83" s="390" t="s">
        <v>621</v>
      </c>
      <c r="J83" s="390" t="s">
        <v>581</v>
      </c>
      <c r="K83" s="390"/>
      <c r="L83" s="390"/>
      <c r="M83" s="390"/>
      <c r="N83" s="396">
        <v>310.66666666666669</v>
      </c>
      <c r="O83" s="397">
        <v>0.54566666666666663</v>
      </c>
      <c r="P83" s="396">
        <v>-11.248333333333335</v>
      </c>
    </row>
    <row r="84" spans="1:16" x14ac:dyDescent="0.25">
      <c r="A84" s="393" t="s">
        <v>632</v>
      </c>
      <c r="B84" s="390" t="s">
        <v>622</v>
      </c>
      <c r="C84" s="390" t="s">
        <v>619</v>
      </c>
      <c r="D84" s="390" t="s">
        <v>577</v>
      </c>
      <c r="E84" s="390" t="s">
        <v>578</v>
      </c>
      <c r="F84" s="390" t="s">
        <v>579</v>
      </c>
      <c r="G84" s="390" t="s">
        <v>600</v>
      </c>
      <c r="H84" s="395" t="s">
        <v>620</v>
      </c>
      <c r="I84" s="390" t="s">
        <v>621</v>
      </c>
      <c r="J84" s="390" t="s">
        <v>581</v>
      </c>
      <c r="K84" s="390"/>
      <c r="L84" s="390"/>
      <c r="M84" s="390"/>
      <c r="N84" s="396">
        <v>361.5</v>
      </c>
      <c r="O84" s="397">
        <v>0.433</v>
      </c>
      <c r="P84" s="396">
        <v>-6.6661666666666664</v>
      </c>
    </row>
    <row r="85" spans="1:16" x14ac:dyDescent="0.25">
      <c r="A85" s="393" t="s">
        <v>632</v>
      </c>
      <c r="B85" s="390" t="s">
        <v>591</v>
      </c>
      <c r="C85" s="390" t="s">
        <v>619</v>
      </c>
      <c r="D85" s="390" t="s">
        <v>577</v>
      </c>
      <c r="E85" s="390" t="s">
        <v>578</v>
      </c>
      <c r="F85" s="390" t="s">
        <v>579</v>
      </c>
      <c r="G85" s="390" t="s">
        <v>600</v>
      </c>
      <c r="H85" s="395" t="s">
        <v>620</v>
      </c>
      <c r="I85" s="390" t="s">
        <v>621</v>
      </c>
      <c r="J85" s="390" t="s">
        <v>581</v>
      </c>
      <c r="K85" s="390"/>
      <c r="L85" s="390"/>
      <c r="M85" s="390"/>
      <c r="N85" s="396"/>
      <c r="O85" s="397"/>
      <c r="P85" s="396"/>
    </row>
    <row r="86" spans="1:16" x14ac:dyDescent="0.25">
      <c r="A86" s="393" t="s">
        <v>632</v>
      </c>
      <c r="B86" s="390" t="s">
        <v>592</v>
      </c>
      <c r="C86" s="390" t="s">
        <v>619</v>
      </c>
      <c r="D86" s="390" t="s">
        <v>577</v>
      </c>
      <c r="E86" s="390" t="s">
        <v>578</v>
      </c>
      <c r="F86" s="390" t="s">
        <v>579</v>
      </c>
      <c r="G86" s="390" t="s">
        <v>600</v>
      </c>
      <c r="H86" s="395" t="s">
        <v>620</v>
      </c>
      <c r="I86" s="390" t="s">
        <v>621</v>
      </c>
      <c r="J86" s="390" t="s">
        <v>581</v>
      </c>
      <c r="K86" s="390"/>
      <c r="L86" s="390"/>
      <c r="M86" s="390"/>
      <c r="N86" s="396">
        <v>357.66666666666669</v>
      </c>
      <c r="O86" s="397">
        <v>0.3726666666666667</v>
      </c>
      <c r="P86" s="396">
        <v>-5.855666666666667</v>
      </c>
    </row>
    <row r="88" spans="1:16" x14ac:dyDescent="0.25">
      <c r="A88" s="390" t="s">
        <v>633</v>
      </c>
      <c r="B88" s="390" t="s">
        <v>412</v>
      </c>
      <c r="C88" s="390" t="s">
        <v>619</v>
      </c>
      <c r="D88" s="390" t="s">
        <v>577</v>
      </c>
      <c r="E88" s="390" t="s">
        <v>578</v>
      </c>
      <c r="F88" s="390" t="s">
        <v>579</v>
      </c>
      <c r="G88" s="390" t="s">
        <v>580</v>
      </c>
      <c r="H88" s="395" t="s">
        <v>623</v>
      </c>
      <c r="I88" s="390" t="s">
        <v>621</v>
      </c>
      <c r="J88" s="390"/>
      <c r="K88" s="390"/>
      <c r="L88" s="390"/>
      <c r="M88" s="390"/>
      <c r="N88" s="396">
        <v>94.566666666666663</v>
      </c>
      <c r="O88" s="397">
        <v>0.11459999999999999</v>
      </c>
      <c r="P88" s="396">
        <v>2.1543333333333332</v>
      </c>
    </row>
    <row r="89" spans="1:16" x14ac:dyDescent="0.25">
      <c r="A89" s="390" t="s">
        <v>633</v>
      </c>
      <c r="B89" s="390" t="s">
        <v>622</v>
      </c>
      <c r="C89" s="390" t="s">
        <v>619</v>
      </c>
      <c r="D89" s="390" t="s">
        <v>577</v>
      </c>
      <c r="E89" s="390" t="s">
        <v>578</v>
      </c>
      <c r="F89" s="390" t="s">
        <v>579</v>
      </c>
      <c r="G89" s="390" t="s">
        <v>580</v>
      </c>
      <c r="H89" s="395" t="s">
        <v>623</v>
      </c>
      <c r="I89" s="390" t="s">
        <v>621</v>
      </c>
      <c r="J89" s="390"/>
      <c r="K89" s="390"/>
      <c r="L89" s="390"/>
      <c r="M89" s="390"/>
      <c r="N89" s="396">
        <v>95.87</v>
      </c>
      <c r="O89" s="397">
        <v>8.9960533333333328E-2</v>
      </c>
      <c r="P89" s="396">
        <v>0.19216666666666668</v>
      </c>
    </row>
    <row r="90" spans="1:16" x14ac:dyDescent="0.25">
      <c r="A90" s="390" t="s">
        <v>633</v>
      </c>
      <c r="B90" s="390" t="s">
        <v>592</v>
      </c>
      <c r="C90" s="390" t="s">
        <v>619</v>
      </c>
      <c r="D90" s="390" t="s">
        <v>577</v>
      </c>
      <c r="E90" s="390" t="s">
        <v>578</v>
      </c>
      <c r="F90" s="390" t="s">
        <v>579</v>
      </c>
      <c r="G90" s="390" t="s">
        <v>580</v>
      </c>
      <c r="H90" s="395" t="s">
        <v>623</v>
      </c>
      <c r="I90" s="390" t="s">
        <v>621</v>
      </c>
      <c r="J90" s="390"/>
      <c r="K90" s="390"/>
      <c r="L90" s="390"/>
      <c r="M90" s="390"/>
      <c r="N90" s="396">
        <v>85.98</v>
      </c>
      <c r="O90" s="397">
        <v>7.46E-2</v>
      </c>
      <c r="P90" s="396">
        <v>-0.18366666666666664</v>
      </c>
    </row>
    <row r="92" spans="1:16" x14ac:dyDescent="0.25">
      <c r="A92" s="390" t="s">
        <v>593</v>
      </c>
      <c r="B92" s="390" t="s">
        <v>412</v>
      </c>
      <c r="C92" s="390" t="s">
        <v>624</v>
      </c>
      <c r="D92" s="390"/>
      <c r="E92" s="390" t="s">
        <v>578</v>
      </c>
      <c r="F92" s="390" t="s">
        <v>579</v>
      </c>
      <c r="G92" s="390" t="s">
        <v>580</v>
      </c>
      <c r="H92" s="390">
        <v>50</v>
      </c>
      <c r="I92" s="390">
        <v>50000</v>
      </c>
      <c r="J92" s="390"/>
      <c r="K92" s="390"/>
      <c r="L92" s="390"/>
      <c r="M92" s="390"/>
      <c r="N92" s="390">
        <v>137</v>
      </c>
      <c r="O92" s="390">
        <v>0.17599999999999999</v>
      </c>
      <c r="P92" s="390">
        <v>-4.6500000000000004</v>
      </c>
    </row>
    <row r="93" spans="1:16" x14ac:dyDescent="0.25">
      <c r="A93" s="390" t="s">
        <v>593</v>
      </c>
      <c r="B93" s="390" t="s">
        <v>622</v>
      </c>
      <c r="C93" s="390" t="s">
        <v>624</v>
      </c>
      <c r="D93" s="390"/>
      <c r="E93" s="390" t="s">
        <v>578</v>
      </c>
      <c r="F93" s="390" t="s">
        <v>579</v>
      </c>
      <c r="G93" s="390" t="s">
        <v>580</v>
      </c>
      <c r="H93" s="390">
        <v>50</v>
      </c>
      <c r="I93" s="390">
        <v>50000</v>
      </c>
      <c r="J93" s="390"/>
      <c r="K93" s="390"/>
      <c r="L93" s="390"/>
      <c r="M93" s="390"/>
      <c r="N93" s="390">
        <v>177</v>
      </c>
      <c r="O93" s="390">
        <v>0.1555</v>
      </c>
      <c r="P93" s="390">
        <v>-3.5649999999999999</v>
      </c>
    </row>
    <row r="94" spans="1:16" x14ac:dyDescent="0.25">
      <c r="A94" s="390" t="s">
        <v>593</v>
      </c>
      <c r="B94" s="390" t="s">
        <v>592</v>
      </c>
      <c r="C94" s="390" t="s">
        <v>624</v>
      </c>
      <c r="D94" s="390"/>
      <c r="E94" s="390" t="s">
        <v>578</v>
      </c>
      <c r="F94" s="390" t="s">
        <v>579</v>
      </c>
      <c r="G94" s="390" t="s">
        <v>580</v>
      </c>
      <c r="H94" s="390">
        <v>50</v>
      </c>
      <c r="I94" s="390">
        <v>50000</v>
      </c>
      <c r="J94" s="390"/>
      <c r="K94" s="390"/>
      <c r="L94" s="390"/>
      <c r="M94" s="390"/>
      <c r="N94" s="390">
        <v>162</v>
      </c>
      <c r="O94" s="390">
        <v>0.13600000000000001</v>
      </c>
      <c r="P94" s="390">
        <v>-3.27</v>
      </c>
    </row>
  </sheetData>
  <sheetProtection password="C33D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zoomScale="90" zoomScaleNormal="90" workbookViewId="0"/>
  </sheetViews>
  <sheetFormatPr defaultColWidth="9.125" defaultRowHeight="14.3" x14ac:dyDescent="0.25"/>
  <cols>
    <col min="1" max="1" width="14.875" style="636" customWidth="1"/>
    <col min="2" max="2" width="65.75" style="636" customWidth="1"/>
    <col min="3" max="3" width="14.375" style="9" customWidth="1"/>
    <col min="4" max="4" width="12.625" style="18" customWidth="1"/>
    <col min="5" max="5" width="16.875" style="18" customWidth="1"/>
    <col min="6" max="6" width="13.25" style="18" customWidth="1"/>
    <col min="7" max="7" width="13.875" style="18" customWidth="1"/>
    <col min="8" max="8" width="14.375" style="18" customWidth="1"/>
    <col min="9" max="9" width="11.625" style="18" customWidth="1"/>
    <col min="10" max="10" width="9.375" style="18" customWidth="1"/>
    <col min="11" max="11" width="10.375" style="18" customWidth="1"/>
    <col min="12" max="12" width="18.125" style="18" customWidth="1"/>
    <col min="13" max="13" width="14.125" style="18" customWidth="1"/>
    <col min="14" max="14" width="11.125" style="18" customWidth="1"/>
    <col min="15" max="15" width="11.625" style="18" customWidth="1"/>
    <col min="16" max="16" width="8" style="74" customWidth="1"/>
    <col min="17" max="17" width="16.75" style="74" customWidth="1"/>
    <col min="18" max="18" width="11.625" style="74" customWidth="1"/>
    <col min="19" max="19" width="14.25" style="74" customWidth="1"/>
    <col min="20" max="20" width="11.625" style="74" customWidth="1"/>
    <col min="21" max="21" width="9.875" style="18" customWidth="1"/>
    <col min="22" max="22" width="8.875" style="18" customWidth="1"/>
    <col min="23" max="23" width="35.875" style="18" customWidth="1"/>
    <col min="24" max="24" width="5.625" style="18" bestFit="1" customWidth="1"/>
    <col min="25" max="28" width="14.25" style="18" bestFit="1" customWidth="1"/>
    <col min="29" max="39" width="10.25" style="18" bestFit="1" customWidth="1"/>
    <col min="40" max="40" width="10.25" style="18" customWidth="1"/>
    <col min="41" max="45" width="9.125" style="18" customWidth="1"/>
    <col min="46" max="58" width="9.125" style="18"/>
    <col min="59" max="16384" width="9.125" style="9"/>
  </cols>
  <sheetData>
    <row r="1" spans="1:58" ht="19.55" thickBot="1" x14ac:dyDescent="0.35">
      <c r="A1" s="637" t="s">
        <v>0</v>
      </c>
      <c r="C1" s="9" t="str">
        <f>Benchmarking!C1</f>
        <v>Version 8.1</v>
      </c>
    </row>
    <row r="2" spans="1:58" ht="19.55" thickBot="1" x14ac:dyDescent="0.35">
      <c r="A2" s="670" t="s">
        <v>350</v>
      </c>
      <c r="B2" s="671"/>
    </row>
    <row r="3" spans="1:58" ht="15.8" thickBot="1" x14ac:dyDescent="0.3">
      <c r="A3" s="640" t="s">
        <v>351</v>
      </c>
      <c r="B3" s="641">
        <f>Benchmarking!B3</f>
        <v>0</v>
      </c>
    </row>
    <row r="4" spans="1:58" ht="32.299999999999997" customHeight="1" thickBot="1" x14ac:dyDescent="0.3">
      <c r="A4" s="642" t="s">
        <v>352</v>
      </c>
      <c r="B4" s="643">
        <f>Benchmarking!B4</f>
        <v>0</v>
      </c>
    </row>
    <row r="5" spans="1:58" ht="30.1" thickBot="1" x14ac:dyDescent="0.3">
      <c r="A5" s="644" t="s">
        <v>353</v>
      </c>
      <c r="B5" s="645">
        <f>Benchmarking!B5</f>
        <v>0</v>
      </c>
    </row>
    <row r="7" spans="1:58" ht="17.350000000000001" x14ac:dyDescent="0.3">
      <c r="A7" s="745" t="s">
        <v>9</v>
      </c>
    </row>
    <row r="8" spans="1:58" ht="14.95" x14ac:dyDescent="0.25">
      <c r="A8" s="708" t="s">
        <v>23</v>
      </c>
    </row>
    <row r="10" spans="1:58" ht="14.95" x14ac:dyDescent="0.25">
      <c r="A10" s="709" t="s">
        <v>489</v>
      </c>
    </row>
    <row r="11" spans="1:58" ht="14.95" x14ac:dyDescent="0.25">
      <c r="A11" s="709" t="s">
        <v>487</v>
      </c>
    </row>
    <row r="12" spans="1:58" s="636" customFormat="1" ht="14.95" x14ac:dyDescent="0.25"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74"/>
      <c r="Q12" s="74"/>
      <c r="R12" s="74"/>
      <c r="S12" s="74"/>
      <c r="T12" s="74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</row>
    <row r="13" spans="1:58" s="636" customFormat="1" ht="15.8" x14ac:dyDescent="0.25">
      <c r="A13" s="710" t="s">
        <v>400</v>
      </c>
      <c r="B13" s="731" t="s">
        <v>402</v>
      </c>
      <c r="C13" s="636" t="s">
        <v>407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74"/>
      <c r="Q13" s="74"/>
      <c r="R13" s="74"/>
      <c r="S13" s="74"/>
      <c r="T13" s="74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1:58" s="636" customFormat="1" ht="15.8" x14ac:dyDescent="0.25">
      <c r="A14" s="710" t="s">
        <v>401</v>
      </c>
      <c r="B14" s="731" t="s">
        <v>656</v>
      </c>
      <c r="C14" s="636" t="s">
        <v>482</v>
      </c>
      <c r="D14" s="18"/>
      <c r="E14" s="18"/>
      <c r="F14" s="18"/>
      <c r="G14" s="18"/>
      <c r="H14" s="18"/>
      <c r="I14" s="18"/>
      <c r="J14" s="18"/>
      <c r="K14" s="18"/>
      <c r="L14" s="20" t="s">
        <v>27</v>
      </c>
      <c r="M14" s="21">
        <v>0.02</v>
      </c>
      <c r="N14" s="18"/>
      <c r="O14" s="18"/>
      <c r="P14" s="74"/>
      <c r="Q14" s="74"/>
      <c r="R14" s="74"/>
      <c r="S14" s="74"/>
      <c r="T14" s="74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</row>
    <row r="15" spans="1:58" s="636" customFormat="1" ht="15.8" x14ac:dyDescent="0.25">
      <c r="A15" s="710" t="s">
        <v>408</v>
      </c>
      <c r="B15" s="731" t="s">
        <v>367</v>
      </c>
      <c r="C15" s="636" t="s">
        <v>471</v>
      </c>
      <c r="D15" s="18"/>
      <c r="E15" s="18"/>
      <c r="F15" s="18"/>
      <c r="G15" s="18"/>
      <c r="H15" s="18"/>
      <c r="I15" s="18"/>
      <c r="J15" s="18"/>
      <c r="K15" s="18"/>
      <c r="L15" s="20" t="s">
        <v>25</v>
      </c>
      <c r="M15" s="21">
        <f>M14+0.03</f>
        <v>0.05</v>
      </c>
      <c r="N15" s="18"/>
      <c r="O15" s="18"/>
      <c r="P15" s="74"/>
      <c r="Q15" s="74"/>
      <c r="R15" s="74"/>
      <c r="S15" s="74"/>
      <c r="T15" s="7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</row>
    <row r="16" spans="1:58" s="636" customFormat="1" ht="15.8" x14ac:dyDescent="0.25">
      <c r="A16" s="710" t="s">
        <v>409</v>
      </c>
      <c r="B16" s="731" t="s">
        <v>470</v>
      </c>
      <c r="C16" s="636" t="s">
        <v>472</v>
      </c>
      <c r="D16" s="18"/>
      <c r="E16" s="18"/>
      <c r="F16" s="18"/>
      <c r="G16" s="18"/>
      <c r="H16" s="18"/>
      <c r="I16" s="18"/>
      <c r="J16" s="18"/>
      <c r="K16" s="18"/>
      <c r="L16" s="20" t="s">
        <v>26</v>
      </c>
      <c r="M16" s="21">
        <v>0.04</v>
      </c>
      <c r="N16" s="18"/>
      <c r="O16" s="18"/>
      <c r="P16" s="74"/>
      <c r="Q16" s="74"/>
      <c r="R16" s="74"/>
      <c r="S16" s="74"/>
      <c r="T16" s="74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</row>
    <row r="17" spans="1:58" s="636" customFormat="1" ht="14.95" x14ac:dyDescent="0.25">
      <c r="A17" s="746" t="s">
        <v>469</v>
      </c>
      <c r="B17" s="672" t="s">
        <v>484</v>
      </c>
      <c r="C17" s="636" t="s">
        <v>478</v>
      </c>
      <c r="D17" s="18"/>
      <c r="E17" s="18"/>
      <c r="F17" s="18"/>
      <c r="G17" s="18"/>
      <c r="H17" s="18"/>
      <c r="I17" s="18"/>
      <c r="J17" s="18"/>
      <c r="K17" s="18"/>
      <c r="L17" s="51" t="s">
        <v>28</v>
      </c>
      <c r="M17" s="21">
        <v>0.05</v>
      </c>
      <c r="N17" s="18"/>
      <c r="O17" s="18"/>
      <c r="P17" s="74"/>
      <c r="Q17" s="74"/>
      <c r="R17" s="74"/>
      <c r="S17" s="74"/>
      <c r="T17" s="74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</row>
    <row r="18" spans="1:58" s="636" customFormat="1" ht="15.8" x14ac:dyDescent="0.25">
      <c r="A18" s="710" t="s">
        <v>262</v>
      </c>
      <c r="B18" s="731" t="s">
        <v>55</v>
      </c>
      <c r="C18" s="636" t="s">
        <v>479</v>
      </c>
      <c r="D18" s="18"/>
      <c r="E18" s="18"/>
      <c r="F18" s="18"/>
      <c r="G18" s="18"/>
      <c r="H18" s="18"/>
      <c r="I18" s="18"/>
      <c r="J18" s="18"/>
      <c r="K18" s="18"/>
      <c r="L18" s="20" t="s">
        <v>24</v>
      </c>
      <c r="M18" s="21">
        <v>0.03</v>
      </c>
      <c r="N18" s="18"/>
      <c r="O18" s="18"/>
      <c r="P18" s="74"/>
      <c r="Q18" s="74"/>
      <c r="R18" s="74"/>
      <c r="S18" s="74"/>
      <c r="T18" s="74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</row>
    <row r="19" spans="1:58" s="636" customFormat="1" ht="15.8" x14ac:dyDescent="0.25">
      <c r="A19" s="710" t="s">
        <v>410</v>
      </c>
      <c r="B19" s="731" t="s">
        <v>507</v>
      </c>
      <c r="C19" s="636" t="s">
        <v>480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74"/>
      <c r="Q19" s="74"/>
      <c r="R19" s="74"/>
      <c r="S19" s="74"/>
      <c r="T19" s="74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</row>
    <row r="20" spans="1:58" s="636" customFormat="1" ht="15.8" x14ac:dyDescent="0.25">
      <c r="A20" s="710" t="s">
        <v>261</v>
      </c>
      <c r="B20" s="731" t="s">
        <v>674</v>
      </c>
      <c r="C20" s="636" t="s">
        <v>481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74"/>
      <c r="Q20" s="74"/>
      <c r="R20" s="74"/>
      <c r="S20" s="74"/>
      <c r="T20" s="74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</row>
    <row r="21" spans="1:58" s="636" customFormat="1" ht="19.7" thickBot="1" x14ac:dyDescent="0.4">
      <c r="D21" s="18"/>
      <c r="E21" s="18"/>
      <c r="F21" s="18"/>
      <c r="G21" s="18"/>
      <c r="H21" s="18"/>
      <c r="I21" s="18"/>
      <c r="J21" s="18"/>
      <c r="K21" s="135" t="s">
        <v>113</v>
      </c>
      <c r="L21" s="18"/>
      <c r="M21" s="18"/>
      <c r="N21" s="18"/>
      <c r="O21" s="18"/>
      <c r="P21" s="74"/>
      <c r="Q21" s="74"/>
      <c r="R21" s="74"/>
      <c r="S21" s="74"/>
      <c r="T21" s="74"/>
      <c r="U21" s="18"/>
      <c r="V21" s="18"/>
      <c r="W21" s="23" t="s">
        <v>111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33"/>
      <c r="AP21" s="33"/>
      <c r="AQ21" s="33"/>
      <c r="AR21" s="33"/>
      <c r="AS21" s="33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</row>
    <row r="22" spans="1:58" s="636" customFormat="1" ht="30.6" customHeight="1" thickBot="1" x14ac:dyDescent="0.4">
      <c r="A22" s="711" t="s">
        <v>400</v>
      </c>
      <c r="B22" s="653" t="str">
        <f>B13</f>
        <v>Replace incandescent light with compact fluorescent light</v>
      </c>
      <c r="C22" s="655" t="s">
        <v>51</v>
      </c>
      <c r="D22" s="107"/>
      <c r="E22" s="799" t="s">
        <v>458</v>
      </c>
      <c r="F22" s="800"/>
      <c r="G22" s="800"/>
      <c r="H22" s="800"/>
      <c r="I22" s="801"/>
      <c r="J22" s="107"/>
      <c r="K22" s="24"/>
      <c r="L22" s="52" t="str">
        <f>A22</f>
        <v>ECM 1</v>
      </c>
      <c r="M22" s="25" t="s">
        <v>246</v>
      </c>
      <c r="N22" s="25" t="s">
        <v>247</v>
      </c>
      <c r="O22" s="25" t="s">
        <v>248</v>
      </c>
      <c r="P22" s="174"/>
      <c r="Q22" s="793" t="s">
        <v>74</v>
      </c>
      <c r="R22" s="776"/>
      <c r="S22" s="776"/>
      <c r="T22" s="776"/>
      <c r="U22" s="777"/>
      <c r="V22" s="348"/>
      <c r="W22" s="28" t="s">
        <v>29</v>
      </c>
      <c r="X22" s="28">
        <v>0</v>
      </c>
      <c r="Y22" s="29">
        <v>1</v>
      </c>
      <c r="Z22" s="29">
        <v>2</v>
      </c>
      <c r="AA22" s="29">
        <v>3</v>
      </c>
      <c r="AB22" s="29"/>
      <c r="AC22" s="129"/>
      <c r="AD22" s="28">
        <v>0</v>
      </c>
      <c r="AE22" s="29">
        <v>1</v>
      </c>
      <c r="AF22" s="29">
        <v>2</v>
      </c>
      <c r="AG22" s="29">
        <v>3</v>
      </c>
      <c r="AH22" s="29"/>
      <c r="AI22" s="129"/>
      <c r="AJ22" s="129"/>
      <c r="AK22" s="129"/>
      <c r="AL22" s="129"/>
      <c r="AM22" s="129"/>
      <c r="AN22" s="129"/>
      <c r="AO22" s="30"/>
      <c r="AP22" s="30"/>
      <c r="AQ22" s="30"/>
      <c r="AR22" s="30"/>
      <c r="AS22" s="30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</row>
    <row r="23" spans="1:58" x14ac:dyDescent="0.25">
      <c r="A23" s="677" t="s">
        <v>230</v>
      </c>
      <c r="B23" s="658" t="s">
        <v>304</v>
      </c>
      <c r="C23" s="197"/>
      <c r="D23" s="74"/>
      <c r="E23" s="108"/>
      <c r="F23" s="84" t="s">
        <v>314</v>
      </c>
      <c r="G23" s="94">
        <f>'Total-Summary'!C10</f>
        <v>0</v>
      </c>
      <c r="H23" s="85" t="s">
        <v>378</v>
      </c>
      <c r="I23" s="119"/>
      <c r="J23" s="74"/>
      <c r="K23" s="31" t="s">
        <v>7</v>
      </c>
      <c r="L23" s="31" t="s">
        <v>405</v>
      </c>
      <c r="M23" s="55">
        <f>'AVG lighting impact'!B3*C24*'Lamp ratio'!E39</f>
        <v>0</v>
      </c>
      <c r="N23" s="53">
        <f>'AVG lighting impact'!C3*C24*'Lamp ratio'!E39</f>
        <v>0</v>
      </c>
      <c r="O23" s="53">
        <f>'AVG lighting impact'!D3*C24*'Lamp ratio'!E39</f>
        <v>0</v>
      </c>
      <c r="P23" s="344"/>
      <c r="Q23" s="108"/>
      <c r="R23" s="84" t="s">
        <v>314</v>
      </c>
      <c r="S23" s="536">
        <f>N25</f>
        <v>0</v>
      </c>
      <c r="T23" s="85" t="s">
        <v>378</v>
      </c>
      <c r="U23" s="119"/>
      <c r="V23" s="69"/>
      <c r="W23" s="28" t="s">
        <v>29</v>
      </c>
      <c r="X23" s="28">
        <v>2013</v>
      </c>
      <c r="Y23" s="28">
        <f>X23+1</f>
        <v>2014</v>
      </c>
      <c r="Z23" s="28">
        <f t="shared" ref="Z23:AA23" si="0">Y23+1</f>
        <v>2015</v>
      </c>
      <c r="AA23" s="28">
        <f t="shared" si="0"/>
        <v>2016</v>
      </c>
      <c r="AB23" s="28"/>
      <c r="AC23" s="69"/>
      <c r="AD23" s="28">
        <v>2013</v>
      </c>
      <c r="AE23" s="28">
        <f>AD23+1</f>
        <v>2014</v>
      </c>
      <c r="AF23" s="28">
        <f t="shared" ref="AF23" si="1">AE23+1</f>
        <v>2015</v>
      </c>
      <c r="AG23" s="28">
        <f t="shared" ref="AG23" si="2">AF23+1</f>
        <v>2016</v>
      </c>
      <c r="AH23" s="28"/>
      <c r="AI23" s="69"/>
      <c r="AJ23" s="69"/>
      <c r="AK23" s="69"/>
      <c r="AL23" s="69"/>
      <c r="AM23" s="69"/>
      <c r="AN23" s="69"/>
      <c r="AO23" s="33"/>
      <c r="AP23" s="33"/>
      <c r="AQ23" s="33"/>
      <c r="AR23" s="33"/>
      <c r="AS23" s="33"/>
    </row>
    <row r="24" spans="1:58" ht="14.95" x14ac:dyDescent="0.25">
      <c r="A24" s="747"/>
      <c r="B24" s="659" t="s">
        <v>420</v>
      </c>
      <c r="C24" s="192"/>
      <c r="D24" s="74"/>
      <c r="E24" s="100"/>
      <c r="F24" s="41" t="s">
        <v>5</v>
      </c>
      <c r="G24" s="87">
        <f>'Total-Summary'!D10</f>
        <v>0</v>
      </c>
      <c r="H24" s="79" t="s">
        <v>6</v>
      </c>
      <c r="I24" s="101"/>
      <c r="J24" s="74"/>
      <c r="K24" s="31" t="s">
        <v>8</v>
      </c>
      <c r="L24" s="31" t="s">
        <v>403</v>
      </c>
      <c r="M24" s="55">
        <f>C24*'AVG lighting impact'!B3</f>
        <v>0</v>
      </c>
      <c r="N24" s="53">
        <f>'AVG lighting impact'!C3*C24</f>
        <v>0</v>
      </c>
      <c r="O24" s="53">
        <f>C24*'AVG lighting impact'!D3</f>
        <v>0</v>
      </c>
      <c r="P24" s="344"/>
      <c r="Q24" s="100"/>
      <c r="R24" s="41" t="s">
        <v>5</v>
      </c>
      <c r="S24" s="539">
        <f>M25</f>
        <v>0</v>
      </c>
      <c r="T24" s="79" t="s">
        <v>6</v>
      </c>
      <c r="U24" s="101"/>
      <c r="V24" s="69"/>
      <c r="W24" s="70" t="s">
        <v>30</v>
      </c>
      <c r="X24" s="70"/>
      <c r="Y24" s="60">
        <f>S27</f>
        <v>0</v>
      </c>
      <c r="Z24" s="60">
        <f>Y24*(1+$M$16)</f>
        <v>0</v>
      </c>
      <c r="AA24" s="60">
        <f t="shared" ref="AA24" si="3">Z24*(1+$M$16)</f>
        <v>0</v>
      </c>
      <c r="AB24" s="60"/>
      <c r="AC24" s="259"/>
      <c r="AD24" s="70"/>
      <c r="AE24" s="60">
        <f>'Total-Summary'!H10</f>
        <v>0</v>
      </c>
      <c r="AF24" s="60">
        <f>AE24*(1+$M$16)</f>
        <v>0</v>
      </c>
      <c r="AG24" s="60">
        <f t="shared" ref="AG24" si="4">AF24*(1+$M$16)</f>
        <v>0</v>
      </c>
      <c r="AH24" s="60"/>
      <c r="AI24" s="259"/>
      <c r="AJ24" s="259"/>
      <c r="AK24" s="259"/>
      <c r="AL24" s="259"/>
      <c r="AM24" s="259"/>
      <c r="AN24" s="259"/>
      <c r="AO24" s="34"/>
      <c r="AP24" s="34"/>
      <c r="AQ24" s="34"/>
      <c r="AR24" s="34"/>
      <c r="AS24" s="34"/>
    </row>
    <row r="25" spans="1:58" ht="16.5" thickBot="1" x14ac:dyDescent="0.3">
      <c r="A25" s="747"/>
      <c r="B25" s="699" t="s">
        <v>368</v>
      </c>
      <c r="C25" s="194"/>
      <c r="D25" s="74"/>
      <c r="E25" s="104"/>
      <c r="F25" s="96" t="s">
        <v>5</v>
      </c>
      <c r="G25" s="97">
        <f>'Total-Summary'!E10</f>
        <v>0</v>
      </c>
      <c r="H25" s="33" t="s">
        <v>379</v>
      </c>
      <c r="I25" s="101"/>
      <c r="J25" s="74"/>
      <c r="K25" s="35"/>
      <c r="L25" s="35" t="s">
        <v>2</v>
      </c>
      <c r="M25" s="58">
        <f>M23-M24</f>
        <v>0</v>
      </c>
      <c r="N25" s="56">
        <f>N23-N24</f>
        <v>0</v>
      </c>
      <c r="O25" s="56">
        <f>O23-O24</f>
        <v>0</v>
      </c>
      <c r="P25" s="344"/>
      <c r="Q25" s="104"/>
      <c r="R25" s="96" t="s">
        <v>5</v>
      </c>
      <c r="S25" s="532">
        <f>IF(Benchmarking!B$20=0,0,O25)</f>
        <v>0</v>
      </c>
      <c r="T25" s="33" t="s">
        <v>379</v>
      </c>
      <c r="U25" s="101"/>
      <c r="V25" s="69"/>
      <c r="W25" s="28" t="s">
        <v>31</v>
      </c>
      <c r="X25" s="28"/>
      <c r="Y25" s="297">
        <f>IF($C$25=0,0,$M$18*C25)</f>
        <v>0</v>
      </c>
      <c r="Z25" s="297">
        <f>Y25*(1+$M14)</f>
        <v>0</v>
      </c>
      <c r="AA25" s="297">
        <f>Z25*(1+$M14)</f>
        <v>0</v>
      </c>
      <c r="AB25" s="297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34"/>
      <c r="AP25" s="34"/>
      <c r="AQ25" s="34"/>
      <c r="AR25" s="34"/>
      <c r="AS25" s="34"/>
    </row>
    <row r="26" spans="1:58" ht="15.8" thickBot="1" x14ac:dyDescent="0.3">
      <c r="A26" s="748"/>
      <c r="B26" s="663" t="s">
        <v>236</v>
      </c>
      <c r="C26" s="196"/>
      <c r="D26" s="118"/>
      <c r="E26" s="104"/>
      <c r="F26" s="114" t="s">
        <v>14</v>
      </c>
      <c r="G26" s="97">
        <f>IF('Total-Summary'!F10&lt;&gt;0,'Total-Summary'!F10,'Total-Summary'!G10)</f>
        <v>0</v>
      </c>
      <c r="H26" s="33" t="s">
        <v>48</v>
      </c>
      <c r="I26" s="95" t="str">
        <f>IF(Benchmarking!$E24&gt;0,"NA",IF(Benchmarking!$E$25&gt;0,"Propane","Fuel Oil"))</f>
        <v>Fuel Oil</v>
      </c>
      <c r="J26" s="118"/>
      <c r="Q26" s="104"/>
      <c r="R26" s="114" t="s">
        <v>14</v>
      </c>
      <c r="S26" s="532">
        <f>IF(Benchmarking!$E$24&gt;0,0,IF(AND(Benchmarking!$E$25=0,Benchmarking!$E$26=0),0,IF(Benchmarking!$E$25&gt;0,O25/0.925,O25/1.385)))</f>
        <v>0</v>
      </c>
      <c r="T26" s="33" t="s">
        <v>48</v>
      </c>
      <c r="U26" s="95" t="str">
        <f>IF(Benchmarking!E$24&gt;0,"NA",IF(Benchmarking!E$25&gt;0,"Propane","Fuel Oil"))</f>
        <v>Fuel Oil</v>
      </c>
      <c r="V26" s="33"/>
      <c r="W26" s="28" t="s">
        <v>32</v>
      </c>
      <c r="X26" s="28"/>
      <c r="Y26" s="260">
        <v>0</v>
      </c>
      <c r="Z26" s="260">
        <v>0</v>
      </c>
      <c r="AA26" s="260">
        <v>0</v>
      </c>
      <c r="AB26" s="260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40"/>
      <c r="AP26" s="40"/>
      <c r="AQ26" s="40"/>
      <c r="AR26" s="40"/>
      <c r="AS26" s="40"/>
    </row>
    <row r="27" spans="1:58" s="636" customFormat="1" ht="14.95" x14ac:dyDescent="0.25">
      <c r="A27" s="747"/>
      <c r="B27" s="659"/>
      <c r="C27" s="649"/>
      <c r="D27" s="118"/>
      <c r="E27" s="100"/>
      <c r="F27" s="89" t="s">
        <v>14</v>
      </c>
      <c r="G27" s="155">
        <f>'Total-Summary'!H10</f>
        <v>0</v>
      </c>
      <c r="H27" s="79" t="s">
        <v>15</v>
      </c>
      <c r="I27" s="101"/>
      <c r="J27" s="118"/>
      <c r="K27" s="18"/>
      <c r="L27" s="18"/>
      <c r="M27" s="18"/>
      <c r="N27" s="18"/>
      <c r="O27" s="18"/>
      <c r="P27" s="74"/>
      <c r="Q27" s="100"/>
      <c r="R27" s="89" t="s">
        <v>14</v>
      </c>
      <c r="S27" s="155">
        <f>IF(C25=0,0,S24*Benchmarking!$E$23+IF(S25&lt;0,Benchmarking!$E$24*S25,IF(Benchmarking!$B$26&gt;0,Benchmarking!E$26*S$26,Benchmarking!E$25*S$26)))</f>
        <v>0</v>
      </c>
      <c r="T27" s="79" t="s">
        <v>15</v>
      </c>
      <c r="U27" s="101"/>
      <c r="V27" s="69"/>
      <c r="W27" s="28" t="s">
        <v>33</v>
      </c>
      <c r="X27" s="43"/>
      <c r="Y27" s="61">
        <f>Y24+Y25-Y26</f>
        <v>0</v>
      </c>
      <c r="Z27" s="61">
        <f>Z24+Z25-Z26</f>
        <v>0</v>
      </c>
      <c r="AA27" s="61">
        <f>AA24+AA25-AA26</f>
        <v>0</v>
      </c>
      <c r="AB27" s="61"/>
      <c r="AC27" s="261"/>
      <c r="AD27" s="261"/>
      <c r="AE27" s="261">
        <f>AE24+Y25-Y26</f>
        <v>0</v>
      </c>
      <c r="AF27" s="261">
        <f t="shared" ref="AF27:AG27" si="5">AF24+Z25-Z26</f>
        <v>0</v>
      </c>
      <c r="AG27" s="261">
        <f t="shared" si="5"/>
        <v>0</v>
      </c>
      <c r="AH27" s="261"/>
      <c r="AI27" s="261"/>
      <c r="AJ27" s="261"/>
      <c r="AK27" s="261"/>
      <c r="AL27" s="261"/>
      <c r="AM27" s="261"/>
      <c r="AN27" s="261"/>
      <c r="AO27" s="40"/>
      <c r="AP27" s="40"/>
      <c r="AQ27" s="40"/>
      <c r="AR27" s="40"/>
      <c r="AS27" s="40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</row>
    <row r="28" spans="1:58" s="636" customFormat="1" ht="14.95" x14ac:dyDescent="0.25">
      <c r="A28" s="747"/>
      <c r="B28" s="659"/>
      <c r="C28" s="760"/>
      <c r="D28" s="118"/>
      <c r="E28" s="117"/>
      <c r="F28" s="89" t="s">
        <v>16</v>
      </c>
      <c r="G28" s="301">
        <f>IF(C25=0,0,(C25-C26)/G27)</f>
        <v>0</v>
      </c>
      <c r="H28" s="79" t="s">
        <v>17</v>
      </c>
      <c r="I28" s="120"/>
      <c r="J28" s="118"/>
      <c r="K28" s="18"/>
      <c r="L28" s="18"/>
      <c r="M28" s="18"/>
      <c r="N28" s="18"/>
      <c r="O28" s="18"/>
      <c r="P28" s="74"/>
      <c r="Q28" s="117"/>
      <c r="R28" s="89" t="s">
        <v>16</v>
      </c>
      <c r="S28" s="301">
        <f>IF(S23=0,0,(C25-C26)/S27)</f>
        <v>0</v>
      </c>
      <c r="T28" s="79" t="s">
        <v>17</v>
      </c>
      <c r="U28" s="120"/>
      <c r="V28" s="347"/>
      <c r="W28" s="240" t="s">
        <v>115</v>
      </c>
      <c r="X28" s="240"/>
      <c r="Y28" s="262">
        <f>NPV($M$15,Y27:AA27)</f>
        <v>0</v>
      </c>
      <c r="Z28" s="263"/>
      <c r="AA28" s="263"/>
      <c r="AB28" s="263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40"/>
      <c r="AP28" s="40"/>
      <c r="AQ28" s="40"/>
      <c r="AR28" s="40"/>
      <c r="AS28" s="40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</row>
    <row r="29" spans="1:58" s="636" customFormat="1" ht="15.8" thickBot="1" x14ac:dyDescent="0.3">
      <c r="A29" s="747"/>
      <c r="B29" s="659"/>
      <c r="C29" s="760"/>
      <c r="D29" s="118"/>
      <c r="E29" s="121"/>
      <c r="F29" s="90" t="s">
        <v>257</v>
      </c>
      <c r="G29" s="81">
        <f>IF($C25=0,0,IF($C26&gt;0.95*$C25,$Y29/($C25-($C26*0.95-1)-$C25*$M$17),$Y29/($C25-$C26-$C25*$M$17)))</f>
        <v>0</v>
      </c>
      <c r="H29" s="82"/>
      <c r="I29" s="122"/>
      <c r="J29" s="118"/>
      <c r="K29" s="18"/>
      <c r="L29" s="18"/>
      <c r="M29" s="18"/>
      <c r="N29" s="18"/>
      <c r="O29" s="18"/>
      <c r="P29" s="74"/>
      <c r="Q29" s="121"/>
      <c r="R29" s="90" t="s">
        <v>257</v>
      </c>
      <c r="S29" s="81">
        <f>IF($C25=0,0,IF($C26&gt;0.95*$C25,$Y28/($C25-($C26*0.95-1)-$C25*$M$17),$Y28/($C25-$C26-$C25*$M$17)))</f>
        <v>0</v>
      </c>
      <c r="T29" s="82"/>
      <c r="U29" s="122"/>
      <c r="V29" s="347"/>
      <c r="W29" s="310" t="s">
        <v>454</v>
      </c>
      <c r="X29" s="310"/>
      <c r="Y29" s="312">
        <f>NPV(M15,AE27:AG27)</f>
        <v>0</v>
      </c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40"/>
      <c r="AP29" s="40"/>
      <c r="AQ29" s="40"/>
      <c r="AR29" s="40"/>
      <c r="AS29" s="40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</row>
    <row r="30" spans="1:58" s="636" customFormat="1" ht="20.25" customHeight="1" x14ac:dyDescent="0.25">
      <c r="A30" s="747"/>
      <c r="B30" s="659"/>
      <c r="C30" s="760"/>
      <c r="D30" s="118"/>
      <c r="E30" s="33"/>
      <c r="F30" s="114"/>
      <c r="G30" s="97"/>
      <c r="H30" s="33"/>
      <c r="I30" s="33"/>
      <c r="J30" s="118"/>
      <c r="K30" s="18"/>
      <c r="L30" s="18"/>
      <c r="M30" s="18"/>
      <c r="N30" s="18"/>
      <c r="O30" s="18"/>
      <c r="P30" s="74"/>
      <c r="Q30" s="74"/>
      <c r="R30" s="74"/>
      <c r="S30" s="74"/>
      <c r="T30" s="74"/>
      <c r="U30" s="18"/>
      <c r="V30" s="18"/>
      <c r="W30" s="69"/>
      <c r="X30" s="69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40"/>
      <c r="AP30" s="40"/>
      <c r="AQ30" s="40"/>
      <c r="AR30" s="40"/>
      <c r="AS30" s="40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</row>
    <row r="31" spans="1:58" s="636" customFormat="1" ht="22.6" customHeight="1" thickBot="1" x14ac:dyDescent="0.4">
      <c r="A31" s="747"/>
      <c r="B31" s="659"/>
      <c r="C31" s="760"/>
      <c r="D31" s="118"/>
      <c r="E31" s="33"/>
      <c r="F31" s="114"/>
      <c r="G31" s="97"/>
      <c r="H31" s="33"/>
      <c r="I31" s="33"/>
      <c r="J31" s="118"/>
      <c r="K31" s="135" t="s">
        <v>113</v>
      </c>
      <c r="L31" s="18"/>
      <c r="M31" s="18"/>
      <c r="N31" s="18"/>
      <c r="O31" s="18"/>
      <c r="P31" s="74"/>
      <c r="Q31" s="74"/>
      <c r="R31" s="74"/>
      <c r="S31" s="74"/>
      <c r="T31" s="74"/>
      <c r="U31" s="18"/>
      <c r="V31" s="18"/>
      <c r="W31" s="23" t="s">
        <v>107</v>
      </c>
      <c r="X31" s="18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40"/>
      <c r="AP31" s="40"/>
      <c r="AQ31" s="40"/>
      <c r="AR31" s="40"/>
      <c r="AS31" s="40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</row>
    <row r="32" spans="1:58" s="636" customFormat="1" ht="30.75" customHeight="1" thickBot="1" x14ac:dyDescent="0.4">
      <c r="A32" s="711" t="s">
        <v>401</v>
      </c>
      <c r="B32" s="712" t="s">
        <v>655</v>
      </c>
      <c r="C32" s="655" t="s">
        <v>51</v>
      </c>
      <c r="D32" s="118"/>
      <c r="E32" s="799" t="s">
        <v>458</v>
      </c>
      <c r="F32" s="800"/>
      <c r="G32" s="800"/>
      <c r="H32" s="800"/>
      <c r="I32" s="801"/>
      <c r="J32" s="118"/>
      <c r="K32" s="24"/>
      <c r="L32" s="52" t="str">
        <f>A32</f>
        <v>ECM 2</v>
      </c>
      <c r="M32" s="25" t="s">
        <v>246</v>
      </c>
      <c r="N32" s="25" t="s">
        <v>247</v>
      </c>
      <c r="O32" s="25" t="s">
        <v>248</v>
      </c>
      <c r="P32" s="174"/>
      <c r="Q32" s="793" t="s">
        <v>74</v>
      </c>
      <c r="R32" s="794"/>
      <c r="S32" s="794"/>
      <c r="T32" s="794"/>
      <c r="U32" s="795"/>
      <c r="V32" s="18"/>
      <c r="W32" s="28" t="s">
        <v>29</v>
      </c>
      <c r="X32" s="28">
        <v>0</v>
      </c>
      <c r="Y32" s="29">
        <v>1</v>
      </c>
      <c r="Z32" s="29">
        <v>2</v>
      </c>
      <c r="AA32" s="29">
        <v>3</v>
      </c>
      <c r="AB32" s="29">
        <v>4</v>
      </c>
      <c r="AC32" s="29">
        <v>5</v>
      </c>
      <c r="AD32" s="29">
        <v>6</v>
      </c>
      <c r="AE32" s="29">
        <v>7</v>
      </c>
      <c r="AF32" s="29">
        <v>8</v>
      </c>
      <c r="AG32" s="29">
        <v>9</v>
      </c>
      <c r="AH32" s="29">
        <v>10</v>
      </c>
      <c r="AI32" s="29">
        <v>11</v>
      </c>
      <c r="AJ32" s="29">
        <v>12</v>
      </c>
      <c r="AK32" s="29">
        <v>13</v>
      </c>
      <c r="AL32" s="29">
        <v>14</v>
      </c>
      <c r="AM32" s="29">
        <v>15</v>
      </c>
      <c r="AN32" s="355"/>
      <c r="AO32" s="40"/>
      <c r="AP32" s="28">
        <v>0</v>
      </c>
      <c r="AQ32" s="29">
        <v>1</v>
      </c>
      <c r="AR32" s="29">
        <v>2</v>
      </c>
      <c r="AS32" s="29">
        <v>3</v>
      </c>
      <c r="AT32" s="29">
        <v>4</v>
      </c>
      <c r="AU32" s="29">
        <v>5</v>
      </c>
      <c r="AV32" s="29">
        <v>6</v>
      </c>
      <c r="AW32" s="29">
        <v>7</v>
      </c>
      <c r="AX32" s="29">
        <v>8</v>
      </c>
      <c r="AY32" s="29">
        <v>9</v>
      </c>
      <c r="AZ32" s="29">
        <v>10</v>
      </c>
      <c r="BA32" s="29">
        <v>11</v>
      </c>
      <c r="BB32" s="29">
        <v>12</v>
      </c>
      <c r="BC32" s="29">
        <v>13</v>
      </c>
      <c r="BD32" s="29">
        <v>14</v>
      </c>
      <c r="BE32" s="29">
        <v>15</v>
      </c>
      <c r="BF32" s="18"/>
    </row>
    <row r="33" spans="1:58" x14ac:dyDescent="0.25">
      <c r="A33" s="747" t="s">
        <v>653</v>
      </c>
      <c r="B33" s="659" t="s">
        <v>305</v>
      </c>
      <c r="C33" s="192"/>
      <c r="D33" s="118"/>
      <c r="E33" s="108"/>
      <c r="F33" s="84" t="s">
        <v>314</v>
      </c>
      <c r="G33" s="94">
        <f>'Total-Summary'!C11</f>
        <v>0</v>
      </c>
      <c r="H33" s="85" t="s">
        <v>378</v>
      </c>
      <c r="I33" s="119"/>
      <c r="J33" s="118"/>
      <c r="K33" s="31" t="s">
        <v>7</v>
      </c>
      <c r="L33" s="31" t="s">
        <v>657</v>
      </c>
      <c r="M33" s="55">
        <f>$C34*'Lamp ratio'!$E41*'AVG lighting impact'!B4+$C38*'Lamp ratio'!$E42*'AVG lighting impact'!B4</f>
        <v>0</v>
      </c>
      <c r="N33" s="54">
        <f>$C34*'Lamp ratio'!$E41*'AVG lighting impact'!C4+$C38*'Lamp ratio'!$E42*'AVG lighting impact'!C4</f>
        <v>0</v>
      </c>
      <c r="O33" s="54">
        <f>$C34*'Lamp ratio'!$E41*'AVG lighting impact'!D4+$C38*'Lamp ratio'!$E42*'AVG lighting impact'!D4</f>
        <v>0</v>
      </c>
      <c r="P33" s="344"/>
      <c r="Q33" s="108"/>
      <c r="R33" s="84" t="s">
        <v>314</v>
      </c>
      <c r="S33" s="536">
        <f>N35</f>
        <v>0</v>
      </c>
      <c r="T33" s="85" t="s">
        <v>378</v>
      </c>
      <c r="U33" s="119"/>
      <c r="W33" s="28" t="s">
        <v>29</v>
      </c>
      <c r="X33" s="28">
        <v>2013</v>
      </c>
      <c r="Y33" s="264">
        <f>X33+1</f>
        <v>2014</v>
      </c>
      <c r="Z33" s="264">
        <f t="shared" ref="Z33" si="6">Y33+1</f>
        <v>2015</v>
      </c>
      <c r="AA33" s="264">
        <f t="shared" ref="AA33" si="7">Z33+1</f>
        <v>2016</v>
      </c>
      <c r="AB33" s="264">
        <f t="shared" ref="AB33" si="8">AA33+1</f>
        <v>2017</v>
      </c>
      <c r="AC33" s="264">
        <f t="shared" ref="AC33" si="9">AB33+1</f>
        <v>2018</v>
      </c>
      <c r="AD33" s="264">
        <f t="shared" ref="AD33" si="10">AC33+1</f>
        <v>2019</v>
      </c>
      <c r="AE33" s="264">
        <f t="shared" ref="AE33" si="11">AD33+1</f>
        <v>2020</v>
      </c>
      <c r="AF33" s="264">
        <f t="shared" ref="AF33" si="12">AE33+1</f>
        <v>2021</v>
      </c>
      <c r="AG33" s="264">
        <f t="shared" ref="AG33" si="13">AF33+1</f>
        <v>2022</v>
      </c>
      <c r="AH33" s="264">
        <f t="shared" ref="AH33" si="14">AG33+1</f>
        <v>2023</v>
      </c>
      <c r="AI33" s="264">
        <f t="shared" ref="AI33" si="15">AH33+1</f>
        <v>2024</v>
      </c>
      <c r="AJ33" s="264">
        <f t="shared" ref="AJ33" si="16">AI33+1</f>
        <v>2025</v>
      </c>
      <c r="AK33" s="264">
        <f t="shared" ref="AK33" si="17">AJ33+1</f>
        <v>2026</v>
      </c>
      <c r="AL33" s="264">
        <f t="shared" ref="AL33" si="18">AK33+1</f>
        <v>2027</v>
      </c>
      <c r="AM33" s="264">
        <f t="shared" ref="AM33" si="19">AL33+1</f>
        <v>2028</v>
      </c>
      <c r="AN33" s="263"/>
      <c r="AO33" s="45"/>
      <c r="AP33" s="28">
        <v>2013</v>
      </c>
      <c r="AQ33" s="264">
        <f>AP33+1</f>
        <v>2014</v>
      </c>
      <c r="AR33" s="264">
        <f t="shared" ref="AR33" si="20">AQ33+1</f>
        <v>2015</v>
      </c>
      <c r="AS33" s="264">
        <f t="shared" ref="AS33" si="21">AR33+1</f>
        <v>2016</v>
      </c>
      <c r="AT33" s="264">
        <f t="shared" ref="AT33" si="22">AS33+1</f>
        <v>2017</v>
      </c>
      <c r="AU33" s="264">
        <f t="shared" ref="AU33" si="23">AT33+1</f>
        <v>2018</v>
      </c>
      <c r="AV33" s="264">
        <f t="shared" ref="AV33" si="24">AU33+1</f>
        <v>2019</v>
      </c>
      <c r="AW33" s="264">
        <f t="shared" ref="AW33" si="25">AV33+1</f>
        <v>2020</v>
      </c>
      <c r="AX33" s="264">
        <f t="shared" ref="AX33" si="26">AW33+1</f>
        <v>2021</v>
      </c>
      <c r="AY33" s="264">
        <f t="shared" ref="AY33" si="27">AX33+1</f>
        <v>2022</v>
      </c>
      <c r="AZ33" s="264">
        <f t="shared" ref="AZ33" si="28">AY33+1</f>
        <v>2023</v>
      </c>
      <c r="BA33" s="264">
        <f t="shared" ref="BA33" si="29">AZ33+1</f>
        <v>2024</v>
      </c>
      <c r="BB33" s="264">
        <f t="shared" ref="BB33" si="30">BA33+1</f>
        <v>2025</v>
      </c>
      <c r="BC33" s="264">
        <f t="shared" ref="BC33" si="31">BB33+1</f>
        <v>2026</v>
      </c>
      <c r="BD33" s="264">
        <f t="shared" ref="BD33" si="32">BC33+1</f>
        <v>2027</v>
      </c>
      <c r="BE33" s="264">
        <f t="shared" ref="BE33" si="33">BD33+1</f>
        <v>2028</v>
      </c>
    </row>
    <row r="34" spans="1:58" ht="14.95" x14ac:dyDescent="0.25">
      <c r="A34" s="739"/>
      <c r="B34" s="659" t="s">
        <v>421</v>
      </c>
      <c r="C34" s="192"/>
      <c r="D34" s="74"/>
      <c r="E34" s="100"/>
      <c r="F34" s="41" t="s">
        <v>5</v>
      </c>
      <c r="G34" s="87">
        <f>'Total-Summary'!D11</f>
        <v>0</v>
      </c>
      <c r="H34" s="79" t="s">
        <v>6</v>
      </c>
      <c r="I34" s="101"/>
      <c r="J34" s="74"/>
      <c r="K34" s="31" t="s">
        <v>8</v>
      </c>
      <c r="L34" s="31" t="s">
        <v>404</v>
      </c>
      <c r="M34" s="55">
        <f>$C34*'AVG lighting impact'!B4</f>
        <v>0</v>
      </c>
      <c r="N34" s="53">
        <f>$C34*'AVG lighting impact'!C4</f>
        <v>0</v>
      </c>
      <c r="O34" s="53">
        <f>$C34*'AVG lighting impact'!D4</f>
        <v>0</v>
      </c>
      <c r="P34" s="344"/>
      <c r="Q34" s="100"/>
      <c r="R34" s="41" t="s">
        <v>5</v>
      </c>
      <c r="S34" s="523">
        <f>M35</f>
        <v>0</v>
      </c>
      <c r="T34" s="79" t="s">
        <v>6</v>
      </c>
      <c r="U34" s="101"/>
      <c r="W34" s="70" t="s">
        <v>30</v>
      </c>
      <c r="X34" s="70"/>
      <c r="Y34" s="60">
        <f>S37</f>
        <v>0</v>
      </c>
      <c r="Z34" s="60">
        <f>Y34*(1+$M$16)</f>
        <v>0</v>
      </c>
      <c r="AA34" s="60">
        <f t="shared" ref="AA34" si="34">Z34*(1+$M$16)</f>
        <v>0</v>
      </c>
      <c r="AB34" s="60">
        <f t="shared" ref="AB34" si="35">AA34*(1+$M$16)</f>
        <v>0</v>
      </c>
      <c r="AC34" s="60">
        <f t="shared" ref="AC34" si="36">AB34*(1+$M$16)</f>
        <v>0</v>
      </c>
      <c r="AD34" s="60">
        <f t="shared" ref="AD34" si="37">AC34*(1+$M$16)</f>
        <v>0</v>
      </c>
      <c r="AE34" s="60">
        <f t="shared" ref="AE34" si="38">AD34*(1+$M$16)</f>
        <v>0</v>
      </c>
      <c r="AF34" s="60">
        <f t="shared" ref="AF34" si="39">AE34*(1+$M$16)</f>
        <v>0</v>
      </c>
      <c r="AG34" s="60">
        <f t="shared" ref="AG34" si="40">AF34*(1+$M$16)</f>
        <v>0</v>
      </c>
      <c r="AH34" s="60">
        <f t="shared" ref="AH34" si="41">AG34*(1+$M$16)</f>
        <v>0</v>
      </c>
      <c r="AI34" s="60">
        <f t="shared" ref="AI34" si="42">AH34*(1+$M$16)</f>
        <v>0</v>
      </c>
      <c r="AJ34" s="60">
        <f t="shared" ref="AJ34" si="43">AI34*(1+$M$16)</f>
        <v>0</v>
      </c>
      <c r="AK34" s="60">
        <f t="shared" ref="AK34" si="44">AJ34*(1+$M$16)</f>
        <v>0</v>
      </c>
      <c r="AL34" s="60">
        <f t="shared" ref="AL34" si="45">AK34*(1+$M$16)</f>
        <v>0</v>
      </c>
      <c r="AM34" s="60">
        <f t="shared" ref="AM34" si="46">AL34*(1+$M$16)</f>
        <v>0</v>
      </c>
      <c r="AN34" s="356"/>
      <c r="AO34" s="33"/>
      <c r="AP34" s="70"/>
      <c r="AQ34" s="60">
        <f>'Total-Summary'!H11</f>
        <v>0</v>
      </c>
      <c r="AR34" s="60">
        <f>AQ34*(1+$M$16)</f>
        <v>0</v>
      </c>
      <c r="AS34" s="60">
        <f t="shared" ref="AS34" si="47">AR34*(1+$M$16)</f>
        <v>0</v>
      </c>
      <c r="AT34" s="60">
        <f t="shared" ref="AT34" si="48">AS34*(1+$M$16)</f>
        <v>0</v>
      </c>
      <c r="AU34" s="60">
        <f t="shared" ref="AU34" si="49">AT34*(1+$M$16)</f>
        <v>0</v>
      </c>
      <c r="AV34" s="60">
        <f t="shared" ref="AV34" si="50">AU34*(1+$M$16)</f>
        <v>0</v>
      </c>
      <c r="AW34" s="60">
        <f t="shared" ref="AW34" si="51">AV34*(1+$M$16)</f>
        <v>0</v>
      </c>
      <c r="AX34" s="60">
        <f t="shared" ref="AX34" si="52">AW34*(1+$M$16)</f>
        <v>0</v>
      </c>
      <c r="AY34" s="60">
        <f t="shared" ref="AY34" si="53">AX34*(1+$M$16)</f>
        <v>0</v>
      </c>
      <c r="AZ34" s="60">
        <f t="shared" ref="AZ34" si="54">AY34*(1+$M$16)</f>
        <v>0</v>
      </c>
      <c r="BA34" s="60">
        <f t="shared" ref="BA34" si="55">AZ34*(1+$M$16)</f>
        <v>0</v>
      </c>
      <c r="BB34" s="60">
        <f t="shared" ref="BB34" si="56">BA34*(1+$M$16)</f>
        <v>0</v>
      </c>
      <c r="BC34" s="60">
        <f t="shared" ref="BC34" si="57">BB34*(1+$M$16)</f>
        <v>0</v>
      </c>
      <c r="BD34" s="60">
        <f t="shared" ref="BD34" si="58">BC34*(1+$M$16)</f>
        <v>0</v>
      </c>
      <c r="BE34" s="60">
        <f t="shared" ref="BE34" si="59">BD34*(1+$M$16)</f>
        <v>0</v>
      </c>
    </row>
    <row r="35" spans="1:58" ht="17" thickBot="1" x14ac:dyDescent="0.35">
      <c r="A35" s="700"/>
      <c r="B35" s="699" t="s">
        <v>368</v>
      </c>
      <c r="C35" s="194"/>
      <c r="D35" s="74"/>
      <c r="E35" s="104"/>
      <c r="F35" s="96" t="s">
        <v>5</v>
      </c>
      <c r="G35" s="97">
        <f>'Total-Summary'!E11</f>
        <v>0</v>
      </c>
      <c r="H35" s="33" t="s">
        <v>379</v>
      </c>
      <c r="I35" s="101"/>
      <c r="J35" s="74"/>
      <c r="K35" s="35"/>
      <c r="L35" s="35" t="s">
        <v>2</v>
      </c>
      <c r="M35" s="58">
        <f>M33-M34</f>
        <v>0</v>
      </c>
      <c r="N35" s="56">
        <f>N33-N34</f>
        <v>0</v>
      </c>
      <c r="O35" s="56">
        <f>O33-O34</f>
        <v>0</v>
      </c>
      <c r="P35" s="344"/>
      <c r="Q35" s="104"/>
      <c r="R35" s="96" t="s">
        <v>5</v>
      </c>
      <c r="S35" s="532">
        <f>IF(Benchmarking!B$20=0,0,O35)</f>
        <v>0</v>
      </c>
      <c r="T35" s="33" t="s">
        <v>379</v>
      </c>
      <c r="U35" s="101"/>
      <c r="W35" s="28" t="s">
        <v>31</v>
      </c>
      <c r="X35" s="28"/>
      <c r="Y35" s="265">
        <f>IF(C33=0,0,$M$18*(C35+C39))</f>
        <v>0</v>
      </c>
      <c r="Z35" s="265">
        <f t="shared" ref="Z35:AM35" si="60">Y35*(1+$M$14)</f>
        <v>0</v>
      </c>
      <c r="AA35" s="265">
        <f t="shared" si="60"/>
        <v>0</v>
      </c>
      <c r="AB35" s="265">
        <f t="shared" si="60"/>
        <v>0</v>
      </c>
      <c r="AC35" s="265">
        <f t="shared" si="60"/>
        <v>0</v>
      </c>
      <c r="AD35" s="265">
        <f t="shared" si="60"/>
        <v>0</v>
      </c>
      <c r="AE35" s="265">
        <f t="shared" si="60"/>
        <v>0</v>
      </c>
      <c r="AF35" s="265">
        <f t="shared" si="60"/>
        <v>0</v>
      </c>
      <c r="AG35" s="265">
        <f t="shared" si="60"/>
        <v>0</v>
      </c>
      <c r="AH35" s="265">
        <f t="shared" si="60"/>
        <v>0</v>
      </c>
      <c r="AI35" s="265">
        <f t="shared" si="60"/>
        <v>0</v>
      </c>
      <c r="AJ35" s="265">
        <f t="shared" si="60"/>
        <v>0</v>
      </c>
      <c r="AK35" s="265">
        <f t="shared" si="60"/>
        <v>0</v>
      </c>
      <c r="AL35" s="265">
        <f t="shared" si="60"/>
        <v>0</v>
      </c>
      <c r="AM35" s="265">
        <f t="shared" si="60"/>
        <v>0</v>
      </c>
      <c r="AN35" s="357"/>
      <c r="AO35" s="33"/>
      <c r="AP35" s="33"/>
      <c r="AQ35" s="33"/>
      <c r="AR35" s="33"/>
      <c r="AS35" s="33"/>
    </row>
    <row r="36" spans="1:58" ht="14.95" thickBot="1" x14ac:dyDescent="0.3">
      <c r="A36" s="701"/>
      <c r="B36" s="663" t="s">
        <v>236</v>
      </c>
      <c r="C36" s="196"/>
      <c r="E36" s="104"/>
      <c r="F36" s="114" t="s">
        <v>14</v>
      </c>
      <c r="G36" s="97">
        <f>IF(Benchmarking!$E$24&gt;0,0,IF(AND(Benchmarking!$E$25=0,Benchmarking!$E$26=0),0,IF(Benchmarking!$E$25&gt;0,O35/0.925,25/1.385)))</f>
        <v>0</v>
      </c>
      <c r="H36" s="33" t="s">
        <v>48</v>
      </c>
      <c r="I36" s="95" t="str">
        <f>IF(Benchmarking!$E34&gt;0,"NA",IF(Benchmarking!$E$25&gt;0,"Propane","Fuel Oil"))</f>
        <v>Fuel Oil</v>
      </c>
      <c r="J36" s="74"/>
      <c r="O36" s="42"/>
      <c r="P36" s="345"/>
      <c r="Q36" s="104"/>
      <c r="R36" s="114" t="s">
        <v>14</v>
      </c>
      <c r="S36" s="532">
        <f>IF(Benchmarking!E$24&gt;0,0,IF(Benchmarking!E$25&gt;0,O35/0.925,O35/1.385))</f>
        <v>0</v>
      </c>
      <c r="T36" s="33" t="s">
        <v>48</v>
      </c>
      <c r="U36" s="95" t="str">
        <f>IF(Benchmarking!E$24&gt;0,"NA",IF(Benchmarking!E$25&gt;0,"Propane","Fuel Oil"))</f>
        <v>Fuel Oil</v>
      </c>
      <c r="W36" s="28" t="s">
        <v>32</v>
      </c>
      <c r="X36" s="28"/>
      <c r="Y36" s="260">
        <v>0</v>
      </c>
      <c r="Z36" s="260">
        <v>0</v>
      </c>
      <c r="AA36" s="260">
        <v>0</v>
      </c>
      <c r="AB36" s="260">
        <v>0</v>
      </c>
      <c r="AC36" s="260">
        <v>0</v>
      </c>
      <c r="AD36" s="260">
        <v>0</v>
      </c>
      <c r="AE36" s="260">
        <v>0</v>
      </c>
      <c r="AF36" s="260">
        <v>0</v>
      </c>
      <c r="AG36" s="260">
        <v>0</v>
      </c>
      <c r="AH36" s="260">
        <v>0</v>
      </c>
      <c r="AI36" s="260">
        <v>0</v>
      </c>
      <c r="AJ36" s="260">
        <v>0</v>
      </c>
      <c r="AK36" s="260">
        <v>0</v>
      </c>
      <c r="AL36" s="260">
        <v>0</v>
      </c>
      <c r="AM36" s="260">
        <v>0</v>
      </c>
      <c r="AN36" s="358"/>
      <c r="AO36" s="33"/>
      <c r="AP36" s="33"/>
      <c r="AQ36" s="33"/>
      <c r="AR36" s="33"/>
      <c r="AS36" s="33"/>
    </row>
    <row r="37" spans="1:58" x14ac:dyDescent="0.25">
      <c r="A37" s="747" t="s">
        <v>654</v>
      </c>
      <c r="B37" s="659" t="s">
        <v>652</v>
      </c>
      <c r="C37" s="192"/>
      <c r="D37" s="74"/>
      <c r="E37" s="100"/>
      <c r="F37" s="89" t="s">
        <v>14</v>
      </c>
      <c r="G37" s="155">
        <f>'Total-Summary'!H11</f>
        <v>0</v>
      </c>
      <c r="H37" s="79" t="s">
        <v>15</v>
      </c>
      <c r="I37" s="101"/>
      <c r="J37" s="74"/>
      <c r="Q37" s="100"/>
      <c r="R37" s="89" t="s">
        <v>14</v>
      </c>
      <c r="S37" s="155">
        <f>IF(S34=0,0,S34*Benchmarking!E$23+IF(S35&lt;0,S35*Benchmarking!E24,IF(Benchmarking!B$26&gt;0,Benchmarking!E$26*S$36,Benchmarking!E$25*S$36)))</f>
        <v>0</v>
      </c>
      <c r="T37" s="79" t="s">
        <v>15</v>
      </c>
      <c r="U37" s="101"/>
      <c r="W37" s="28" t="s">
        <v>33</v>
      </c>
      <c r="X37" s="43"/>
      <c r="Y37" s="61">
        <f t="shared" ref="Y37:AM37" si="61">Y34+Y35-Y36</f>
        <v>0</v>
      </c>
      <c r="Z37" s="61">
        <f t="shared" si="61"/>
        <v>0</v>
      </c>
      <c r="AA37" s="61">
        <f t="shared" si="61"/>
        <v>0</v>
      </c>
      <c r="AB37" s="61">
        <f t="shared" si="61"/>
        <v>0</v>
      </c>
      <c r="AC37" s="61">
        <f t="shared" si="61"/>
        <v>0</v>
      </c>
      <c r="AD37" s="61">
        <f t="shared" si="61"/>
        <v>0</v>
      </c>
      <c r="AE37" s="61">
        <f t="shared" si="61"/>
        <v>0</v>
      </c>
      <c r="AF37" s="61">
        <f t="shared" si="61"/>
        <v>0</v>
      </c>
      <c r="AG37" s="61">
        <f t="shared" si="61"/>
        <v>0</v>
      </c>
      <c r="AH37" s="61">
        <f t="shared" si="61"/>
        <v>0</v>
      </c>
      <c r="AI37" s="61">
        <f t="shared" si="61"/>
        <v>0</v>
      </c>
      <c r="AJ37" s="61">
        <f t="shared" si="61"/>
        <v>0</v>
      </c>
      <c r="AK37" s="61">
        <f t="shared" si="61"/>
        <v>0</v>
      </c>
      <c r="AL37" s="61">
        <f t="shared" si="61"/>
        <v>0</v>
      </c>
      <c r="AM37" s="61">
        <f t="shared" si="61"/>
        <v>0</v>
      </c>
      <c r="AN37" s="359"/>
      <c r="AO37" s="33"/>
      <c r="AP37" s="33"/>
      <c r="AQ37" s="45">
        <f t="shared" ref="AQ37:BE37" si="62">AQ34+Y35-Y36</f>
        <v>0</v>
      </c>
      <c r="AR37" s="45">
        <f t="shared" si="62"/>
        <v>0</v>
      </c>
      <c r="AS37" s="45">
        <f t="shared" si="62"/>
        <v>0</v>
      </c>
      <c r="AT37" s="45">
        <f t="shared" si="62"/>
        <v>0</v>
      </c>
      <c r="AU37" s="45">
        <f t="shared" si="62"/>
        <v>0</v>
      </c>
      <c r="AV37" s="45">
        <f t="shared" si="62"/>
        <v>0</v>
      </c>
      <c r="AW37" s="45">
        <f t="shared" si="62"/>
        <v>0</v>
      </c>
      <c r="AX37" s="45">
        <f t="shared" si="62"/>
        <v>0</v>
      </c>
      <c r="AY37" s="45">
        <f t="shared" si="62"/>
        <v>0</v>
      </c>
      <c r="AZ37" s="45">
        <f t="shared" si="62"/>
        <v>0</v>
      </c>
      <c r="BA37" s="45">
        <f t="shared" si="62"/>
        <v>0</v>
      </c>
      <c r="BB37" s="45">
        <f t="shared" si="62"/>
        <v>0</v>
      </c>
      <c r="BC37" s="45">
        <f t="shared" si="62"/>
        <v>0</v>
      </c>
      <c r="BD37" s="45">
        <f t="shared" si="62"/>
        <v>0</v>
      </c>
      <c r="BE37" s="45">
        <f t="shared" si="62"/>
        <v>0</v>
      </c>
    </row>
    <row r="38" spans="1:58" x14ac:dyDescent="0.25">
      <c r="A38" s="739"/>
      <c r="B38" s="659" t="s">
        <v>421</v>
      </c>
      <c r="C38" s="192"/>
      <c r="D38" s="74"/>
      <c r="E38" s="117"/>
      <c r="F38" s="89" t="s">
        <v>16</v>
      </c>
      <c r="G38" s="301">
        <f>IF(G34=0,0,(C35-C36+C39-C40)/G37)</f>
        <v>0</v>
      </c>
      <c r="H38" s="79" t="s">
        <v>17</v>
      </c>
      <c r="I38" s="120"/>
      <c r="J38" s="74"/>
      <c r="L38" s="63"/>
      <c r="Q38" s="117"/>
      <c r="R38" s="89" t="s">
        <v>16</v>
      </c>
      <c r="S38" s="80">
        <f>IF(S33=0,0,(C35-C36+C39-C40)/S37)</f>
        <v>0</v>
      </c>
      <c r="T38" s="79" t="s">
        <v>17</v>
      </c>
      <c r="U38" s="120"/>
      <c r="W38" s="46" t="s">
        <v>115</v>
      </c>
      <c r="X38" s="46"/>
      <c r="Y38" s="47">
        <f>NPV($M$15,Y37:AM37)</f>
        <v>0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33"/>
      <c r="AP38" s="33"/>
      <c r="AQ38" s="33"/>
      <c r="AR38" s="33"/>
      <c r="AS38" s="33"/>
    </row>
    <row r="39" spans="1:58" ht="17" thickBot="1" x14ac:dyDescent="0.35">
      <c r="A39" s="700"/>
      <c r="B39" s="699" t="s">
        <v>368</v>
      </c>
      <c r="C39" s="194"/>
      <c r="D39" s="74"/>
      <c r="E39" s="121"/>
      <c r="F39" s="90" t="s">
        <v>257</v>
      </c>
      <c r="G39" s="81">
        <f>IF(($C35+C39)=0,0,IF(($C36+$C40)&gt;0.95*($C35+$C40),$Y39/($C35+$C39-(($C36+$C40)*0.95-1)-($C35+$C39)*$M$17),$Y39/($C35+$C39-$C36-C40-($C35+$C39)*$M$17)))</f>
        <v>0</v>
      </c>
      <c r="H39" s="82"/>
      <c r="I39" s="122"/>
      <c r="J39" s="74"/>
      <c r="Q39" s="121"/>
      <c r="R39" s="90" t="s">
        <v>257</v>
      </c>
      <c r="S39" s="81">
        <f>IF($C$35+C39=0,0,IF(($C$36+$C40)&gt;0.95*$C35,$Y38/($C35+$C39-(($C36+C40)*0.95-1)-($C35+$C39)*$M$17),$Y38/($C35+$C39-$C36-$C40-($C35+$C39)*$M$17)))</f>
        <v>0</v>
      </c>
      <c r="T39" s="82"/>
      <c r="U39" s="122"/>
      <c r="W39" s="310" t="s">
        <v>454</v>
      </c>
      <c r="X39" s="310"/>
      <c r="Y39" s="311">
        <f>NPV(M15,AQ37:BE37)</f>
        <v>0</v>
      </c>
      <c r="AO39" s="33"/>
      <c r="AP39" s="33"/>
      <c r="AQ39" s="33"/>
      <c r="AR39" s="33"/>
      <c r="AS39" s="33"/>
    </row>
    <row r="40" spans="1:58" ht="14.95" thickBot="1" x14ac:dyDescent="0.3">
      <c r="A40" s="701"/>
      <c r="B40" s="663" t="s">
        <v>236</v>
      </c>
      <c r="C40" s="196"/>
      <c r="D40" s="74"/>
      <c r="E40" s="74"/>
      <c r="F40" s="74"/>
      <c r="H40" s="74"/>
      <c r="I40" s="74"/>
      <c r="J40" s="74"/>
      <c r="AO40" s="33"/>
      <c r="AP40" s="33"/>
      <c r="AQ40" s="33"/>
      <c r="AR40" s="33"/>
      <c r="AS40" s="33"/>
    </row>
    <row r="41" spans="1:58" s="636" customFormat="1" ht="19.7" thickBot="1" x14ac:dyDescent="0.4">
      <c r="A41" s="668"/>
      <c r="D41" s="74"/>
      <c r="E41" s="74"/>
      <c r="F41" s="74"/>
      <c r="G41" s="18"/>
      <c r="H41" s="74"/>
      <c r="I41" s="74"/>
      <c r="J41" s="74"/>
      <c r="K41" s="135" t="s">
        <v>113</v>
      </c>
      <c r="L41" s="18"/>
      <c r="M41" s="18"/>
      <c r="N41" s="18"/>
      <c r="O41" s="18"/>
      <c r="P41" s="74"/>
      <c r="Q41" s="74"/>
      <c r="R41" s="74"/>
      <c r="S41" s="74"/>
      <c r="T41" s="74"/>
      <c r="U41" s="18"/>
      <c r="V41" s="18"/>
      <c r="W41" s="23" t="s">
        <v>467</v>
      </c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33"/>
      <c r="AP41" s="33"/>
      <c r="AQ41" s="33"/>
      <c r="AR41" s="33"/>
      <c r="AS41" s="33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</row>
    <row r="42" spans="1:58" s="636" customFormat="1" ht="30.6" customHeight="1" thickBot="1" x14ac:dyDescent="0.4">
      <c r="A42" s="711" t="s">
        <v>259</v>
      </c>
      <c r="B42" s="712" t="str">
        <f>B15</f>
        <v>Convert incandescent/CFL exit sign to LED exit sign</v>
      </c>
      <c r="C42" s="703" t="s">
        <v>51</v>
      </c>
      <c r="D42" s="110"/>
      <c r="E42" s="799" t="s">
        <v>458</v>
      </c>
      <c r="F42" s="800"/>
      <c r="G42" s="800"/>
      <c r="H42" s="800"/>
      <c r="I42" s="801"/>
      <c r="J42" s="110"/>
      <c r="K42" s="24"/>
      <c r="L42" s="52" t="str">
        <f>A42</f>
        <v>ECM 3&amp;4</v>
      </c>
      <c r="M42" s="25" t="s">
        <v>246</v>
      </c>
      <c r="N42" s="25" t="s">
        <v>247</v>
      </c>
      <c r="O42" s="25" t="s">
        <v>248</v>
      </c>
      <c r="P42" s="174"/>
      <c r="Q42" s="796" t="s">
        <v>74</v>
      </c>
      <c r="R42" s="797"/>
      <c r="S42" s="797"/>
      <c r="T42" s="797"/>
      <c r="U42" s="798"/>
      <c r="V42" s="18"/>
      <c r="W42" s="28" t="s">
        <v>29</v>
      </c>
      <c r="X42" s="28">
        <v>0</v>
      </c>
      <c r="Y42" s="29">
        <v>1</v>
      </c>
      <c r="Z42" s="29">
        <v>2</v>
      </c>
      <c r="AA42" s="29">
        <v>3</v>
      </c>
      <c r="AB42" s="29">
        <v>4</v>
      </c>
      <c r="AC42" s="29">
        <v>5</v>
      </c>
      <c r="AD42" s="29">
        <v>6</v>
      </c>
      <c r="AE42" s="29">
        <v>7</v>
      </c>
      <c r="AF42" s="29">
        <v>8</v>
      </c>
      <c r="AG42" s="29">
        <v>9</v>
      </c>
      <c r="AH42" s="29">
        <v>10</v>
      </c>
      <c r="AI42" s="29">
        <v>11</v>
      </c>
      <c r="AJ42" s="29">
        <v>12</v>
      </c>
      <c r="AK42" s="29">
        <v>13</v>
      </c>
      <c r="AL42" s="29">
        <v>14</v>
      </c>
      <c r="AM42" s="29">
        <v>15</v>
      </c>
      <c r="AN42" s="29">
        <v>16</v>
      </c>
      <c r="AO42" s="30"/>
      <c r="AP42" s="28">
        <v>0</v>
      </c>
      <c r="AQ42" s="29">
        <v>1</v>
      </c>
      <c r="AR42" s="29">
        <v>2</v>
      </c>
      <c r="AS42" s="29">
        <v>3</v>
      </c>
      <c r="AT42" s="29">
        <v>4</v>
      </c>
      <c r="AU42" s="29">
        <v>5</v>
      </c>
      <c r="AV42" s="29">
        <v>6</v>
      </c>
      <c r="AW42" s="29">
        <v>7</v>
      </c>
      <c r="AX42" s="29">
        <v>8</v>
      </c>
      <c r="AY42" s="29">
        <v>9</v>
      </c>
      <c r="AZ42" s="29">
        <v>10</v>
      </c>
      <c r="BA42" s="29">
        <v>11</v>
      </c>
      <c r="BB42" s="29">
        <v>12</v>
      </c>
      <c r="BC42" s="29">
        <v>13</v>
      </c>
      <c r="BD42" s="29">
        <v>14</v>
      </c>
      <c r="BE42" s="29">
        <v>15</v>
      </c>
      <c r="BF42" s="29">
        <v>16</v>
      </c>
    </row>
    <row r="43" spans="1:58" x14ac:dyDescent="0.25">
      <c r="A43" s="747" t="s">
        <v>231</v>
      </c>
      <c r="B43" s="659" t="s">
        <v>422</v>
      </c>
      <c r="C43" s="197"/>
      <c r="D43" s="74"/>
      <c r="E43" s="108"/>
      <c r="F43" s="84" t="s">
        <v>314</v>
      </c>
      <c r="G43" s="94">
        <f>'Total-Summary'!C12</f>
        <v>0</v>
      </c>
      <c r="H43" s="85" t="s">
        <v>378</v>
      </c>
      <c r="I43" s="119"/>
      <c r="J43" s="74"/>
      <c r="K43" s="31" t="s">
        <v>7</v>
      </c>
      <c r="L43" s="31" t="s">
        <v>659</v>
      </c>
      <c r="M43" s="55">
        <f>$C$44*'AVG lighting impact'!B5*'Lamp ratio'!E40+Lighting!$C$48*'AVG lighting impact'!B5*'Lamp ratio'!E43</f>
        <v>0</v>
      </c>
      <c r="N43" s="154">
        <f>C$44*'AVG lighting impact'!C5*'Lamp ratio'!E40+C$48*'AVG lighting impact'!C5*'Lamp ratio'!E43</f>
        <v>0</v>
      </c>
      <c r="O43" s="54">
        <f>-M43*3413/100000</f>
        <v>0</v>
      </c>
      <c r="P43" s="175"/>
      <c r="Q43" s="108"/>
      <c r="R43" s="84" t="s">
        <v>314</v>
      </c>
      <c r="S43" s="536">
        <f>N45</f>
        <v>0</v>
      </c>
      <c r="T43" s="85" t="s">
        <v>378</v>
      </c>
      <c r="U43" s="119"/>
      <c r="W43" s="28" t="s">
        <v>29</v>
      </c>
      <c r="X43" s="28">
        <v>2013</v>
      </c>
      <c r="Y43" s="28">
        <f>X43+1</f>
        <v>2014</v>
      </c>
      <c r="Z43" s="28">
        <f t="shared" ref="Z43:AN43" si="63">Y43+1</f>
        <v>2015</v>
      </c>
      <c r="AA43" s="28">
        <f t="shared" si="63"/>
        <v>2016</v>
      </c>
      <c r="AB43" s="28">
        <f t="shared" si="63"/>
        <v>2017</v>
      </c>
      <c r="AC43" s="28">
        <f t="shared" si="63"/>
        <v>2018</v>
      </c>
      <c r="AD43" s="28">
        <f t="shared" si="63"/>
        <v>2019</v>
      </c>
      <c r="AE43" s="28">
        <f t="shared" si="63"/>
        <v>2020</v>
      </c>
      <c r="AF43" s="28">
        <f t="shared" si="63"/>
        <v>2021</v>
      </c>
      <c r="AG43" s="28">
        <f t="shared" si="63"/>
        <v>2022</v>
      </c>
      <c r="AH43" s="28">
        <f t="shared" si="63"/>
        <v>2023</v>
      </c>
      <c r="AI43" s="28">
        <f t="shared" si="63"/>
        <v>2024</v>
      </c>
      <c r="AJ43" s="28">
        <f t="shared" si="63"/>
        <v>2025</v>
      </c>
      <c r="AK43" s="28">
        <f t="shared" si="63"/>
        <v>2026</v>
      </c>
      <c r="AL43" s="28">
        <f t="shared" si="63"/>
        <v>2027</v>
      </c>
      <c r="AM43" s="28">
        <f t="shared" si="63"/>
        <v>2028</v>
      </c>
      <c r="AN43" s="28">
        <f t="shared" si="63"/>
        <v>2029</v>
      </c>
      <c r="AO43" s="33"/>
      <c r="AP43" s="28">
        <v>2013</v>
      </c>
      <c r="AQ43" s="28">
        <f>AP43+1</f>
        <v>2014</v>
      </c>
      <c r="AR43" s="28">
        <f t="shared" ref="AR43" si="64">AQ43+1</f>
        <v>2015</v>
      </c>
      <c r="AS43" s="28">
        <f t="shared" ref="AS43" si="65">AR43+1</f>
        <v>2016</v>
      </c>
      <c r="AT43" s="28">
        <f t="shared" ref="AT43" si="66">AS43+1</f>
        <v>2017</v>
      </c>
      <c r="AU43" s="28">
        <f t="shared" ref="AU43" si="67">AT43+1</f>
        <v>2018</v>
      </c>
      <c r="AV43" s="28">
        <f t="shared" ref="AV43" si="68">AU43+1</f>
        <v>2019</v>
      </c>
      <c r="AW43" s="28">
        <f t="shared" ref="AW43" si="69">AV43+1</f>
        <v>2020</v>
      </c>
      <c r="AX43" s="28">
        <f t="shared" ref="AX43" si="70">AW43+1</f>
        <v>2021</v>
      </c>
      <c r="AY43" s="28">
        <f t="shared" ref="AY43" si="71">AX43+1</f>
        <v>2022</v>
      </c>
      <c r="AZ43" s="28">
        <f t="shared" ref="AZ43" si="72">AY43+1</f>
        <v>2023</v>
      </c>
      <c r="BA43" s="28">
        <f t="shared" ref="BA43" si="73">AZ43+1</f>
        <v>2024</v>
      </c>
      <c r="BB43" s="28">
        <f t="shared" ref="BB43" si="74">BA43+1</f>
        <v>2025</v>
      </c>
      <c r="BC43" s="28">
        <f t="shared" ref="BC43" si="75">BB43+1</f>
        <v>2026</v>
      </c>
      <c r="BD43" s="28">
        <f t="shared" ref="BD43" si="76">BC43+1</f>
        <v>2027</v>
      </c>
      <c r="BE43" s="28">
        <f t="shared" ref="BE43:BF43" si="77">BD43+1</f>
        <v>2028</v>
      </c>
      <c r="BF43" s="28">
        <f t="shared" si="77"/>
        <v>2029</v>
      </c>
    </row>
    <row r="44" spans="1:58" x14ac:dyDescent="0.25">
      <c r="A44" s="747"/>
      <c r="B44" s="659" t="s">
        <v>448</v>
      </c>
      <c r="C44" s="341"/>
      <c r="D44" s="118"/>
      <c r="E44" s="117"/>
      <c r="F44" s="41" t="s">
        <v>5</v>
      </c>
      <c r="G44" s="92">
        <f>'Total-Summary'!D12</f>
        <v>0</v>
      </c>
      <c r="H44" s="79" t="s">
        <v>6</v>
      </c>
      <c r="I44" s="120"/>
      <c r="J44" s="118"/>
      <c r="K44" s="31" t="s">
        <v>8</v>
      </c>
      <c r="L44" s="31" t="s">
        <v>233</v>
      </c>
      <c r="M44" s="55">
        <f>C44*'AVG lighting impact'!B5+Lighting!C48*'AVG lighting impact'!B5</f>
        <v>0</v>
      </c>
      <c r="N44" s="154">
        <f>C44*'AVG lighting impact'!C5+Lighting!C48*'AVG lighting impact'!C5</f>
        <v>0</v>
      </c>
      <c r="O44" s="54">
        <f>-M44*3413/100000</f>
        <v>0</v>
      </c>
      <c r="P44" s="175"/>
      <c r="Q44" s="117"/>
      <c r="R44" s="41" t="s">
        <v>5</v>
      </c>
      <c r="S44" s="523">
        <f>M45</f>
        <v>0</v>
      </c>
      <c r="T44" s="79" t="s">
        <v>6</v>
      </c>
      <c r="U44" s="120"/>
      <c r="W44" s="70" t="s">
        <v>30</v>
      </c>
      <c r="X44" s="70"/>
      <c r="Y44" s="70">
        <f>S47</f>
        <v>0</v>
      </c>
      <c r="Z44" s="70">
        <f>Y44*(1+$M$16)</f>
        <v>0</v>
      </c>
      <c r="AA44" s="70">
        <f t="shared" ref="AA44:AN44" si="78">Z44*(1+$M$16)</f>
        <v>0</v>
      </c>
      <c r="AB44" s="70">
        <f t="shared" si="78"/>
        <v>0</v>
      </c>
      <c r="AC44" s="70">
        <f t="shared" si="78"/>
        <v>0</v>
      </c>
      <c r="AD44" s="70">
        <f t="shared" si="78"/>
        <v>0</v>
      </c>
      <c r="AE44" s="70">
        <f t="shared" si="78"/>
        <v>0</v>
      </c>
      <c r="AF44" s="70">
        <f t="shared" si="78"/>
        <v>0</v>
      </c>
      <c r="AG44" s="70">
        <f t="shared" si="78"/>
        <v>0</v>
      </c>
      <c r="AH44" s="70">
        <f t="shared" si="78"/>
        <v>0</v>
      </c>
      <c r="AI44" s="70">
        <f t="shared" si="78"/>
        <v>0</v>
      </c>
      <c r="AJ44" s="70">
        <f t="shared" si="78"/>
        <v>0</v>
      </c>
      <c r="AK44" s="70">
        <f t="shared" si="78"/>
        <v>0</v>
      </c>
      <c r="AL44" s="70">
        <f t="shared" si="78"/>
        <v>0</v>
      </c>
      <c r="AM44" s="70">
        <f t="shared" si="78"/>
        <v>0</v>
      </c>
      <c r="AN44" s="70">
        <f t="shared" si="78"/>
        <v>0</v>
      </c>
      <c r="AO44" s="34"/>
      <c r="AP44" s="70"/>
      <c r="AQ44" s="70">
        <f>'Total-Summary'!H12</f>
        <v>0</v>
      </c>
      <c r="AR44" s="70">
        <f>AQ44*(1+$M$16)</f>
        <v>0</v>
      </c>
      <c r="AS44" s="70">
        <f t="shared" ref="AS44" si="79">AR44*(1+$M$16)</f>
        <v>0</v>
      </c>
      <c r="AT44" s="70">
        <f t="shared" ref="AT44" si="80">AS44*(1+$M$16)</f>
        <v>0</v>
      </c>
      <c r="AU44" s="70">
        <f t="shared" ref="AU44" si="81">AT44*(1+$M$16)</f>
        <v>0</v>
      </c>
      <c r="AV44" s="70">
        <f t="shared" ref="AV44" si="82">AU44*(1+$M$16)</f>
        <v>0</v>
      </c>
      <c r="AW44" s="70">
        <f t="shared" ref="AW44" si="83">AV44*(1+$M$16)</f>
        <v>0</v>
      </c>
      <c r="AX44" s="70">
        <f t="shared" ref="AX44" si="84">AW44*(1+$M$16)</f>
        <v>0</v>
      </c>
      <c r="AY44" s="70">
        <f t="shared" ref="AY44" si="85">AX44*(1+$M$16)</f>
        <v>0</v>
      </c>
      <c r="AZ44" s="70">
        <f t="shared" ref="AZ44" si="86">AY44*(1+$M$16)</f>
        <v>0</v>
      </c>
      <c r="BA44" s="70">
        <f t="shared" ref="BA44" si="87">AZ44*(1+$M$16)</f>
        <v>0</v>
      </c>
      <c r="BB44" s="70">
        <f t="shared" ref="BB44" si="88">BA44*(1+$M$16)</f>
        <v>0</v>
      </c>
      <c r="BC44" s="70">
        <f t="shared" ref="BC44" si="89">BB44*(1+$M$16)</f>
        <v>0</v>
      </c>
      <c r="BD44" s="70">
        <f t="shared" ref="BD44" si="90">BC44*(1+$M$16)</f>
        <v>0</v>
      </c>
      <c r="BE44" s="70">
        <f t="shared" ref="BE44:BF44" si="91">BD44*(1+$M$16)</f>
        <v>0</v>
      </c>
      <c r="BF44" s="70">
        <f t="shared" si="91"/>
        <v>0</v>
      </c>
    </row>
    <row r="45" spans="1:58" ht="17" thickBot="1" x14ac:dyDescent="0.35">
      <c r="A45" s="747"/>
      <c r="B45" s="699" t="s">
        <v>368</v>
      </c>
      <c r="C45" s="192"/>
      <c r="D45" s="74"/>
      <c r="E45" s="104"/>
      <c r="F45" s="96" t="s">
        <v>5</v>
      </c>
      <c r="G45" s="97">
        <f>'Total-Summary'!E12</f>
        <v>0</v>
      </c>
      <c r="H45" s="33" t="s">
        <v>379</v>
      </c>
      <c r="I45" s="101"/>
      <c r="J45" s="74"/>
      <c r="K45" s="35"/>
      <c r="L45" s="35" t="s">
        <v>2</v>
      </c>
      <c r="M45" s="58">
        <f>M43-M44</f>
        <v>0</v>
      </c>
      <c r="N45" s="153">
        <f>N43-N44</f>
        <v>0</v>
      </c>
      <c r="O45" s="54">
        <f>-M45*3413/100000</f>
        <v>0</v>
      </c>
      <c r="P45" s="175"/>
      <c r="Q45" s="104"/>
      <c r="R45" s="96" t="s">
        <v>5</v>
      </c>
      <c r="S45" s="532">
        <f>IF(Benchmarking!B$20=0,0,O45)</f>
        <v>0</v>
      </c>
      <c r="T45" s="33" t="s">
        <v>379</v>
      </c>
      <c r="U45" s="101"/>
      <c r="W45" s="28" t="s">
        <v>31</v>
      </c>
      <c r="X45" s="28"/>
      <c r="Y45" s="64">
        <f>IF(AND(C43=0,C47=0),0,IF(AND(C43&gt;0,C47=0),$M$18*C45,IF(AND(C47&gt;0,C43=0),$M$18*C49,$M$18*(C45+C49))))</f>
        <v>0</v>
      </c>
      <c r="Z45" s="70">
        <f t="shared" ref="Z45:AN45" si="92">Y45*(1+$M$14)</f>
        <v>0</v>
      </c>
      <c r="AA45" s="64">
        <f t="shared" si="92"/>
        <v>0</v>
      </c>
      <c r="AB45" s="70">
        <f t="shared" si="92"/>
        <v>0</v>
      </c>
      <c r="AC45" s="70">
        <f t="shared" si="92"/>
        <v>0</v>
      </c>
      <c r="AD45" s="70">
        <f t="shared" si="92"/>
        <v>0</v>
      </c>
      <c r="AE45" s="64">
        <f t="shared" si="92"/>
        <v>0</v>
      </c>
      <c r="AF45" s="70">
        <f t="shared" si="92"/>
        <v>0</v>
      </c>
      <c r="AG45" s="70">
        <f t="shared" si="92"/>
        <v>0</v>
      </c>
      <c r="AH45" s="70">
        <f t="shared" si="92"/>
        <v>0</v>
      </c>
      <c r="AI45" s="64">
        <f t="shared" si="92"/>
        <v>0</v>
      </c>
      <c r="AJ45" s="70">
        <f t="shared" si="92"/>
        <v>0</v>
      </c>
      <c r="AK45" s="70">
        <f t="shared" si="92"/>
        <v>0</v>
      </c>
      <c r="AL45" s="70">
        <f t="shared" si="92"/>
        <v>0</v>
      </c>
      <c r="AM45" s="70">
        <f t="shared" si="92"/>
        <v>0</v>
      </c>
      <c r="AN45" s="70">
        <f t="shared" si="92"/>
        <v>0</v>
      </c>
      <c r="AO45" s="34"/>
      <c r="AP45" s="34"/>
      <c r="AQ45" s="34"/>
      <c r="AR45" s="34"/>
      <c r="AS45" s="34"/>
    </row>
    <row r="46" spans="1:58" ht="14.95" thickBot="1" x14ac:dyDescent="0.3">
      <c r="A46" s="749"/>
      <c r="B46" s="750" t="s">
        <v>236</v>
      </c>
      <c r="C46" s="193"/>
      <c r="D46" s="74"/>
      <c r="E46" s="104"/>
      <c r="F46" s="114" t="s">
        <v>14</v>
      </c>
      <c r="G46" s="97">
        <f>IF('Total-Summary'!F12&lt;&gt;0,'Total-Summary'!F12,'Total-Summary'!G12)</f>
        <v>0</v>
      </c>
      <c r="H46" s="33" t="s">
        <v>48</v>
      </c>
      <c r="I46" s="95" t="str">
        <f>IF(Benchmarking!$E44&gt;0,"NA",IF(Benchmarking!$E$25&gt;0,"Propane","Fuel Oil"))</f>
        <v>Fuel Oil</v>
      </c>
      <c r="J46" s="74"/>
      <c r="Q46" s="104"/>
      <c r="R46" s="114" t="s">
        <v>14</v>
      </c>
      <c r="S46" s="532">
        <f>IF(Benchmarking!E$24&gt;0,0,IF(Benchmarking!E$25&gt;0,O45/0.925,O45/1.385))</f>
        <v>0</v>
      </c>
      <c r="T46" s="33" t="s">
        <v>48</v>
      </c>
      <c r="U46" s="95" t="str">
        <f>IF(Benchmarking!E$24&gt;0,"NA",IF(Benchmarking!E$25&gt;0,"Propane","Fuel Oil"))</f>
        <v>Fuel Oil</v>
      </c>
      <c r="W46" s="28" t="s">
        <v>32</v>
      </c>
      <c r="X46" s="28"/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1</v>
      </c>
      <c r="AO46" s="40"/>
      <c r="AP46" s="40"/>
      <c r="AQ46" s="40"/>
      <c r="AR46" s="40"/>
      <c r="AS46" s="40"/>
    </row>
    <row r="47" spans="1:58" ht="14.95" thickTop="1" x14ac:dyDescent="0.25">
      <c r="A47" s="747" t="s">
        <v>232</v>
      </c>
      <c r="B47" s="659" t="s">
        <v>303</v>
      </c>
      <c r="C47" s="192"/>
      <c r="D47" s="74"/>
      <c r="E47" s="100"/>
      <c r="F47" s="89" t="s">
        <v>14</v>
      </c>
      <c r="G47" s="155">
        <f>'Total-Summary'!H12</f>
        <v>0</v>
      </c>
      <c r="H47" s="79" t="s">
        <v>15</v>
      </c>
      <c r="I47" s="101"/>
      <c r="J47" s="74"/>
      <c r="L47" s="209"/>
      <c r="M47" s="208"/>
      <c r="N47" s="74"/>
      <c r="O47" s="42"/>
      <c r="P47" s="345"/>
      <c r="Q47" s="100"/>
      <c r="R47" s="89" t="s">
        <v>14</v>
      </c>
      <c r="S47" s="155">
        <f>IF(S44=0,0,IF(S44*Benchmarking!E$23&lt;S46*-Benchmarking!E$25,0.1,S44*Benchmarking!E$23+Benchmarking!E$24*S45+IF(Benchmarking!B$26&gt;0,Benchmarking!E$26*S46,Benchmarking!E$25*S46)))</f>
        <v>0</v>
      </c>
      <c r="T47" s="79" t="s">
        <v>15</v>
      </c>
      <c r="U47" s="101"/>
      <c r="W47" s="28" t="s">
        <v>33</v>
      </c>
      <c r="X47" s="43"/>
      <c r="Y47" s="44">
        <f t="shared" ref="Y47:AM47" si="93">Y44+Y45-Y46</f>
        <v>0</v>
      </c>
      <c r="Z47" s="44">
        <f t="shared" si="93"/>
        <v>0</v>
      </c>
      <c r="AA47" s="44">
        <f t="shared" si="93"/>
        <v>0</v>
      </c>
      <c r="AB47" s="44">
        <f t="shared" si="93"/>
        <v>0</v>
      </c>
      <c r="AC47" s="44">
        <f t="shared" si="93"/>
        <v>0</v>
      </c>
      <c r="AD47" s="44">
        <f t="shared" si="93"/>
        <v>0</v>
      </c>
      <c r="AE47" s="44">
        <f t="shared" si="93"/>
        <v>0</v>
      </c>
      <c r="AF47" s="44">
        <f t="shared" si="93"/>
        <v>0</v>
      </c>
      <c r="AG47" s="44">
        <f t="shared" si="93"/>
        <v>0</v>
      </c>
      <c r="AH47" s="44">
        <f t="shared" si="93"/>
        <v>0</v>
      </c>
      <c r="AI47" s="44">
        <f t="shared" si="93"/>
        <v>0</v>
      </c>
      <c r="AJ47" s="44">
        <f t="shared" si="93"/>
        <v>0</v>
      </c>
      <c r="AK47" s="44">
        <f t="shared" si="93"/>
        <v>0</v>
      </c>
      <c r="AL47" s="44">
        <f t="shared" si="93"/>
        <v>0</v>
      </c>
      <c r="AM47" s="44">
        <f t="shared" si="93"/>
        <v>0</v>
      </c>
      <c r="AN47" s="44">
        <f t="shared" ref="AN47" si="94">AN44+AN45-AN46</f>
        <v>-1</v>
      </c>
      <c r="AO47" s="45"/>
      <c r="AP47" s="45"/>
      <c r="AQ47" s="45">
        <f>AQ44+Y45-Y46</f>
        <v>0</v>
      </c>
      <c r="AR47" s="45">
        <f t="shared" ref="AR47:BF47" si="95">AR44+Z45-Z46</f>
        <v>0</v>
      </c>
      <c r="AS47" s="45">
        <f t="shared" si="95"/>
        <v>0</v>
      </c>
      <c r="AT47" s="45">
        <f t="shared" si="95"/>
        <v>0</v>
      </c>
      <c r="AU47" s="45">
        <f t="shared" si="95"/>
        <v>0</v>
      </c>
      <c r="AV47" s="45">
        <f t="shared" si="95"/>
        <v>0</v>
      </c>
      <c r="AW47" s="45">
        <f t="shared" si="95"/>
        <v>0</v>
      </c>
      <c r="AX47" s="45">
        <f t="shared" si="95"/>
        <v>0</v>
      </c>
      <c r="AY47" s="45">
        <f t="shared" si="95"/>
        <v>0</v>
      </c>
      <c r="AZ47" s="45">
        <f t="shared" si="95"/>
        <v>0</v>
      </c>
      <c r="BA47" s="45">
        <f t="shared" si="95"/>
        <v>0</v>
      </c>
      <c r="BB47" s="45">
        <f t="shared" si="95"/>
        <v>0</v>
      </c>
      <c r="BC47" s="45">
        <f t="shared" si="95"/>
        <v>0</v>
      </c>
      <c r="BD47" s="45">
        <f t="shared" si="95"/>
        <v>0</v>
      </c>
      <c r="BE47" s="45">
        <f t="shared" si="95"/>
        <v>0</v>
      </c>
      <c r="BF47" s="45">
        <f t="shared" si="95"/>
        <v>-1</v>
      </c>
    </row>
    <row r="48" spans="1:58" x14ac:dyDescent="0.25">
      <c r="A48" s="700"/>
      <c r="B48" s="659" t="s">
        <v>447</v>
      </c>
      <c r="C48" s="192"/>
      <c r="E48" s="100"/>
      <c r="F48" s="89" t="s">
        <v>16</v>
      </c>
      <c r="G48" s="301">
        <f>IF(C45+C49=0,0,(C45-C46+C49-C50)/G47)</f>
        <v>0</v>
      </c>
      <c r="H48" s="79" t="s">
        <v>17</v>
      </c>
      <c r="I48" s="101"/>
      <c r="J48" s="106"/>
      <c r="O48" s="42"/>
      <c r="P48" s="345"/>
      <c r="Q48" s="100"/>
      <c r="R48" s="89" t="s">
        <v>16</v>
      </c>
      <c r="S48" s="80">
        <f>IF(C43+C47=0,0,(C45+C49-C46-C50)/S47)</f>
        <v>0</v>
      </c>
      <c r="T48" s="79" t="s">
        <v>17</v>
      </c>
      <c r="U48" s="101"/>
      <c r="W48" s="46" t="s">
        <v>115</v>
      </c>
      <c r="X48" s="46"/>
      <c r="Y48" s="47">
        <f>NPV($M$15,Y47:AN47)</f>
        <v>-0.45811152199139998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33"/>
      <c r="AP48" s="33"/>
      <c r="AQ48" s="33"/>
      <c r="AR48" s="33"/>
      <c r="AS48" s="33"/>
    </row>
    <row r="49" spans="1:58" ht="17" thickBot="1" x14ac:dyDescent="0.35">
      <c r="A49" s="700"/>
      <c r="B49" s="699" t="s">
        <v>368</v>
      </c>
      <c r="C49" s="626"/>
      <c r="D49" s="74"/>
      <c r="E49" s="109"/>
      <c r="F49" s="90" t="s">
        <v>257</v>
      </c>
      <c r="G49" s="81">
        <f>IF($C45+$C49=0,0,IF(($C46+$C50)&gt;0.95*($C45+$C49),$Y49/($C45+$C49-(($C46+$C50)*0.95-1)-($C45+$C49)*$M$17),$Y49/($C45+$C49-$C46-$C50-($C45+$C49)*$M$17)))</f>
        <v>0</v>
      </c>
      <c r="H49" s="82"/>
      <c r="I49" s="123"/>
      <c r="J49" s="74"/>
      <c r="O49" s="42"/>
      <c r="P49" s="345"/>
      <c r="Q49" s="109"/>
      <c r="R49" s="90" t="s">
        <v>257</v>
      </c>
      <c r="S49" s="81">
        <f>IF($C45+$C49=0,0,IF(($C46+$C50)&gt;0.95*($C45+$C49),$Y48/($C45+$C49-(($C46+$C50)*0.95-1)-($C45+$C49)*$M$17),$Y48/($C45+$C49-$C46-$C50-($C45+$C49)*$M$17)))</f>
        <v>0</v>
      </c>
      <c r="T49" s="82"/>
      <c r="U49" s="123"/>
      <c r="W49" s="310" t="s">
        <v>454</v>
      </c>
      <c r="X49" s="310"/>
      <c r="Y49" s="311">
        <f>NPV(M15,AQ47:BF47)</f>
        <v>-0.45811152199139998</v>
      </c>
      <c r="AO49" s="33"/>
      <c r="AP49" s="33"/>
      <c r="AQ49" s="33"/>
      <c r="AR49" s="33"/>
      <c r="AS49" s="33"/>
    </row>
    <row r="50" spans="1:58" ht="14.95" thickBot="1" x14ac:dyDescent="0.3">
      <c r="A50" s="701"/>
      <c r="B50" s="663" t="s">
        <v>236</v>
      </c>
      <c r="C50" s="196"/>
      <c r="D50" s="74"/>
      <c r="F50" s="74"/>
      <c r="G50" s="74"/>
      <c r="H50" s="74"/>
      <c r="I50" s="74"/>
      <c r="J50" s="74"/>
      <c r="O50" s="42"/>
      <c r="P50" s="345"/>
      <c r="Q50" s="345"/>
      <c r="R50" s="345"/>
      <c r="S50" s="345"/>
      <c r="T50" s="345"/>
      <c r="AO50" s="33"/>
      <c r="AP50" s="33"/>
      <c r="AQ50" s="33"/>
      <c r="AR50" s="33"/>
      <c r="AS50" s="33"/>
    </row>
    <row r="51" spans="1:58" s="636" customFormat="1" x14ac:dyDescent="0.25">
      <c r="A51" s="66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74"/>
      <c r="Q51" s="74"/>
      <c r="R51" s="74"/>
      <c r="S51" s="74"/>
      <c r="T51" s="74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33"/>
      <c r="AP51" s="33"/>
      <c r="AQ51" s="33"/>
      <c r="AR51" s="33"/>
      <c r="AS51" s="33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</row>
    <row r="52" spans="1:58" s="636" customFormat="1" x14ac:dyDescent="0.25">
      <c r="A52" s="668"/>
      <c r="D52" s="18"/>
      <c r="E52" s="18"/>
      <c r="F52" s="191"/>
      <c r="G52" s="191"/>
      <c r="H52" s="191"/>
      <c r="I52" s="18"/>
      <c r="J52" s="18"/>
      <c r="K52" s="18"/>
      <c r="L52" s="48"/>
      <c r="M52" s="49"/>
      <c r="N52" s="18"/>
      <c r="O52" s="18"/>
      <c r="P52" s="74"/>
      <c r="Q52" s="74"/>
      <c r="R52" s="74"/>
      <c r="S52" s="74"/>
      <c r="T52" s="74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33"/>
      <c r="AP52" s="33"/>
      <c r="AQ52" s="33"/>
      <c r="AR52" s="33"/>
      <c r="AS52" s="33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</row>
    <row r="53" spans="1:58" s="636" customFormat="1" ht="19.7" thickBot="1" x14ac:dyDescent="0.4">
      <c r="A53" s="668"/>
      <c r="D53" s="18"/>
      <c r="E53" s="18"/>
      <c r="F53" s="191"/>
      <c r="G53" s="18"/>
      <c r="H53" s="191"/>
      <c r="I53" s="18"/>
      <c r="J53" s="18"/>
      <c r="K53" s="135" t="s">
        <v>113</v>
      </c>
      <c r="L53" s="18"/>
      <c r="M53" s="18"/>
      <c r="N53" s="18"/>
      <c r="O53" s="18"/>
      <c r="P53" s="74"/>
      <c r="Q53" s="74"/>
      <c r="R53" s="74"/>
      <c r="S53" s="74"/>
      <c r="T53" s="74"/>
      <c r="U53" s="18"/>
      <c r="V53" s="18"/>
      <c r="W53" s="23" t="s">
        <v>107</v>
      </c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33"/>
      <c r="AP53" s="33"/>
      <c r="AQ53" s="33"/>
      <c r="AR53" s="33"/>
      <c r="AS53" s="33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</row>
    <row r="54" spans="1:58" s="636" customFormat="1" ht="30.6" customHeight="1" thickBot="1" x14ac:dyDescent="0.4">
      <c r="A54" s="751" t="s">
        <v>260</v>
      </c>
      <c r="B54" s="712" t="str">
        <f>B16</f>
        <v>Convert T12 fluorescent to T8 with electronic ballast or LED lamps</v>
      </c>
      <c r="C54" s="655" t="s">
        <v>51</v>
      </c>
      <c r="D54" s="18"/>
      <c r="E54" s="799" t="s">
        <v>458</v>
      </c>
      <c r="F54" s="800"/>
      <c r="G54" s="800"/>
      <c r="H54" s="800"/>
      <c r="I54" s="801"/>
      <c r="J54" s="18"/>
      <c r="K54" s="24"/>
      <c r="L54" s="52" t="str">
        <f>A54</f>
        <v>ECM 5&amp;6</v>
      </c>
      <c r="M54" s="25" t="s">
        <v>246</v>
      </c>
      <c r="N54" s="25" t="s">
        <v>247</v>
      </c>
      <c r="O54" s="398" t="s">
        <v>248</v>
      </c>
      <c r="P54" s="174"/>
      <c r="Q54" s="793" t="s">
        <v>74</v>
      </c>
      <c r="R54" s="794"/>
      <c r="S54" s="794"/>
      <c r="T54" s="794"/>
      <c r="U54" s="795"/>
      <c r="V54" s="18"/>
      <c r="W54" s="28" t="s">
        <v>29</v>
      </c>
      <c r="X54" s="28">
        <v>0</v>
      </c>
      <c r="Y54" s="29">
        <v>1</v>
      </c>
      <c r="Z54" s="29">
        <v>2</v>
      </c>
      <c r="AA54" s="29">
        <v>3</v>
      </c>
      <c r="AB54" s="29">
        <v>4</v>
      </c>
      <c r="AC54" s="29">
        <v>5</v>
      </c>
      <c r="AD54" s="29">
        <v>6</v>
      </c>
      <c r="AE54" s="29">
        <v>7</v>
      </c>
      <c r="AF54" s="29">
        <v>8</v>
      </c>
      <c r="AG54" s="29">
        <v>9</v>
      </c>
      <c r="AH54" s="29">
        <v>10</v>
      </c>
      <c r="AI54" s="29">
        <v>11</v>
      </c>
      <c r="AJ54" s="29">
        <v>12</v>
      </c>
      <c r="AK54" s="29">
        <v>13</v>
      </c>
      <c r="AL54" s="29">
        <v>14</v>
      </c>
      <c r="AM54" s="29">
        <v>15</v>
      </c>
      <c r="AN54" s="355"/>
      <c r="AO54" s="30"/>
      <c r="AP54" s="28">
        <v>0</v>
      </c>
      <c r="AQ54" s="29">
        <v>1</v>
      </c>
      <c r="AR54" s="29">
        <v>2</v>
      </c>
      <c r="AS54" s="29">
        <v>3</v>
      </c>
      <c r="AT54" s="29">
        <v>4</v>
      </c>
      <c r="AU54" s="29">
        <v>5</v>
      </c>
      <c r="AV54" s="29">
        <v>6</v>
      </c>
      <c r="AW54" s="29">
        <v>7</v>
      </c>
      <c r="AX54" s="29">
        <v>8</v>
      </c>
      <c r="AY54" s="29">
        <v>9</v>
      </c>
      <c r="AZ54" s="29">
        <v>10</v>
      </c>
      <c r="BA54" s="29">
        <v>11</v>
      </c>
      <c r="BB54" s="29">
        <v>12</v>
      </c>
      <c r="BC54" s="29">
        <v>13</v>
      </c>
      <c r="BD54" s="29">
        <v>14</v>
      </c>
      <c r="BE54" s="29">
        <v>15</v>
      </c>
      <c r="BF54" s="18"/>
    </row>
    <row r="55" spans="1:58" ht="45" customHeight="1" x14ac:dyDescent="0.25">
      <c r="A55" s="657"/>
      <c r="B55" s="752" t="s">
        <v>377</v>
      </c>
      <c r="C55" s="197"/>
      <c r="E55" s="108"/>
      <c r="F55" s="84" t="s">
        <v>314</v>
      </c>
      <c r="G55" s="94">
        <f>'Total-Summary'!C13</f>
        <v>0</v>
      </c>
      <c r="H55" s="85" t="s">
        <v>378</v>
      </c>
      <c r="I55" s="119"/>
      <c r="K55" s="31" t="s">
        <v>7</v>
      </c>
      <c r="L55" s="31" t="s">
        <v>483</v>
      </c>
      <c r="M55" s="257">
        <f>$C$56*36*'AVG lighting impact'!B6+$C$57*42*'AVG lighting impact'!B6+$C$61*36*'AVG lighting impact'!B6+$C$62*42*'AVG lighting impact'!B6</f>
        <v>0</v>
      </c>
      <c r="N55" s="124">
        <f>$C$56*37*'AVG lighting impact'!C6+$C$57*43*'AVG lighting impact'!C6+$C$61*37*'AVG lighting impact'!C6+$C$62*43*'AVG lighting impact'!C6</f>
        <v>0</v>
      </c>
      <c r="O55" s="255">
        <f>IF(C58=32,($C$57+$C$56)*29*'AVG lighting impact'!D6,($C$57+$C$56)*24.5*'AVG lighting impact'!D6)+($C$61+$C$62)*19*'AVG lighting impact'!D6</f>
        <v>0</v>
      </c>
      <c r="P55" s="346"/>
      <c r="Q55" s="98"/>
      <c r="R55" s="84" t="s">
        <v>314</v>
      </c>
      <c r="S55" s="531">
        <f>N57</f>
        <v>0</v>
      </c>
      <c r="T55" s="85" t="s">
        <v>378</v>
      </c>
      <c r="U55" s="99"/>
      <c r="W55" s="28" t="s">
        <v>29</v>
      </c>
      <c r="X55" s="28">
        <v>2013</v>
      </c>
      <c r="Y55" s="28">
        <f>X55+1</f>
        <v>2014</v>
      </c>
      <c r="Z55" s="28">
        <f t="shared" ref="Z55:AM55" si="96">Y55+1</f>
        <v>2015</v>
      </c>
      <c r="AA55" s="28">
        <f t="shared" si="96"/>
        <v>2016</v>
      </c>
      <c r="AB55" s="28">
        <f t="shared" si="96"/>
        <v>2017</v>
      </c>
      <c r="AC55" s="28">
        <f t="shared" si="96"/>
        <v>2018</v>
      </c>
      <c r="AD55" s="28">
        <f t="shared" si="96"/>
        <v>2019</v>
      </c>
      <c r="AE55" s="28">
        <f t="shared" si="96"/>
        <v>2020</v>
      </c>
      <c r="AF55" s="28">
        <f t="shared" si="96"/>
        <v>2021</v>
      </c>
      <c r="AG55" s="28">
        <f t="shared" si="96"/>
        <v>2022</v>
      </c>
      <c r="AH55" s="28">
        <f t="shared" si="96"/>
        <v>2023</v>
      </c>
      <c r="AI55" s="28">
        <f t="shared" si="96"/>
        <v>2024</v>
      </c>
      <c r="AJ55" s="28">
        <f t="shared" si="96"/>
        <v>2025</v>
      </c>
      <c r="AK55" s="28">
        <f t="shared" si="96"/>
        <v>2026</v>
      </c>
      <c r="AL55" s="28">
        <f t="shared" si="96"/>
        <v>2027</v>
      </c>
      <c r="AM55" s="28">
        <f t="shared" si="96"/>
        <v>2028</v>
      </c>
      <c r="AN55" s="240"/>
      <c r="AO55" s="33"/>
      <c r="AP55" s="28">
        <v>2013</v>
      </c>
      <c r="AQ55" s="28">
        <f>AP55+1</f>
        <v>2014</v>
      </c>
      <c r="AR55" s="28">
        <f t="shared" ref="AR55" si="97">AQ55+1</f>
        <v>2015</v>
      </c>
      <c r="AS55" s="28">
        <f t="shared" ref="AS55" si="98">AR55+1</f>
        <v>2016</v>
      </c>
      <c r="AT55" s="28">
        <f t="shared" ref="AT55" si="99">AS55+1</f>
        <v>2017</v>
      </c>
      <c r="AU55" s="28">
        <f t="shared" ref="AU55" si="100">AT55+1</f>
        <v>2018</v>
      </c>
      <c r="AV55" s="28">
        <f t="shared" ref="AV55" si="101">AU55+1</f>
        <v>2019</v>
      </c>
      <c r="AW55" s="28">
        <f t="shared" ref="AW55" si="102">AV55+1</f>
        <v>2020</v>
      </c>
      <c r="AX55" s="28">
        <f t="shared" ref="AX55" si="103">AW55+1</f>
        <v>2021</v>
      </c>
      <c r="AY55" s="28">
        <f t="shared" ref="AY55" si="104">AX55+1</f>
        <v>2022</v>
      </c>
      <c r="AZ55" s="28">
        <f t="shared" ref="AZ55" si="105">AY55+1</f>
        <v>2023</v>
      </c>
      <c r="BA55" s="28">
        <f t="shared" ref="BA55" si="106">AZ55+1</f>
        <v>2024</v>
      </c>
      <c r="BB55" s="28">
        <f t="shared" ref="BB55" si="107">BA55+1</f>
        <v>2025</v>
      </c>
      <c r="BC55" s="28">
        <f t="shared" ref="BC55" si="108">BB55+1</f>
        <v>2026</v>
      </c>
      <c r="BD55" s="28">
        <f t="shared" ref="BD55" si="109">BC55+1</f>
        <v>2027</v>
      </c>
      <c r="BE55" s="28">
        <f t="shared" ref="BE55" si="110">BD55+1</f>
        <v>2028</v>
      </c>
    </row>
    <row r="56" spans="1:58" x14ac:dyDescent="0.25">
      <c r="A56" s="747" t="s">
        <v>250</v>
      </c>
      <c r="B56" s="753" t="s">
        <v>415</v>
      </c>
      <c r="C56" s="762"/>
      <c r="E56" s="117"/>
      <c r="F56" s="41" t="s">
        <v>5</v>
      </c>
      <c r="G56" s="92">
        <f>'Total-Summary'!D13</f>
        <v>0</v>
      </c>
      <c r="H56" s="79" t="s">
        <v>6</v>
      </c>
      <c r="I56" s="120"/>
      <c r="K56" s="31" t="s">
        <v>8</v>
      </c>
      <c r="L56" s="31" t="s">
        <v>245</v>
      </c>
      <c r="M56" s="257">
        <f>IF(C58=32,($C$57+$C$56)*29.5*'AVG lighting impact'!B6,($C$57+$C$56)*25*'AVG lighting impact'!B6)+($C$61+$C$62)*16*'AVG lighting impact'!B6</f>
        <v>0</v>
      </c>
      <c r="N56" s="124">
        <f>IF(D58=32,($C$57+$C$56)*29*'AVG lighting impact'!C6,($C$57+$C$56)*24.5*'AVG lighting impact'!C6)+($C$61+$C$62)*19*'AVG lighting impact'!C6</f>
        <v>0</v>
      </c>
      <c r="O56" s="255">
        <f>$C$56*37*'AVG lighting impact'!D6+$C$57*43*'AVG lighting impact'!D6+$C$61*37*'AVG lighting impact'!D6+$C$62*43*'AVG lighting impact'!D6</f>
        <v>0</v>
      </c>
      <c r="P56" s="346"/>
      <c r="Q56" s="104"/>
      <c r="R56" s="41" t="s">
        <v>5</v>
      </c>
      <c r="S56" s="519">
        <f>M57</f>
        <v>0</v>
      </c>
      <c r="T56" s="79" t="s">
        <v>6</v>
      </c>
      <c r="U56" s="95"/>
      <c r="W56" s="70" t="s">
        <v>30</v>
      </c>
      <c r="X56" s="70"/>
      <c r="Y56" s="60">
        <f>S59</f>
        <v>0</v>
      </c>
      <c r="Z56" s="60">
        <f>Y56*(1+$M$16)</f>
        <v>0</v>
      </c>
      <c r="AA56" s="60">
        <f t="shared" ref="AA56:AM56" si="111">Z56*(1+$M$16)</f>
        <v>0</v>
      </c>
      <c r="AB56" s="60">
        <f t="shared" si="111"/>
        <v>0</v>
      </c>
      <c r="AC56" s="60">
        <f t="shared" si="111"/>
        <v>0</v>
      </c>
      <c r="AD56" s="60">
        <f t="shared" si="111"/>
        <v>0</v>
      </c>
      <c r="AE56" s="60">
        <f t="shared" si="111"/>
        <v>0</v>
      </c>
      <c r="AF56" s="60">
        <f t="shared" si="111"/>
        <v>0</v>
      </c>
      <c r="AG56" s="60">
        <f t="shared" si="111"/>
        <v>0</v>
      </c>
      <c r="AH56" s="60">
        <f t="shared" si="111"/>
        <v>0</v>
      </c>
      <c r="AI56" s="60">
        <f t="shared" si="111"/>
        <v>0</v>
      </c>
      <c r="AJ56" s="60">
        <f t="shared" si="111"/>
        <v>0</v>
      </c>
      <c r="AK56" s="60">
        <f t="shared" si="111"/>
        <v>0</v>
      </c>
      <c r="AL56" s="60">
        <f t="shared" si="111"/>
        <v>0</v>
      </c>
      <c r="AM56" s="60">
        <f t="shared" si="111"/>
        <v>0</v>
      </c>
      <c r="AN56" s="356"/>
      <c r="AO56" s="65"/>
      <c r="AP56" s="70"/>
      <c r="AQ56" s="60">
        <f>'Total-Summary'!H13</f>
        <v>0</v>
      </c>
      <c r="AR56" s="60">
        <f>AQ56*(1+$M$16)</f>
        <v>0</v>
      </c>
      <c r="AS56" s="60">
        <f t="shared" ref="AS56" si="112">AR56*(1+$M$16)</f>
        <v>0</v>
      </c>
      <c r="AT56" s="60">
        <f t="shared" ref="AT56" si="113">AS56*(1+$M$16)</f>
        <v>0</v>
      </c>
      <c r="AU56" s="60">
        <f t="shared" ref="AU56" si="114">AT56*(1+$M$16)</f>
        <v>0</v>
      </c>
      <c r="AV56" s="60">
        <f t="shared" ref="AV56" si="115">AU56*(1+$M$16)</f>
        <v>0</v>
      </c>
      <c r="AW56" s="60">
        <f t="shared" ref="AW56" si="116">AV56*(1+$M$16)</f>
        <v>0</v>
      </c>
      <c r="AX56" s="60">
        <f t="shared" ref="AX56" si="117">AW56*(1+$M$16)</f>
        <v>0</v>
      </c>
      <c r="AY56" s="60">
        <f t="shared" ref="AY56" si="118">AX56*(1+$M$16)</f>
        <v>0</v>
      </c>
      <c r="AZ56" s="60">
        <f t="shared" ref="AZ56" si="119">AY56*(1+$M$16)</f>
        <v>0</v>
      </c>
      <c r="BA56" s="60">
        <f t="shared" ref="BA56" si="120">AZ56*(1+$M$16)</f>
        <v>0</v>
      </c>
      <c r="BB56" s="60">
        <f t="shared" ref="BB56" si="121">BA56*(1+$M$16)</f>
        <v>0</v>
      </c>
      <c r="BC56" s="60">
        <f t="shared" ref="BC56" si="122">BB56*(1+$M$16)</f>
        <v>0</v>
      </c>
      <c r="BD56" s="60">
        <f t="shared" ref="BD56" si="123">BC56*(1+$M$16)</f>
        <v>0</v>
      </c>
      <c r="BE56" s="60">
        <f t="shared" ref="BE56" si="124">BD56*(1+$M$16)</f>
        <v>0</v>
      </c>
    </row>
    <row r="57" spans="1:58" ht="14.95" thickBot="1" x14ac:dyDescent="0.3">
      <c r="A57" s="747"/>
      <c r="B57" s="753" t="s">
        <v>414</v>
      </c>
      <c r="C57" s="762"/>
      <c r="E57" s="104"/>
      <c r="F57" s="96" t="s">
        <v>5</v>
      </c>
      <c r="G57" s="97">
        <f>'Total-Summary'!E13</f>
        <v>0</v>
      </c>
      <c r="H57" s="33" t="s">
        <v>379</v>
      </c>
      <c r="I57" s="101"/>
      <c r="K57" s="35"/>
      <c r="L57" s="35" t="s">
        <v>2</v>
      </c>
      <c r="M57" s="258">
        <f>M55-M56</f>
        <v>0</v>
      </c>
      <c r="N57" s="56">
        <f>N55-N56</f>
        <v>0</v>
      </c>
      <c r="O57" s="256">
        <f>O56-O55</f>
        <v>0</v>
      </c>
      <c r="P57" s="346"/>
      <c r="Q57" s="104"/>
      <c r="R57" s="96" t="s">
        <v>5</v>
      </c>
      <c r="S57" s="532">
        <f>IF(Benchmarking!B$20=0,0,O57)</f>
        <v>0</v>
      </c>
      <c r="T57" s="33" t="s">
        <v>379</v>
      </c>
      <c r="U57" s="101"/>
      <c r="W57" s="28" t="s">
        <v>31</v>
      </c>
      <c r="X57" s="28"/>
      <c r="Y57" s="70">
        <f>IF(C56+C57+C61+C62=0,0,IF(AND(C56&gt;0,C61=0),$M$18*C59,IF(AND(C60&gt;0,C56=0),$M$18*C63,$M$18*(C59+C63))))</f>
        <v>0</v>
      </c>
      <c r="Z57" s="70">
        <f t="shared" ref="Z57:AM57" si="125">Y57*(1+$M$14)</f>
        <v>0</v>
      </c>
      <c r="AA57" s="70">
        <f t="shared" si="125"/>
        <v>0</v>
      </c>
      <c r="AB57" s="70">
        <f t="shared" si="125"/>
        <v>0</v>
      </c>
      <c r="AC57" s="70">
        <f t="shared" si="125"/>
        <v>0</v>
      </c>
      <c r="AD57" s="70">
        <f t="shared" si="125"/>
        <v>0</v>
      </c>
      <c r="AE57" s="70">
        <f t="shared" si="125"/>
        <v>0</v>
      </c>
      <c r="AF57" s="70">
        <f t="shared" si="125"/>
        <v>0</v>
      </c>
      <c r="AG57" s="70">
        <f t="shared" si="125"/>
        <v>0</v>
      </c>
      <c r="AH57" s="70">
        <f t="shared" si="125"/>
        <v>0</v>
      </c>
      <c r="AI57" s="70">
        <f t="shared" si="125"/>
        <v>0</v>
      </c>
      <c r="AJ57" s="70">
        <f t="shared" si="125"/>
        <v>0</v>
      </c>
      <c r="AK57" s="70">
        <f t="shared" si="125"/>
        <v>0</v>
      </c>
      <c r="AL57" s="70">
        <f t="shared" si="125"/>
        <v>0</v>
      </c>
      <c r="AM57" s="70">
        <f t="shared" si="125"/>
        <v>0</v>
      </c>
      <c r="AN57" s="360"/>
      <c r="AO57" s="34"/>
      <c r="AP57" s="34"/>
      <c r="AQ57" s="34"/>
      <c r="AR57" s="34"/>
      <c r="AS57" s="34"/>
    </row>
    <row r="58" spans="1:58" x14ac:dyDescent="0.25">
      <c r="A58" s="747"/>
      <c r="B58" s="753" t="s">
        <v>243</v>
      </c>
      <c r="C58" s="192"/>
      <c r="D58" s="18" t="s">
        <v>244</v>
      </c>
      <c r="E58" s="104"/>
      <c r="F58" s="114" t="s">
        <v>14</v>
      </c>
      <c r="G58" s="97">
        <f>IF('Total-Summary'!F13&lt;&gt;0,'Total-Summary'!F13,'Total-Summary'!G13)</f>
        <v>0</v>
      </c>
      <c r="H58" s="33" t="s">
        <v>48</v>
      </c>
      <c r="I58" s="95" t="str">
        <f>IF(Benchmarking!$E56&gt;0,"NA",IF(Benchmarking!$E$25&gt;0,"Propane","Fuel Oil"))</f>
        <v>Fuel Oil</v>
      </c>
      <c r="Q58" s="104"/>
      <c r="R58" s="114" t="s">
        <v>14</v>
      </c>
      <c r="S58" s="532">
        <f>IF(Benchmarking!E$24&gt;0,0,IF(Benchmarking!E$25&gt;0,O57/0.925,O57/1.385))</f>
        <v>0</v>
      </c>
      <c r="T58" s="33" t="s">
        <v>48</v>
      </c>
      <c r="U58" s="95" t="str">
        <f>IF(Benchmarking!E$24&gt;0,"NA",IF(Benchmarking!E$25&gt;0,"Propane","Fuel Oil"))</f>
        <v>Fuel Oil</v>
      </c>
      <c r="W58" s="28" t="s">
        <v>32</v>
      </c>
      <c r="X58" s="28"/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361"/>
      <c r="AO58" s="40"/>
      <c r="AP58" s="40"/>
      <c r="AQ58" s="40"/>
      <c r="AR58" s="40"/>
      <c r="AS58" s="40"/>
    </row>
    <row r="59" spans="1:58" ht="16.3" x14ac:dyDescent="0.3">
      <c r="A59" s="747"/>
      <c r="B59" s="754" t="s">
        <v>368</v>
      </c>
      <c r="C59" s="194"/>
      <c r="D59" s="118"/>
      <c r="E59" s="100"/>
      <c r="F59" s="89" t="s">
        <v>14</v>
      </c>
      <c r="G59" s="155">
        <f>'Total-Summary'!H13</f>
        <v>0</v>
      </c>
      <c r="H59" s="79" t="s">
        <v>15</v>
      </c>
      <c r="I59" s="101"/>
      <c r="L59" s="209"/>
      <c r="M59" s="208"/>
      <c r="N59" s="74"/>
      <c r="Q59" s="104"/>
      <c r="R59" s="89" t="s">
        <v>14</v>
      </c>
      <c r="S59" s="155">
        <f>IF(S56=0,0,S56*Benchmarking!E$23+Benchmarking!E$24*S57+IF(Benchmarking!B$26&gt;0,Benchmarking!E$26*S58,Benchmarking!E$25*S58))</f>
        <v>0</v>
      </c>
      <c r="T59" s="79" t="s">
        <v>15</v>
      </c>
      <c r="U59" s="101"/>
      <c r="W59" s="28" t="s">
        <v>33</v>
      </c>
      <c r="X59" s="43"/>
      <c r="Y59" s="61">
        <f t="shared" ref="Y59:AM59" si="126">Y56+Y57-Y58</f>
        <v>0</v>
      </c>
      <c r="Z59" s="61">
        <f t="shared" si="126"/>
        <v>0</v>
      </c>
      <c r="AA59" s="61">
        <f t="shared" si="126"/>
        <v>0</v>
      </c>
      <c r="AB59" s="61">
        <f t="shared" si="126"/>
        <v>0</v>
      </c>
      <c r="AC59" s="61">
        <f t="shared" si="126"/>
        <v>0</v>
      </c>
      <c r="AD59" s="61">
        <f t="shared" si="126"/>
        <v>0</v>
      </c>
      <c r="AE59" s="61">
        <f t="shared" si="126"/>
        <v>0</v>
      </c>
      <c r="AF59" s="61">
        <f t="shared" si="126"/>
        <v>0</v>
      </c>
      <c r="AG59" s="61">
        <f t="shared" si="126"/>
        <v>0</v>
      </c>
      <c r="AH59" s="61">
        <f t="shared" si="126"/>
        <v>0</v>
      </c>
      <c r="AI59" s="61">
        <f t="shared" si="126"/>
        <v>0</v>
      </c>
      <c r="AJ59" s="61">
        <f t="shared" si="126"/>
        <v>0</v>
      </c>
      <c r="AK59" s="61">
        <f t="shared" si="126"/>
        <v>0</v>
      </c>
      <c r="AL59" s="61">
        <f t="shared" si="126"/>
        <v>0</v>
      </c>
      <c r="AM59" s="61">
        <f t="shared" si="126"/>
        <v>0</v>
      </c>
      <c r="AN59" s="359"/>
      <c r="AO59" s="66"/>
      <c r="AP59" s="66"/>
      <c r="AQ59" s="66">
        <f t="shared" ref="AQ59:BE59" si="127">AQ56+Y57-Y58</f>
        <v>0</v>
      </c>
      <c r="AR59" s="66">
        <f t="shared" si="127"/>
        <v>0</v>
      </c>
      <c r="AS59" s="66">
        <f t="shared" si="127"/>
        <v>0</v>
      </c>
      <c r="AT59" s="66">
        <f t="shared" si="127"/>
        <v>0</v>
      </c>
      <c r="AU59" s="66">
        <f t="shared" si="127"/>
        <v>0</v>
      </c>
      <c r="AV59" s="66">
        <f t="shared" si="127"/>
        <v>0</v>
      </c>
      <c r="AW59" s="66">
        <f t="shared" si="127"/>
        <v>0</v>
      </c>
      <c r="AX59" s="66">
        <f t="shared" si="127"/>
        <v>0</v>
      </c>
      <c r="AY59" s="66">
        <f t="shared" si="127"/>
        <v>0</v>
      </c>
      <c r="AZ59" s="66">
        <f t="shared" si="127"/>
        <v>0</v>
      </c>
      <c r="BA59" s="66">
        <f t="shared" si="127"/>
        <v>0</v>
      </c>
      <c r="BB59" s="66">
        <f t="shared" si="127"/>
        <v>0</v>
      </c>
      <c r="BC59" s="66">
        <f t="shared" si="127"/>
        <v>0</v>
      </c>
      <c r="BD59" s="66">
        <f t="shared" si="127"/>
        <v>0</v>
      </c>
      <c r="BE59" s="66">
        <f t="shared" si="127"/>
        <v>0</v>
      </c>
    </row>
    <row r="60" spans="1:58" ht="14.95" thickBot="1" x14ac:dyDescent="0.3">
      <c r="A60" s="755"/>
      <c r="B60" s="756" t="s">
        <v>236</v>
      </c>
      <c r="C60" s="195"/>
      <c r="D60" s="118"/>
      <c r="E60" s="100"/>
      <c r="F60" s="89" t="s">
        <v>16</v>
      </c>
      <c r="G60" s="301">
        <f>IF(C56+C57+C61+C62=0,0,(C59-C60+C63-C64)/G59)</f>
        <v>0</v>
      </c>
      <c r="H60" s="79" t="s">
        <v>17</v>
      </c>
      <c r="I60" s="101"/>
      <c r="J60" s="118"/>
      <c r="Q60" s="104"/>
      <c r="R60" s="89" t="s">
        <v>16</v>
      </c>
      <c r="S60" s="80">
        <f>IF((C56+C57+C61+C62)=0,0,(C59+C63-C64-C60)/S59)</f>
        <v>0</v>
      </c>
      <c r="T60" s="79" t="s">
        <v>17</v>
      </c>
      <c r="U60" s="95"/>
      <c r="W60" s="46" t="s">
        <v>115</v>
      </c>
      <c r="X60" s="46"/>
      <c r="Y60" s="47">
        <f>NPV($M$15,Y59:AM59)</f>
        <v>0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33"/>
      <c r="AP60" s="33"/>
      <c r="AQ60" s="33"/>
      <c r="AR60" s="33"/>
      <c r="AS60" s="33"/>
    </row>
    <row r="61" spans="1:58" ht="15.65" thickTop="1" thickBot="1" x14ac:dyDescent="0.3">
      <c r="A61" s="747" t="s">
        <v>249</v>
      </c>
      <c r="B61" s="753" t="s">
        <v>416</v>
      </c>
      <c r="C61" s="192"/>
      <c r="E61" s="109"/>
      <c r="F61" s="90" t="s">
        <v>257</v>
      </c>
      <c r="G61" s="81">
        <f>IF($C59+$C63=0,0,IF(($C60+$C64)&gt;=0.95*($C59+$C63),$Y61/($C59+$C63-($C59-$C63)*0.95+1-($C59+$C63)*$M$17),$Y61/($C59+$C63-$C60-$C64-($C59+$C63)*$M$17)))</f>
        <v>0</v>
      </c>
      <c r="H61" s="82"/>
      <c r="I61" s="123"/>
      <c r="J61" s="118"/>
      <c r="O61" s="42"/>
      <c r="P61" s="345"/>
      <c r="Q61" s="105"/>
      <c r="R61" s="90" t="s">
        <v>257</v>
      </c>
      <c r="S61" s="81">
        <f>IF($C59+$C63=0,0,IF(($C60+$C64)&gt;0.95*($C59+$C63),$Y60/($C59+$C63-(($C60+$C64)*0.95-1)-($C59+$C63)*$M$17),$Y60/($C59+$C63-$C60-$C64-($C59+$C63)*$M$17)))</f>
        <v>0</v>
      </c>
      <c r="T61" s="82"/>
      <c r="U61" s="91"/>
      <c r="W61" s="310" t="s">
        <v>454</v>
      </c>
      <c r="X61" s="310"/>
      <c r="Y61" s="311">
        <f>NPV(M15,AQ59:BE59)</f>
        <v>0</v>
      </c>
      <c r="AO61" s="33"/>
      <c r="AP61" s="33"/>
      <c r="AQ61" s="33"/>
      <c r="AR61" s="33"/>
      <c r="AS61" s="33"/>
    </row>
    <row r="62" spans="1:58" x14ac:dyDescent="0.25">
      <c r="A62" s="700"/>
      <c r="B62" s="753" t="s">
        <v>417</v>
      </c>
      <c r="C62" s="762"/>
      <c r="O62" s="42"/>
      <c r="P62" s="345"/>
      <c r="Q62" s="345"/>
      <c r="R62" s="345"/>
      <c r="S62" s="345"/>
      <c r="T62" s="345"/>
      <c r="AO62" s="33"/>
      <c r="AP62" s="33"/>
      <c r="AQ62" s="33"/>
      <c r="AR62" s="33"/>
      <c r="AS62" s="33"/>
    </row>
    <row r="63" spans="1:58" ht="16.3" x14ac:dyDescent="0.3">
      <c r="A63" s="700"/>
      <c r="B63" s="754" t="s">
        <v>368</v>
      </c>
      <c r="C63" s="626"/>
    </row>
    <row r="64" spans="1:58" ht="14.95" thickBot="1" x14ac:dyDescent="0.3">
      <c r="A64" s="701"/>
      <c r="B64" s="757" t="s">
        <v>236</v>
      </c>
      <c r="C64" s="196"/>
      <c r="E64" s="74"/>
      <c r="F64" s="74"/>
      <c r="G64" s="74"/>
      <c r="H64" s="74"/>
      <c r="I64" s="74"/>
      <c r="J64" s="74"/>
    </row>
    <row r="65" spans="1:58" s="636" customFormat="1" x14ac:dyDescent="0.25"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74"/>
      <c r="Q65" s="74"/>
      <c r="R65" s="74"/>
      <c r="S65" s="74"/>
      <c r="T65" s="74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</row>
    <row r="66" spans="1:58" s="636" customFormat="1" ht="19.7" thickBot="1" x14ac:dyDescent="0.4">
      <c r="D66" s="18"/>
      <c r="E66" s="18"/>
      <c r="F66" s="191"/>
      <c r="G66" s="18"/>
      <c r="H66" s="191"/>
      <c r="I66" s="18"/>
      <c r="J66" s="18"/>
      <c r="K66" s="135" t="s">
        <v>113</v>
      </c>
      <c r="L66" s="18"/>
      <c r="M66" s="18"/>
      <c r="N66" s="18"/>
      <c r="O66" s="18"/>
      <c r="P66" s="74"/>
      <c r="Q66" s="74"/>
      <c r="R66" s="74"/>
      <c r="S66" s="74"/>
      <c r="T66" s="74"/>
      <c r="U66" s="18"/>
      <c r="V66" s="18"/>
      <c r="W66" s="23" t="s">
        <v>107</v>
      </c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33"/>
      <c r="AP66" s="33"/>
      <c r="AQ66" s="33"/>
      <c r="AR66" s="33"/>
      <c r="AS66" s="33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</row>
    <row r="67" spans="1:58" s="636" customFormat="1" ht="30.6" customHeight="1" thickBot="1" x14ac:dyDescent="0.4">
      <c r="A67" s="751" t="s">
        <v>469</v>
      </c>
      <c r="B67" s="712" t="str">
        <f>B17</f>
        <v xml:space="preserve">Convert 32 Watt T8 fluorescent fixture to LED lamps </v>
      </c>
      <c r="C67" s="761" t="s">
        <v>51</v>
      </c>
      <c r="D67" s="18"/>
      <c r="E67" s="799" t="s">
        <v>458</v>
      </c>
      <c r="F67" s="800"/>
      <c r="G67" s="800"/>
      <c r="H67" s="800"/>
      <c r="I67" s="801"/>
      <c r="J67" s="18"/>
      <c r="K67" s="24"/>
      <c r="L67" s="52" t="str">
        <f>A67</f>
        <v>ECM 6A</v>
      </c>
      <c r="M67" s="25" t="s">
        <v>246</v>
      </c>
      <c r="N67" s="25" t="s">
        <v>247</v>
      </c>
      <c r="O67" s="398" t="s">
        <v>248</v>
      </c>
      <c r="P67" s="174"/>
      <c r="Q67" s="793" t="s">
        <v>74</v>
      </c>
      <c r="R67" s="794"/>
      <c r="S67" s="794"/>
      <c r="T67" s="794"/>
      <c r="U67" s="795"/>
      <c r="V67" s="18"/>
      <c r="W67" s="28" t="s">
        <v>29</v>
      </c>
      <c r="X67" s="28">
        <v>0</v>
      </c>
      <c r="Y67" s="29">
        <v>1</v>
      </c>
      <c r="Z67" s="29">
        <v>2</v>
      </c>
      <c r="AA67" s="29">
        <v>3</v>
      </c>
      <c r="AB67" s="29">
        <v>4</v>
      </c>
      <c r="AC67" s="29">
        <v>5</v>
      </c>
      <c r="AD67" s="29">
        <v>6</v>
      </c>
      <c r="AE67" s="29">
        <v>7</v>
      </c>
      <c r="AF67" s="29">
        <v>8</v>
      </c>
      <c r="AG67" s="29">
        <v>9</v>
      </c>
      <c r="AH67" s="29">
        <v>10</v>
      </c>
      <c r="AI67" s="29">
        <v>11</v>
      </c>
      <c r="AJ67" s="29">
        <v>12</v>
      </c>
      <c r="AK67" s="29">
        <v>13</v>
      </c>
      <c r="AL67" s="29">
        <v>14</v>
      </c>
      <c r="AM67" s="29">
        <v>15</v>
      </c>
      <c r="AN67" s="355"/>
      <c r="AO67" s="30"/>
      <c r="AP67" s="28">
        <v>0</v>
      </c>
      <c r="AQ67" s="29">
        <v>1</v>
      </c>
      <c r="AR67" s="29">
        <v>2</v>
      </c>
      <c r="AS67" s="29">
        <v>3</v>
      </c>
      <c r="AT67" s="29">
        <v>4</v>
      </c>
      <c r="AU67" s="29">
        <v>5</v>
      </c>
      <c r="AV67" s="29">
        <v>6</v>
      </c>
      <c r="AW67" s="29">
        <v>7</v>
      </c>
      <c r="AX67" s="29">
        <v>8</v>
      </c>
      <c r="AY67" s="29">
        <v>9</v>
      </c>
      <c r="AZ67" s="29">
        <v>10</v>
      </c>
      <c r="BA67" s="29">
        <v>11</v>
      </c>
      <c r="BB67" s="29">
        <v>12</v>
      </c>
      <c r="BC67" s="29">
        <v>13</v>
      </c>
      <c r="BD67" s="29">
        <v>14</v>
      </c>
      <c r="BE67" s="29">
        <v>15</v>
      </c>
      <c r="BF67" s="18"/>
    </row>
    <row r="68" spans="1:58" ht="28.55" x14ac:dyDescent="0.25">
      <c r="A68" s="657"/>
      <c r="B68" s="752" t="s">
        <v>474</v>
      </c>
      <c r="C68" s="192"/>
      <c r="E68" s="108"/>
      <c r="F68" s="84" t="s">
        <v>314</v>
      </c>
      <c r="G68" s="94">
        <f>'Total-Summary'!C14</f>
        <v>0</v>
      </c>
      <c r="H68" s="85" t="s">
        <v>378</v>
      </c>
      <c r="I68" s="119"/>
      <c r="K68" s="31" t="s">
        <v>7</v>
      </c>
      <c r="L68" s="31" t="s">
        <v>475</v>
      </c>
      <c r="M68" s="257">
        <f>$C$69*29*'AVG lighting impact'!B9</f>
        <v>0</v>
      </c>
      <c r="N68" s="257">
        <f>$C$69*29*'AVG lighting impact'!C9</f>
        <v>0</v>
      </c>
      <c r="O68" s="257">
        <f>$C$69*29*'AVG lighting impact'!D9</f>
        <v>0</v>
      </c>
      <c r="P68" s="346"/>
      <c r="Q68" s="98"/>
      <c r="R68" s="84" t="s">
        <v>314</v>
      </c>
      <c r="S68" s="531">
        <f>N70</f>
        <v>0</v>
      </c>
      <c r="T68" s="85" t="s">
        <v>378</v>
      </c>
      <c r="U68" s="99"/>
      <c r="W68" s="28" t="s">
        <v>29</v>
      </c>
      <c r="X68" s="28">
        <v>2013</v>
      </c>
      <c r="Y68" s="28">
        <f>X68+1</f>
        <v>2014</v>
      </c>
      <c r="Z68" s="28">
        <f t="shared" ref="Z68" si="128">Y68+1</f>
        <v>2015</v>
      </c>
      <c r="AA68" s="28">
        <f t="shared" ref="AA68" si="129">Z68+1</f>
        <v>2016</v>
      </c>
      <c r="AB68" s="28">
        <f t="shared" ref="AB68" si="130">AA68+1</f>
        <v>2017</v>
      </c>
      <c r="AC68" s="28">
        <f t="shared" ref="AC68" si="131">AB68+1</f>
        <v>2018</v>
      </c>
      <c r="AD68" s="28">
        <f t="shared" ref="AD68" si="132">AC68+1</f>
        <v>2019</v>
      </c>
      <c r="AE68" s="28">
        <f t="shared" ref="AE68" si="133">AD68+1</f>
        <v>2020</v>
      </c>
      <c r="AF68" s="28">
        <f t="shared" ref="AF68" si="134">AE68+1</f>
        <v>2021</v>
      </c>
      <c r="AG68" s="28">
        <f t="shared" ref="AG68" si="135">AF68+1</f>
        <v>2022</v>
      </c>
      <c r="AH68" s="28">
        <f t="shared" ref="AH68" si="136">AG68+1</f>
        <v>2023</v>
      </c>
      <c r="AI68" s="28">
        <f t="shared" ref="AI68" si="137">AH68+1</f>
        <v>2024</v>
      </c>
      <c r="AJ68" s="28">
        <f t="shared" ref="AJ68" si="138">AI68+1</f>
        <v>2025</v>
      </c>
      <c r="AK68" s="28">
        <f t="shared" ref="AK68" si="139">AJ68+1</f>
        <v>2026</v>
      </c>
      <c r="AL68" s="28">
        <f t="shared" ref="AL68" si="140">AK68+1</f>
        <v>2027</v>
      </c>
      <c r="AM68" s="28">
        <f t="shared" ref="AM68" si="141">AL68+1</f>
        <v>2028</v>
      </c>
      <c r="AN68" s="240"/>
      <c r="AO68" s="33"/>
      <c r="AP68" s="28">
        <v>2013</v>
      </c>
      <c r="AQ68" s="28">
        <f>AP68+1</f>
        <v>2014</v>
      </c>
      <c r="AR68" s="28">
        <f t="shared" ref="AR68" si="142">AQ68+1</f>
        <v>2015</v>
      </c>
      <c r="AS68" s="28">
        <f t="shared" ref="AS68" si="143">AR68+1</f>
        <v>2016</v>
      </c>
      <c r="AT68" s="28">
        <f t="shared" ref="AT68" si="144">AS68+1</f>
        <v>2017</v>
      </c>
      <c r="AU68" s="28">
        <f t="shared" ref="AU68" si="145">AT68+1</f>
        <v>2018</v>
      </c>
      <c r="AV68" s="28">
        <f t="shared" ref="AV68" si="146">AU68+1</f>
        <v>2019</v>
      </c>
      <c r="AW68" s="28">
        <f t="shared" ref="AW68" si="147">AV68+1</f>
        <v>2020</v>
      </c>
      <c r="AX68" s="28">
        <f t="shared" ref="AX68" si="148">AW68+1</f>
        <v>2021</v>
      </c>
      <c r="AY68" s="28">
        <f t="shared" ref="AY68" si="149">AX68+1</f>
        <v>2022</v>
      </c>
      <c r="AZ68" s="28">
        <f t="shared" ref="AZ68" si="150">AY68+1</f>
        <v>2023</v>
      </c>
      <c r="BA68" s="28">
        <f t="shared" ref="BA68" si="151">AZ68+1</f>
        <v>2024</v>
      </c>
      <c r="BB68" s="28">
        <f t="shared" ref="BB68" si="152">BA68+1</f>
        <v>2025</v>
      </c>
      <c r="BC68" s="28">
        <f t="shared" ref="BC68" si="153">BB68+1</f>
        <v>2026</v>
      </c>
      <c r="BD68" s="28">
        <f t="shared" ref="BD68" si="154">BC68+1</f>
        <v>2027</v>
      </c>
      <c r="BE68" s="28">
        <f t="shared" ref="BE68" si="155">BD68+1</f>
        <v>2028</v>
      </c>
    </row>
    <row r="69" spans="1:58" x14ac:dyDescent="0.25">
      <c r="A69" s="747"/>
      <c r="B69" s="753" t="s">
        <v>473</v>
      </c>
      <c r="C69" s="192"/>
      <c r="E69" s="117"/>
      <c r="F69" s="41" t="s">
        <v>5</v>
      </c>
      <c r="G69" s="87">
        <f>'Total-Summary'!D14</f>
        <v>0</v>
      </c>
      <c r="H69" s="79" t="s">
        <v>6</v>
      </c>
      <c r="I69" s="120"/>
      <c r="K69" s="31" t="s">
        <v>8</v>
      </c>
      <c r="L69" s="31" t="s">
        <v>476</v>
      </c>
      <c r="M69" s="257">
        <f>$C$69*16*'AVG lighting impact'!B9</f>
        <v>0</v>
      </c>
      <c r="N69" s="257">
        <f>$C$69*19*'AVG lighting impact'!C9</f>
        <v>0</v>
      </c>
      <c r="O69" s="257">
        <f>$C$69*19*'AVG lighting impact'!D9</f>
        <v>0</v>
      </c>
      <c r="P69" s="346"/>
      <c r="Q69" s="104"/>
      <c r="R69" s="41" t="s">
        <v>5</v>
      </c>
      <c r="S69" s="519">
        <f>M70</f>
        <v>0</v>
      </c>
      <c r="T69" s="79" t="s">
        <v>6</v>
      </c>
      <c r="U69" s="95"/>
      <c r="W69" s="70" t="s">
        <v>30</v>
      </c>
      <c r="X69" s="70"/>
      <c r="Y69" s="60">
        <f>S72</f>
        <v>0</v>
      </c>
      <c r="Z69" s="60">
        <f>Y69*(1+$M$16)</f>
        <v>0</v>
      </c>
      <c r="AA69" s="60">
        <f t="shared" ref="AA69" si="156">Z69*(1+$M$16)</f>
        <v>0</v>
      </c>
      <c r="AB69" s="60">
        <f t="shared" ref="AB69" si="157">AA69*(1+$M$16)</f>
        <v>0</v>
      </c>
      <c r="AC69" s="60">
        <f t="shared" ref="AC69" si="158">AB69*(1+$M$16)</f>
        <v>0</v>
      </c>
      <c r="AD69" s="60">
        <f t="shared" ref="AD69" si="159">AC69*(1+$M$16)</f>
        <v>0</v>
      </c>
      <c r="AE69" s="60">
        <f t="shared" ref="AE69" si="160">AD69*(1+$M$16)</f>
        <v>0</v>
      </c>
      <c r="AF69" s="60">
        <f t="shared" ref="AF69" si="161">AE69*(1+$M$16)</f>
        <v>0</v>
      </c>
      <c r="AG69" s="60">
        <f t="shared" ref="AG69" si="162">AF69*(1+$M$16)</f>
        <v>0</v>
      </c>
      <c r="AH69" s="60">
        <f t="shared" ref="AH69" si="163">AG69*(1+$M$16)</f>
        <v>0</v>
      </c>
      <c r="AI69" s="60">
        <f t="shared" ref="AI69" si="164">AH69*(1+$M$16)</f>
        <v>0</v>
      </c>
      <c r="AJ69" s="60">
        <f t="shared" ref="AJ69" si="165">AI69*(1+$M$16)</f>
        <v>0</v>
      </c>
      <c r="AK69" s="60">
        <f t="shared" ref="AK69" si="166">AJ69*(1+$M$16)</f>
        <v>0</v>
      </c>
      <c r="AL69" s="60">
        <f t="shared" ref="AL69" si="167">AK69*(1+$M$16)</f>
        <v>0</v>
      </c>
      <c r="AM69" s="60">
        <f t="shared" ref="AM69" si="168">AL69*(1+$M$16)</f>
        <v>0</v>
      </c>
      <c r="AN69" s="356"/>
      <c r="AO69" s="65"/>
      <c r="AP69" s="70"/>
      <c r="AQ69" s="60">
        <f>'Total-Summary'!H14</f>
        <v>0</v>
      </c>
      <c r="AR69" s="60">
        <f>AQ69*(1+$M$16)</f>
        <v>0</v>
      </c>
      <c r="AS69" s="60">
        <f t="shared" ref="AS69" si="169">AR69*(1+$M$16)</f>
        <v>0</v>
      </c>
      <c r="AT69" s="60">
        <f t="shared" ref="AT69" si="170">AS69*(1+$M$16)</f>
        <v>0</v>
      </c>
      <c r="AU69" s="60">
        <f t="shared" ref="AU69" si="171">AT69*(1+$M$16)</f>
        <v>0</v>
      </c>
      <c r="AV69" s="60">
        <f t="shared" ref="AV69" si="172">AU69*(1+$M$16)</f>
        <v>0</v>
      </c>
      <c r="AW69" s="60">
        <f t="shared" ref="AW69" si="173">AV69*(1+$M$16)</f>
        <v>0</v>
      </c>
      <c r="AX69" s="60">
        <f t="shared" ref="AX69" si="174">AW69*(1+$M$16)</f>
        <v>0</v>
      </c>
      <c r="AY69" s="60">
        <f t="shared" ref="AY69" si="175">AX69*(1+$M$16)</f>
        <v>0</v>
      </c>
      <c r="AZ69" s="60">
        <f t="shared" ref="AZ69" si="176">AY69*(1+$M$16)</f>
        <v>0</v>
      </c>
      <c r="BA69" s="60">
        <f t="shared" ref="BA69" si="177">AZ69*(1+$M$16)</f>
        <v>0</v>
      </c>
      <c r="BB69" s="60">
        <f t="shared" ref="BB69" si="178">BA69*(1+$M$16)</f>
        <v>0</v>
      </c>
      <c r="BC69" s="60">
        <f t="shared" ref="BC69" si="179">BB69*(1+$M$16)</f>
        <v>0</v>
      </c>
      <c r="BD69" s="60">
        <f t="shared" ref="BD69" si="180">BC69*(1+$M$16)</f>
        <v>0</v>
      </c>
      <c r="BE69" s="60">
        <f t="shared" ref="BE69" si="181">BD69*(1+$M$16)</f>
        <v>0</v>
      </c>
    </row>
    <row r="70" spans="1:58" ht="17" thickBot="1" x14ac:dyDescent="0.35">
      <c r="A70" s="700"/>
      <c r="B70" s="754" t="s">
        <v>368</v>
      </c>
      <c r="C70" s="626"/>
      <c r="E70" s="104"/>
      <c r="F70" s="96" t="s">
        <v>5</v>
      </c>
      <c r="G70" s="97">
        <f>'Total-Summary'!E14</f>
        <v>0</v>
      </c>
      <c r="H70" s="33" t="s">
        <v>379</v>
      </c>
      <c r="I70" s="101"/>
      <c r="K70" s="35"/>
      <c r="L70" s="35" t="s">
        <v>2</v>
      </c>
      <c r="M70" s="258">
        <f>M68-M69</f>
        <v>0</v>
      </c>
      <c r="N70" s="56">
        <f>N68-N69</f>
        <v>0</v>
      </c>
      <c r="O70" s="57">
        <f>O68-O69</f>
        <v>0</v>
      </c>
      <c r="P70" s="346"/>
      <c r="Q70" s="104"/>
      <c r="R70" s="96" t="s">
        <v>5</v>
      </c>
      <c r="S70" s="532">
        <f>IF(Benchmarking!B$20=0,0,O70)</f>
        <v>0</v>
      </c>
      <c r="T70" s="33" t="s">
        <v>379</v>
      </c>
      <c r="U70" s="101"/>
      <c r="W70" s="28" t="s">
        <v>31</v>
      </c>
      <c r="X70" s="28"/>
      <c r="Y70" s="70">
        <f>$M$18*$C70</f>
        <v>0</v>
      </c>
      <c r="Z70" s="70">
        <f t="shared" ref="Z70" si="182">Y70*(1+$M$14)</f>
        <v>0</v>
      </c>
      <c r="AA70" s="70">
        <f t="shared" ref="AA70" si="183">Z70*(1+$M$14)</f>
        <v>0</v>
      </c>
      <c r="AB70" s="70">
        <f t="shared" ref="AB70" si="184">AA70*(1+$M$14)</f>
        <v>0</v>
      </c>
      <c r="AC70" s="70">
        <f t="shared" ref="AC70" si="185">AB70*(1+$M$14)</f>
        <v>0</v>
      </c>
      <c r="AD70" s="70">
        <f t="shared" ref="AD70" si="186">AC70*(1+$M$14)</f>
        <v>0</v>
      </c>
      <c r="AE70" s="70">
        <f t="shared" ref="AE70" si="187">AD70*(1+$M$14)</f>
        <v>0</v>
      </c>
      <c r="AF70" s="70">
        <f t="shared" ref="AF70" si="188">AE70*(1+$M$14)</f>
        <v>0</v>
      </c>
      <c r="AG70" s="70">
        <f t="shared" ref="AG70" si="189">AF70*(1+$M$14)</f>
        <v>0</v>
      </c>
      <c r="AH70" s="70">
        <f t="shared" ref="AH70" si="190">AG70*(1+$M$14)</f>
        <v>0</v>
      </c>
      <c r="AI70" s="70">
        <f t="shared" ref="AI70" si="191">AH70*(1+$M$14)</f>
        <v>0</v>
      </c>
      <c r="AJ70" s="70">
        <f t="shared" ref="AJ70" si="192">AI70*(1+$M$14)</f>
        <v>0</v>
      </c>
      <c r="AK70" s="70">
        <f t="shared" ref="AK70" si="193">AJ70*(1+$M$14)</f>
        <v>0</v>
      </c>
      <c r="AL70" s="70">
        <f t="shared" ref="AL70" si="194">AK70*(1+$M$14)</f>
        <v>0</v>
      </c>
      <c r="AM70" s="70">
        <f t="shared" ref="AM70" si="195">AL70*(1+$M$14)</f>
        <v>0</v>
      </c>
      <c r="AN70" s="360"/>
      <c r="AO70" s="34"/>
      <c r="AP70" s="34"/>
      <c r="AQ70" s="34"/>
      <c r="AR70" s="34"/>
      <c r="AS70" s="34"/>
    </row>
    <row r="71" spans="1:58" ht="14.95" thickBot="1" x14ac:dyDescent="0.3">
      <c r="A71" s="701"/>
      <c r="B71" s="757" t="s">
        <v>236</v>
      </c>
      <c r="C71" s="196"/>
      <c r="E71" s="104"/>
      <c r="F71" s="114" t="s">
        <v>14</v>
      </c>
      <c r="G71" s="97">
        <f>IF('Total-Summary'!F14&lt;&gt;0,'Total-Summary'!F14,'Total-Summary'!G14)</f>
        <v>0</v>
      </c>
      <c r="H71" s="33" t="s">
        <v>48</v>
      </c>
      <c r="I71" s="95" t="str">
        <f>IF(Benchmarking!$E69&gt;0,"NA",IF(Benchmarking!$E$25&gt;0,"Propane","Fuel Oil"))</f>
        <v>Fuel Oil</v>
      </c>
      <c r="Q71" s="104"/>
      <c r="R71" s="114" t="s">
        <v>14</v>
      </c>
      <c r="S71" s="532">
        <f>IF(Benchmarking!E$24&gt;0,0,IF(Benchmarking!E$25&gt;0,O70/0.925,O70/1.385))</f>
        <v>0</v>
      </c>
      <c r="T71" s="33" t="s">
        <v>48</v>
      </c>
      <c r="U71" s="95" t="str">
        <f>IF(Benchmarking!E$24&gt;0,"NA",IF(Benchmarking!E$25&gt;0,"Propane","Fuel Oil"))</f>
        <v>Fuel Oil</v>
      </c>
      <c r="W71" s="28" t="s">
        <v>32</v>
      </c>
      <c r="X71" s="28"/>
      <c r="Y71" s="39"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>
        <v>0</v>
      </c>
      <c r="AN71" s="361"/>
      <c r="AO71" s="40"/>
      <c r="AP71" s="40"/>
      <c r="AQ71" s="40"/>
      <c r="AR71" s="40"/>
      <c r="AS71" s="40"/>
    </row>
    <row r="72" spans="1:58" s="636" customFormat="1" x14ac:dyDescent="0.25">
      <c r="D72" s="18"/>
      <c r="E72" s="100"/>
      <c r="F72" s="89" t="s">
        <v>14</v>
      </c>
      <c r="G72" s="78">
        <f>'Total-Summary'!H14</f>
        <v>0</v>
      </c>
      <c r="H72" s="79" t="s">
        <v>15</v>
      </c>
      <c r="I72" s="101"/>
      <c r="J72" s="18"/>
      <c r="K72" s="18"/>
      <c r="L72" s="209"/>
      <c r="M72" s="208"/>
      <c r="N72" s="74"/>
      <c r="O72" s="18"/>
      <c r="P72" s="74"/>
      <c r="Q72" s="104"/>
      <c r="R72" s="89" t="s">
        <v>14</v>
      </c>
      <c r="S72" s="78">
        <f>IF(S69=0,0,S69*Benchmarking!E$23+Benchmarking!E$24*S70+IF(Benchmarking!B$26&gt;0,Benchmarking!E$26*S71,Benchmarking!E$25*S71))</f>
        <v>0</v>
      </c>
      <c r="T72" s="79" t="s">
        <v>15</v>
      </c>
      <c r="U72" s="101"/>
      <c r="V72" s="18"/>
      <c r="W72" s="28" t="s">
        <v>33</v>
      </c>
      <c r="X72" s="43"/>
      <c r="Y72" s="61">
        <f t="shared" ref="Y72:AM72" si="196">Y69+Y70-Y71</f>
        <v>0</v>
      </c>
      <c r="Z72" s="61">
        <f t="shared" si="196"/>
        <v>0</v>
      </c>
      <c r="AA72" s="61">
        <f t="shared" si="196"/>
        <v>0</v>
      </c>
      <c r="AB72" s="61">
        <f t="shared" si="196"/>
        <v>0</v>
      </c>
      <c r="AC72" s="61">
        <f t="shared" si="196"/>
        <v>0</v>
      </c>
      <c r="AD72" s="61">
        <f t="shared" si="196"/>
        <v>0</v>
      </c>
      <c r="AE72" s="61">
        <f t="shared" si="196"/>
        <v>0</v>
      </c>
      <c r="AF72" s="61">
        <f t="shared" si="196"/>
        <v>0</v>
      </c>
      <c r="AG72" s="61">
        <f t="shared" si="196"/>
        <v>0</v>
      </c>
      <c r="AH72" s="61">
        <f t="shared" si="196"/>
        <v>0</v>
      </c>
      <c r="AI72" s="61">
        <f t="shared" si="196"/>
        <v>0</v>
      </c>
      <c r="AJ72" s="61">
        <f t="shared" si="196"/>
        <v>0</v>
      </c>
      <c r="AK72" s="61">
        <f t="shared" si="196"/>
        <v>0</v>
      </c>
      <c r="AL72" s="61">
        <f t="shared" si="196"/>
        <v>0</v>
      </c>
      <c r="AM72" s="61">
        <f t="shared" si="196"/>
        <v>0</v>
      </c>
      <c r="AN72" s="359"/>
      <c r="AO72" s="66"/>
      <c r="AP72" s="66"/>
      <c r="AQ72" s="66">
        <f t="shared" ref="AQ72" si="197">AQ69+Y70-Y71</f>
        <v>0</v>
      </c>
      <c r="AR72" s="66">
        <f t="shared" ref="AR72" si="198">AR69+Z70-Z71</f>
        <v>0</v>
      </c>
      <c r="AS72" s="66">
        <f t="shared" ref="AS72" si="199">AS69+AA70-AA71</f>
        <v>0</v>
      </c>
      <c r="AT72" s="66">
        <f t="shared" ref="AT72" si="200">AT69+AB70-AB71</f>
        <v>0</v>
      </c>
      <c r="AU72" s="66">
        <f t="shared" ref="AU72" si="201">AU69+AC70-AC71</f>
        <v>0</v>
      </c>
      <c r="AV72" s="66">
        <f t="shared" ref="AV72" si="202">AV69+AD70-AD71</f>
        <v>0</v>
      </c>
      <c r="AW72" s="66">
        <f t="shared" ref="AW72" si="203">AW69+AE70-AE71</f>
        <v>0</v>
      </c>
      <c r="AX72" s="66">
        <f t="shared" ref="AX72" si="204">AX69+AF70-AF71</f>
        <v>0</v>
      </c>
      <c r="AY72" s="66">
        <f t="shared" ref="AY72" si="205">AY69+AG70-AG71</f>
        <v>0</v>
      </c>
      <c r="AZ72" s="66">
        <f t="shared" ref="AZ72" si="206">AZ69+AH70-AH71</f>
        <v>0</v>
      </c>
      <c r="BA72" s="66">
        <f t="shared" ref="BA72" si="207">BA69+AI70-AI71</f>
        <v>0</v>
      </c>
      <c r="BB72" s="66">
        <f t="shared" ref="BB72" si="208">BB69+AJ70-AJ71</f>
        <v>0</v>
      </c>
      <c r="BC72" s="66">
        <f t="shared" ref="BC72" si="209">BC69+AK70-AK71</f>
        <v>0</v>
      </c>
      <c r="BD72" s="66">
        <f t="shared" ref="BD72" si="210">BD69+AL70-AL71</f>
        <v>0</v>
      </c>
      <c r="BE72" s="66">
        <f t="shared" ref="BE72" si="211">BE69+AM70-AM71</f>
        <v>0</v>
      </c>
      <c r="BF72" s="18"/>
    </row>
    <row r="73" spans="1:58" s="636" customFormat="1" x14ac:dyDescent="0.25">
      <c r="D73" s="18"/>
      <c r="E73" s="100"/>
      <c r="F73" s="89" t="s">
        <v>16</v>
      </c>
      <c r="G73" s="301">
        <f>IF(C70=0,0,(C70-C71)/G72)</f>
        <v>0</v>
      </c>
      <c r="H73" s="79" t="s">
        <v>17</v>
      </c>
      <c r="I73" s="101"/>
      <c r="J73" s="118"/>
      <c r="K73" s="18"/>
      <c r="L73" s="18"/>
      <c r="M73" s="18"/>
      <c r="N73" s="18"/>
      <c r="O73" s="18"/>
      <c r="P73" s="74"/>
      <c r="Q73" s="104"/>
      <c r="R73" s="89" t="s">
        <v>16</v>
      </c>
      <c r="S73" s="80">
        <f>IF((C70)=0,0,(C70-C71)/S72)</f>
        <v>0</v>
      </c>
      <c r="T73" s="79" t="s">
        <v>17</v>
      </c>
      <c r="U73" s="95"/>
      <c r="V73" s="18"/>
      <c r="W73" s="46" t="s">
        <v>115</v>
      </c>
      <c r="X73" s="46"/>
      <c r="Y73" s="47">
        <f>NPV($M$15,Y72:AM72)</f>
        <v>0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33"/>
      <c r="AP73" s="33"/>
      <c r="AQ73" s="33"/>
      <c r="AR73" s="33"/>
      <c r="AS73" s="33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</row>
    <row r="74" spans="1:58" s="636" customFormat="1" ht="14.95" thickBot="1" x14ac:dyDescent="0.3">
      <c r="D74" s="18"/>
      <c r="E74" s="109"/>
      <c r="F74" s="90" t="s">
        <v>257</v>
      </c>
      <c r="G74" s="81">
        <f>IF($C70=0,0,IF(($C71)&gt;0.95*$C70,$Y74/($C70-($C70*0.95)+1-$C70*$M$17),$Y74/($C70-$C71-$C70*$M$17)))</f>
        <v>0</v>
      </c>
      <c r="H74" s="82"/>
      <c r="I74" s="123"/>
      <c r="J74" s="118"/>
      <c r="K74" s="18"/>
      <c r="L74" s="18"/>
      <c r="M74" s="18"/>
      <c r="N74" s="18"/>
      <c r="O74" s="42"/>
      <c r="P74" s="345"/>
      <c r="Q74" s="105"/>
      <c r="R74" s="90" t="s">
        <v>257</v>
      </c>
      <c r="S74" s="81">
        <f>IF($C70=0,0,IF(($C71)&gt;0.95*$C70,$Y73/($C70-($C70*0.95)+1-$C70*$M$17),$Y73/($C70-$C71-$C70*$M$17)))</f>
        <v>0</v>
      </c>
      <c r="T74" s="82"/>
      <c r="U74" s="91"/>
      <c r="V74" s="18"/>
      <c r="W74" s="310" t="s">
        <v>454</v>
      </c>
      <c r="X74" s="310"/>
      <c r="Y74" s="311">
        <f>NPV(M$15,AQ72:BE72)</f>
        <v>0</v>
      </c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33"/>
      <c r="AP74" s="33"/>
      <c r="AQ74" s="33"/>
      <c r="AR74" s="33"/>
      <c r="AS74" s="33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</row>
    <row r="75" spans="1:58" s="636" customFormat="1" x14ac:dyDescent="0.25"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74"/>
      <c r="Q75" s="74"/>
      <c r="R75" s="74"/>
      <c r="S75" s="74"/>
      <c r="T75" s="74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</row>
    <row r="76" spans="1:58" s="636" customFormat="1" ht="19.7" thickBot="1" x14ac:dyDescent="0.4">
      <c r="A76" s="668"/>
      <c r="D76" s="18"/>
      <c r="E76" s="18"/>
      <c r="F76" s="18"/>
      <c r="G76" s="18"/>
      <c r="H76" s="18"/>
      <c r="I76" s="18"/>
      <c r="J76" s="18"/>
      <c r="K76" s="135" t="s">
        <v>113</v>
      </c>
      <c r="L76" s="18"/>
      <c r="M76" s="18"/>
      <c r="N76" s="18"/>
      <c r="O76" s="18"/>
      <c r="P76" s="74"/>
      <c r="Q76" s="74"/>
      <c r="R76" s="74"/>
      <c r="S76" s="74"/>
      <c r="T76" s="74"/>
      <c r="U76" s="18"/>
      <c r="V76" s="18"/>
      <c r="W76" s="23" t="s">
        <v>111</v>
      </c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</row>
    <row r="77" spans="1:58" s="636" customFormat="1" ht="30.6" customHeight="1" thickBot="1" x14ac:dyDescent="0.4">
      <c r="A77" s="711" t="s">
        <v>262</v>
      </c>
      <c r="B77" s="712" t="str">
        <f>B18</f>
        <v>Replace 32 Watt T8 lamps with 28 Watt T8 Lamps</v>
      </c>
      <c r="C77" s="655" t="s">
        <v>51</v>
      </c>
      <c r="D77" s="18"/>
      <c r="E77" s="799" t="s">
        <v>458</v>
      </c>
      <c r="F77" s="800"/>
      <c r="G77" s="800"/>
      <c r="H77" s="800"/>
      <c r="I77" s="801"/>
      <c r="J77" s="18"/>
      <c r="K77" s="24"/>
      <c r="L77" s="52" t="str">
        <f>A77</f>
        <v>ECM 7</v>
      </c>
      <c r="M77" s="25" t="s">
        <v>246</v>
      </c>
      <c r="N77" s="25" t="s">
        <v>247</v>
      </c>
      <c r="O77" s="398" t="s">
        <v>248</v>
      </c>
      <c r="P77" s="174"/>
      <c r="Q77" s="793" t="s">
        <v>74</v>
      </c>
      <c r="R77" s="794"/>
      <c r="S77" s="794"/>
      <c r="T77" s="794"/>
      <c r="U77" s="795"/>
      <c r="V77" s="18"/>
      <c r="W77" s="28" t="s">
        <v>29</v>
      </c>
      <c r="X77" s="28">
        <v>0</v>
      </c>
      <c r="Y77" s="29">
        <v>1</v>
      </c>
      <c r="Z77" s="29">
        <v>2</v>
      </c>
      <c r="AA77" s="29">
        <v>3</v>
      </c>
      <c r="AB77" s="29">
        <v>4</v>
      </c>
      <c r="AC77" s="30"/>
      <c r="AD77" s="28">
        <v>0</v>
      </c>
      <c r="AE77" s="29">
        <v>1</v>
      </c>
      <c r="AF77" s="29">
        <v>2</v>
      </c>
      <c r="AG77" s="29">
        <v>3</v>
      </c>
      <c r="AH77" s="29">
        <v>4</v>
      </c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3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</row>
    <row r="78" spans="1:58" x14ac:dyDescent="0.25">
      <c r="A78" s="747"/>
      <c r="B78" s="659" t="s">
        <v>418</v>
      </c>
      <c r="C78" s="197"/>
      <c r="E78" s="108"/>
      <c r="F78" s="84" t="s">
        <v>314</v>
      </c>
      <c r="G78" s="94">
        <f>'Total-Summary'!C15</f>
        <v>0</v>
      </c>
      <c r="H78" s="85" t="s">
        <v>378</v>
      </c>
      <c r="I78" s="119"/>
      <c r="K78" s="31" t="s">
        <v>7</v>
      </c>
      <c r="L78" s="31" t="s">
        <v>117</v>
      </c>
      <c r="M78" s="257">
        <f>$C$78*29*'AVG lighting impact'!B7</f>
        <v>0</v>
      </c>
      <c r="N78" s="124">
        <f>$C$78*29*'AVG lighting impact'!C7</f>
        <v>0</v>
      </c>
      <c r="O78" s="255">
        <f>$C$78*29*'AVG lighting impact'!D7</f>
        <v>0</v>
      </c>
      <c r="P78" s="346"/>
      <c r="Q78" s="98"/>
      <c r="R78" s="84" t="s">
        <v>314</v>
      </c>
      <c r="S78" s="536">
        <f>N80</f>
        <v>0</v>
      </c>
      <c r="T78" s="85" t="s">
        <v>378</v>
      </c>
      <c r="U78" s="99"/>
      <c r="W78" s="28" t="s">
        <v>29</v>
      </c>
      <c r="X78" s="28">
        <v>2013</v>
      </c>
      <c r="Y78" s="28">
        <f>X78+1</f>
        <v>2014</v>
      </c>
      <c r="Z78" s="28">
        <f t="shared" ref="Z78:AB78" si="212">Y78+1</f>
        <v>2015</v>
      </c>
      <c r="AA78" s="28">
        <f t="shared" si="212"/>
        <v>2016</v>
      </c>
      <c r="AB78" s="28">
        <f t="shared" si="212"/>
        <v>2017</v>
      </c>
      <c r="AC78" s="33"/>
      <c r="AD78" s="28">
        <v>2013</v>
      </c>
      <c r="AE78" s="28">
        <f>AD78+1</f>
        <v>2014</v>
      </c>
      <c r="AF78" s="28">
        <f t="shared" ref="AF78" si="213">AE78+1</f>
        <v>2015</v>
      </c>
      <c r="AG78" s="28">
        <f t="shared" ref="AG78" si="214">AF78+1</f>
        <v>2016</v>
      </c>
      <c r="AH78" s="28">
        <f t="shared" ref="AH78" si="215">AG78+1</f>
        <v>2017</v>
      </c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</row>
    <row r="79" spans="1:58" ht="16.3" x14ac:dyDescent="0.3">
      <c r="A79" s="700"/>
      <c r="B79" s="699" t="s">
        <v>368</v>
      </c>
      <c r="C79" s="626"/>
      <c r="D79" s="118"/>
      <c r="E79" s="117"/>
      <c r="F79" s="41" t="s">
        <v>5</v>
      </c>
      <c r="G79" s="92">
        <f>'Total-Summary'!D15</f>
        <v>0</v>
      </c>
      <c r="H79" s="79" t="s">
        <v>6</v>
      </c>
      <c r="I79" s="120"/>
      <c r="K79" s="31" t="s">
        <v>8</v>
      </c>
      <c r="L79" s="31" t="s">
        <v>118</v>
      </c>
      <c r="M79" s="257">
        <f>$C$78*25*'AVG lighting impact'!B7</f>
        <v>0</v>
      </c>
      <c r="N79" s="124">
        <f>$C$78*24.5*'AVG lighting impact'!C7</f>
        <v>0</v>
      </c>
      <c r="O79" s="255">
        <f>$C$78*24.5*'AVG lighting impact'!D7</f>
        <v>0</v>
      </c>
      <c r="P79" s="346"/>
      <c r="Q79" s="104"/>
      <c r="R79" s="41" t="s">
        <v>5</v>
      </c>
      <c r="S79" s="539">
        <f>M80</f>
        <v>0</v>
      </c>
      <c r="T79" s="79" t="s">
        <v>6</v>
      </c>
      <c r="U79" s="95"/>
      <c r="W79" s="70" t="s">
        <v>30</v>
      </c>
      <c r="X79" s="70"/>
      <c r="Y79" s="70">
        <f>S82</f>
        <v>0</v>
      </c>
      <c r="Z79" s="70">
        <f>Y79*(1+$M$16)</f>
        <v>0</v>
      </c>
      <c r="AA79" s="70">
        <f>Z79*(1+$M$16)</f>
        <v>0</v>
      </c>
      <c r="AB79" s="70">
        <f>AA79*(1+$M$16)</f>
        <v>0</v>
      </c>
      <c r="AC79" s="34"/>
      <c r="AD79" s="70"/>
      <c r="AE79" s="70">
        <f>'Total-Summary'!H15</f>
        <v>0</v>
      </c>
      <c r="AF79" s="70">
        <f>AE79*(1+$M$16)</f>
        <v>0</v>
      </c>
      <c r="AG79" s="70">
        <f>AF79*(1+$M$16)</f>
        <v>0</v>
      </c>
      <c r="AH79" s="70">
        <f>AG79*(1+$M$16)</f>
        <v>0</v>
      </c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3"/>
    </row>
    <row r="80" spans="1:58" ht="14.95" thickBot="1" x14ac:dyDescent="0.3">
      <c r="A80" s="701"/>
      <c r="B80" s="663" t="s">
        <v>236</v>
      </c>
      <c r="C80" s="196"/>
      <c r="D80" s="118"/>
      <c r="E80" s="104"/>
      <c r="F80" s="96" t="s">
        <v>5</v>
      </c>
      <c r="G80" s="97">
        <f>'Total-Summary'!E15</f>
        <v>0</v>
      </c>
      <c r="H80" s="33" t="s">
        <v>379</v>
      </c>
      <c r="I80" s="101"/>
      <c r="K80" s="35"/>
      <c r="L80" s="35" t="s">
        <v>2</v>
      </c>
      <c r="M80" s="258">
        <f>M78-M79</f>
        <v>0</v>
      </c>
      <c r="N80" s="153">
        <f>N78-N79</f>
        <v>0</v>
      </c>
      <c r="O80" s="256">
        <f>O78-O79</f>
        <v>0</v>
      </c>
      <c r="P80" s="346"/>
      <c r="Q80" s="104"/>
      <c r="R80" s="96" t="s">
        <v>5</v>
      </c>
      <c r="S80" s="532">
        <f>IF(Benchmarking!B$20=0,0,O80)</f>
        <v>0</v>
      </c>
      <c r="T80" s="33" t="s">
        <v>379</v>
      </c>
      <c r="U80" s="101"/>
      <c r="W80" s="28" t="s">
        <v>31</v>
      </c>
      <c r="X80" s="28"/>
      <c r="Y80" s="70">
        <f>$M$18*$C79</f>
        <v>0</v>
      </c>
      <c r="Z80" s="70">
        <f>Y80*(1+$M$14)</f>
        <v>0</v>
      </c>
      <c r="AA80" s="70">
        <f>Z80*(1+$M$14)</f>
        <v>0</v>
      </c>
      <c r="AB80" s="70">
        <f>AA80*(1+$M$14)</f>
        <v>0</v>
      </c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3"/>
    </row>
    <row r="81" spans="1:58" s="636" customFormat="1" x14ac:dyDescent="0.25">
      <c r="A81" s="668"/>
      <c r="D81" s="18"/>
      <c r="E81" s="104"/>
      <c r="F81" s="114" t="s">
        <v>14</v>
      </c>
      <c r="G81" s="97">
        <f>IF('Total-Summary'!F15&lt;&gt;0,'Total-Summary'!F15,'Total-Summary'!G15)</f>
        <v>0</v>
      </c>
      <c r="H81" s="33" t="s">
        <v>48</v>
      </c>
      <c r="I81" s="95" t="str">
        <f>IF(Benchmarking!$E69&gt;0,"NA",IF(Benchmarking!$E$25&gt;0,"Propane","Fuel Oil"))</f>
        <v>Fuel Oil</v>
      </c>
      <c r="J81" s="118"/>
      <c r="K81" s="18"/>
      <c r="L81" s="18"/>
      <c r="M81" s="18"/>
      <c r="N81" s="18"/>
      <c r="O81" s="18"/>
      <c r="P81" s="74"/>
      <c r="Q81" s="104"/>
      <c r="R81" s="114" t="s">
        <v>14</v>
      </c>
      <c r="S81" s="532">
        <f>IF(Benchmarking!E$24&gt;0,0,IF(Benchmarking!E$25&gt;0,O80/0.925,O80/1.385))</f>
        <v>0</v>
      </c>
      <c r="T81" s="33" t="s">
        <v>48</v>
      </c>
      <c r="U81" s="95" t="str">
        <f>IF(Benchmarking!E$24&gt;0,"NA",IF(Benchmarking!E$25&gt;0,"Propane","Fuel Oil"))</f>
        <v>Fuel Oil</v>
      </c>
      <c r="V81" s="18"/>
      <c r="W81" s="28" t="s">
        <v>32</v>
      </c>
      <c r="X81" s="28"/>
      <c r="Y81" s="39">
        <v>0</v>
      </c>
      <c r="Z81" s="39">
        <v>0</v>
      </c>
      <c r="AA81" s="39">
        <v>0</v>
      </c>
      <c r="AB81" s="39">
        <v>0</v>
      </c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33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</row>
    <row r="82" spans="1:58" s="636" customFormat="1" x14ac:dyDescent="0.25">
      <c r="A82" s="668"/>
      <c r="D82" s="18"/>
      <c r="E82" s="100"/>
      <c r="F82" s="89" t="s">
        <v>14</v>
      </c>
      <c r="G82" s="155">
        <f>'Total-Summary'!H15</f>
        <v>0</v>
      </c>
      <c r="H82" s="79" t="s">
        <v>15</v>
      </c>
      <c r="I82" s="101"/>
      <c r="J82" s="118"/>
      <c r="K82" s="18"/>
      <c r="L82" s="209"/>
      <c r="M82" s="206"/>
      <c r="N82" s="74"/>
      <c r="O82" s="18"/>
      <c r="P82" s="74"/>
      <c r="Q82" s="104"/>
      <c r="R82" s="89" t="s">
        <v>14</v>
      </c>
      <c r="S82" s="155">
        <f>IF(S79=0,0,S79*Benchmarking!E$23+Benchmarking!E$24*S80+IF(Benchmarking!B$26&gt;0,Benchmarking!E$26*S81,Benchmarking!E$25*S81))</f>
        <v>0</v>
      </c>
      <c r="T82" s="79" t="s">
        <v>15</v>
      </c>
      <c r="U82" s="101"/>
      <c r="V82" s="18"/>
      <c r="W82" s="28" t="s">
        <v>33</v>
      </c>
      <c r="X82" s="43"/>
      <c r="Y82" s="44">
        <f>Y79+Y80-Y81</f>
        <v>0</v>
      </c>
      <c r="Z82" s="44">
        <f>Z79+Z80-Z81</f>
        <v>0</v>
      </c>
      <c r="AA82" s="44">
        <f>AA79+AA80-AA81</f>
        <v>0</v>
      </c>
      <c r="AB82" s="44">
        <f>AB79+AB80-AB81</f>
        <v>0</v>
      </c>
      <c r="AC82" s="45"/>
      <c r="AD82" s="45"/>
      <c r="AE82" s="45">
        <f>AE79+Y80-Y81</f>
        <v>0</v>
      </c>
      <c r="AF82" s="45">
        <f t="shared" ref="AF82:AH82" si="216">AF79+Z80-Z81</f>
        <v>0</v>
      </c>
      <c r="AG82" s="45">
        <f t="shared" si="216"/>
        <v>0</v>
      </c>
      <c r="AH82" s="45">
        <f t="shared" si="216"/>
        <v>0</v>
      </c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33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</row>
    <row r="83" spans="1:58" s="636" customFormat="1" x14ac:dyDescent="0.25">
      <c r="A83" s="668"/>
      <c r="B83" s="710"/>
      <c r="D83" s="18"/>
      <c r="E83" s="100"/>
      <c r="F83" s="89" t="s">
        <v>16</v>
      </c>
      <c r="G83" s="301">
        <f>IF(C79=0,0,(C79-C80)/G82)</f>
        <v>0</v>
      </c>
      <c r="H83" s="79" t="s">
        <v>17</v>
      </c>
      <c r="I83" s="101"/>
      <c r="J83" s="18"/>
      <c r="K83" s="18"/>
      <c r="L83" s="18"/>
      <c r="M83" s="18"/>
      <c r="N83" s="18"/>
      <c r="O83" s="18"/>
      <c r="P83" s="74"/>
      <c r="Q83" s="117"/>
      <c r="R83" s="89" t="s">
        <v>16</v>
      </c>
      <c r="S83" s="80">
        <f>IF(C78=0,0,(C79-C80)/S82)</f>
        <v>0</v>
      </c>
      <c r="T83" s="79" t="s">
        <v>17</v>
      </c>
      <c r="U83" s="120"/>
      <c r="V83" s="18"/>
      <c r="W83" s="46" t="s">
        <v>115</v>
      </c>
      <c r="X83" s="46"/>
      <c r="Y83" s="47">
        <f>NPV($M$15,Y82:AB82)</f>
        <v>0</v>
      </c>
      <c r="Z83" s="46"/>
      <c r="AA83" s="46"/>
      <c r="AB83" s="46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</row>
    <row r="84" spans="1:58" s="636" customFormat="1" ht="14.95" thickBot="1" x14ac:dyDescent="0.3">
      <c r="A84" s="668"/>
      <c r="B84" s="710"/>
      <c r="D84" s="74"/>
      <c r="E84" s="109"/>
      <c r="F84" s="90" t="s">
        <v>257</v>
      </c>
      <c r="G84" s="81">
        <f>IF($C79=0,0,IF(($C80)&gt;0.95*$C79,$Y84/($C79-($C79*0.95)+1-$C79*$M$17),$Y84/($C79-$C80-$C79*$M$17)))</f>
        <v>0</v>
      </c>
      <c r="H84" s="82"/>
      <c r="I84" s="123"/>
      <c r="J84" s="18"/>
      <c r="K84" s="18"/>
      <c r="L84" s="18"/>
      <c r="M84" s="18"/>
      <c r="N84" s="18"/>
      <c r="O84" s="42"/>
      <c r="P84" s="345"/>
      <c r="Q84" s="121"/>
      <c r="R84" s="90" t="s">
        <v>257</v>
      </c>
      <c r="S84" s="81">
        <f>IF($C79=0,0,IF(($C80)&gt;0.95*$C79,$Y83/($C79-($C79*0.95)+1-$C79*$M$17),$Y83/($C79-$C80-$C79*$M$17)))</f>
        <v>0</v>
      </c>
      <c r="T84" s="82"/>
      <c r="U84" s="122"/>
      <c r="V84" s="18"/>
      <c r="W84" s="310" t="s">
        <v>454</v>
      </c>
      <c r="X84" s="310"/>
      <c r="Y84" s="311">
        <f>NPV(M15,AE82:AH82)</f>
        <v>0</v>
      </c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</row>
    <row r="85" spans="1:58" s="636" customFormat="1" x14ac:dyDescent="0.25">
      <c r="A85" s="668"/>
      <c r="D85" s="18"/>
      <c r="E85" s="74"/>
      <c r="F85" s="74"/>
      <c r="G85" s="74"/>
      <c r="H85" s="74"/>
      <c r="I85" s="74"/>
      <c r="J85" s="74"/>
      <c r="K85" s="18"/>
      <c r="L85" s="18"/>
      <c r="M85" s="18"/>
      <c r="N85" s="18"/>
      <c r="O85" s="42"/>
      <c r="P85" s="345"/>
      <c r="Q85" s="345"/>
      <c r="R85" s="345"/>
      <c r="S85" s="345"/>
      <c r="T85" s="345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</row>
    <row r="86" spans="1:58" s="636" customFormat="1" x14ac:dyDescent="0.25">
      <c r="A86" s="66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74"/>
      <c r="Q86" s="74"/>
      <c r="R86" s="74"/>
      <c r="S86" s="74"/>
      <c r="T86" s="74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</row>
    <row r="87" spans="1:58" s="636" customFormat="1" x14ac:dyDescent="0.25">
      <c r="A87" s="66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74"/>
      <c r="Q87" s="74"/>
      <c r="R87" s="74"/>
      <c r="S87" s="74"/>
      <c r="T87" s="74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33"/>
      <c r="AP87" s="33"/>
      <c r="AQ87" s="33"/>
      <c r="AR87" s="33"/>
      <c r="AS87" s="33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</row>
    <row r="88" spans="1:58" s="636" customFormat="1" ht="19.7" thickBot="1" x14ac:dyDescent="0.4">
      <c r="A88" s="668"/>
      <c r="D88" s="18"/>
      <c r="E88" s="18"/>
      <c r="F88" s="18"/>
      <c r="G88" s="18"/>
      <c r="H88" s="18"/>
      <c r="I88" s="18"/>
      <c r="J88" s="18"/>
      <c r="K88" s="135" t="s">
        <v>113</v>
      </c>
      <c r="L88" s="18"/>
      <c r="M88" s="18"/>
      <c r="N88" s="18"/>
      <c r="O88" s="18"/>
      <c r="P88" s="74"/>
      <c r="Q88" s="74"/>
      <c r="R88" s="74"/>
      <c r="S88" s="74"/>
      <c r="T88" s="74"/>
      <c r="U88" s="18"/>
      <c r="V88" s="18"/>
      <c r="W88" s="23" t="s">
        <v>107</v>
      </c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33"/>
      <c r="AP88" s="33"/>
      <c r="AQ88" s="33"/>
      <c r="AR88" s="33"/>
      <c r="AS88" s="33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</row>
    <row r="89" spans="1:58" s="636" customFormat="1" ht="30.6" customHeight="1" thickBot="1" x14ac:dyDescent="0.4">
      <c r="A89" s="711" t="s">
        <v>263</v>
      </c>
      <c r="B89" s="712" t="str">
        <f>B19</f>
        <v>Replace mercury vapor/HPS/Metal Halide with LED/Induction lights</v>
      </c>
      <c r="C89" s="703" t="s">
        <v>51</v>
      </c>
      <c r="D89" s="18"/>
      <c r="E89" s="799" t="s">
        <v>458</v>
      </c>
      <c r="F89" s="800"/>
      <c r="G89" s="800"/>
      <c r="H89" s="800"/>
      <c r="I89" s="801"/>
      <c r="J89" s="18"/>
      <c r="K89" s="24"/>
      <c r="L89" s="52" t="str">
        <f>A89</f>
        <v>ECM 8&amp;9</v>
      </c>
      <c r="M89" s="25" t="s">
        <v>380</v>
      </c>
      <c r="N89" s="25" t="s">
        <v>382</v>
      </c>
      <c r="O89" s="25" t="s">
        <v>381</v>
      </c>
      <c r="P89" s="174"/>
      <c r="Q89" s="793" t="s">
        <v>74</v>
      </c>
      <c r="R89" s="794"/>
      <c r="S89" s="794"/>
      <c r="T89" s="794"/>
      <c r="U89" s="795"/>
      <c r="V89" s="18"/>
      <c r="W89" s="28" t="s">
        <v>29</v>
      </c>
      <c r="X89" s="28">
        <v>0</v>
      </c>
      <c r="Y89" s="29">
        <v>1</v>
      </c>
      <c r="Z89" s="29">
        <v>2</v>
      </c>
      <c r="AA89" s="29">
        <v>3</v>
      </c>
      <c r="AB89" s="29">
        <v>4</v>
      </c>
      <c r="AC89" s="29">
        <v>5</v>
      </c>
      <c r="AD89" s="29">
        <v>6</v>
      </c>
      <c r="AE89" s="29">
        <v>7</v>
      </c>
      <c r="AF89" s="29">
        <v>8</v>
      </c>
      <c r="AG89" s="29">
        <v>9</v>
      </c>
      <c r="AH89" s="29">
        <v>10</v>
      </c>
      <c r="AI89" s="29">
        <v>11</v>
      </c>
      <c r="AJ89" s="29">
        <v>12</v>
      </c>
      <c r="AK89" s="29">
        <v>13</v>
      </c>
      <c r="AL89" s="29">
        <v>14</v>
      </c>
      <c r="AM89" s="29">
        <v>15</v>
      </c>
      <c r="AN89" s="355"/>
      <c r="AO89" s="30"/>
      <c r="AP89" s="28">
        <v>0</v>
      </c>
      <c r="AQ89" s="29">
        <v>1</v>
      </c>
      <c r="AR89" s="29">
        <v>2</v>
      </c>
      <c r="AS89" s="29">
        <v>3</v>
      </c>
      <c r="AT89" s="29">
        <v>4</v>
      </c>
      <c r="AU89" s="29">
        <v>5</v>
      </c>
      <c r="AV89" s="29">
        <v>6</v>
      </c>
      <c r="AW89" s="29">
        <v>7</v>
      </c>
      <c r="AX89" s="29">
        <v>8</v>
      </c>
      <c r="AY89" s="29">
        <v>9</v>
      </c>
      <c r="AZ89" s="29">
        <v>10</v>
      </c>
      <c r="BA89" s="29">
        <v>11</v>
      </c>
      <c r="BB89" s="29">
        <v>12</v>
      </c>
      <c r="BC89" s="29">
        <v>13</v>
      </c>
      <c r="BD89" s="29">
        <v>14</v>
      </c>
      <c r="BE89" s="29">
        <v>15</v>
      </c>
      <c r="BF89" s="18"/>
    </row>
    <row r="90" spans="1:58" x14ac:dyDescent="0.25">
      <c r="A90" s="747" t="s">
        <v>251</v>
      </c>
      <c r="B90" s="659" t="s">
        <v>306</v>
      </c>
      <c r="C90" s="197"/>
      <c r="E90" s="108"/>
      <c r="F90" s="84" t="s">
        <v>314</v>
      </c>
      <c r="G90" s="94">
        <f>'Total-Summary'!C16</f>
        <v>0</v>
      </c>
      <c r="H90" s="85" t="s">
        <v>378</v>
      </c>
      <c r="I90" s="119"/>
      <c r="K90" s="31" t="s">
        <v>7</v>
      </c>
      <c r="L90" s="31" t="s">
        <v>506</v>
      </c>
      <c r="M90" s="55">
        <f>($C$91*'Lamp ratio'!E44*4380+$C$95*'Lamp ratio'!E45*4380)/1000</f>
        <v>0</v>
      </c>
      <c r="N90" s="28">
        <v>0</v>
      </c>
      <c r="O90" s="28">
        <v>0</v>
      </c>
      <c r="P90" s="69"/>
      <c r="Q90" s="98"/>
      <c r="R90" s="84" t="s">
        <v>314</v>
      </c>
      <c r="S90" s="536">
        <f>N92</f>
        <v>0</v>
      </c>
      <c r="T90" s="85" t="s">
        <v>378</v>
      </c>
      <c r="U90" s="99"/>
      <c r="W90" s="28" t="s">
        <v>29</v>
      </c>
      <c r="X90" s="28">
        <v>2013</v>
      </c>
      <c r="Y90" s="28">
        <f>X90+1</f>
        <v>2014</v>
      </c>
      <c r="Z90" s="28">
        <f t="shared" ref="Z90:AM90" si="217">Y90+1</f>
        <v>2015</v>
      </c>
      <c r="AA90" s="28">
        <f t="shared" si="217"/>
        <v>2016</v>
      </c>
      <c r="AB90" s="28">
        <f t="shared" si="217"/>
        <v>2017</v>
      </c>
      <c r="AC90" s="28">
        <f t="shared" si="217"/>
        <v>2018</v>
      </c>
      <c r="AD90" s="28">
        <f t="shared" si="217"/>
        <v>2019</v>
      </c>
      <c r="AE90" s="28">
        <f t="shared" si="217"/>
        <v>2020</v>
      </c>
      <c r="AF90" s="28">
        <f t="shared" si="217"/>
        <v>2021</v>
      </c>
      <c r="AG90" s="28">
        <f t="shared" si="217"/>
        <v>2022</v>
      </c>
      <c r="AH90" s="28">
        <f t="shared" si="217"/>
        <v>2023</v>
      </c>
      <c r="AI90" s="28">
        <f t="shared" si="217"/>
        <v>2024</v>
      </c>
      <c r="AJ90" s="28">
        <f t="shared" si="217"/>
        <v>2025</v>
      </c>
      <c r="AK90" s="28">
        <f t="shared" si="217"/>
        <v>2026</v>
      </c>
      <c r="AL90" s="28">
        <f t="shared" si="217"/>
        <v>2027</v>
      </c>
      <c r="AM90" s="28">
        <f t="shared" si="217"/>
        <v>2028</v>
      </c>
      <c r="AN90" s="240"/>
      <c r="AO90" s="33"/>
      <c r="AP90" s="28">
        <v>2013</v>
      </c>
      <c r="AQ90" s="28">
        <f>AP90+1</f>
        <v>2014</v>
      </c>
      <c r="AR90" s="28">
        <f t="shared" ref="AR90" si="218">AQ90+1</f>
        <v>2015</v>
      </c>
      <c r="AS90" s="28">
        <f t="shared" ref="AS90" si="219">AR90+1</f>
        <v>2016</v>
      </c>
      <c r="AT90" s="28">
        <f t="shared" ref="AT90" si="220">AS90+1</f>
        <v>2017</v>
      </c>
      <c r="AU90" s="28">
        <f t="shared" ref="AU90" si="221">AT90+1</f>
        <v>2018</v>
      </c>
      <c r="AV90" s="28">
        <f t="shared" ref="AV90" si="222">AU90+1</f>
        <v>2019</v>
      </c>
      <c r="AW90" s="28">
        <f t="shared" ref="AW90" si="223">AV90+1</f>
        <v>2020</v>
      </c>
      <c r="AX90" s="28">
        <f t="shared" ref="AX90" si="224">AW90+1</f>
        <v>2021</v>
      </c>
      <c r="AY90" s="28">
        <f t="shared" ref="AY90" si="225">AX90+1</f>
        <v>2022</v>
      </c>
      <c r="AZ90" s="28">
        <f t="shared" ref="AZ90" si="226">AY90+1</f>
        <v>2023</v>
      </c>
      <c r="BA90" s="28">
        <f t="shared" ref="BA90" si="227">AZ90+1</f>
        <v>2024</v>
      </c>
      <c r="BB90" s="28">
        <f t="shared" ref="BB90" si="228">BA90+1</f>
        <v>2025</v>
      </c>
      <c r="BC90" s="28">
        <f t="shared" ref="BC90" si="229">BB90+1</f>
        <v>2026</v>
      </c>
      <c r="BD90" s="28">
        <f t="shared" ref="BD90" si="230">BC90+1</f>
        <v>2027</v>
      </c>
      <c r="BE90" s="28">
        <f t="shared" ref="BE90" si="231">BD90+1</f>
        <v>2028</v>
      </c>
    </row>
    <row r="91" spans="1:58" x14ac:dyDescent="0.25">
      <c r="A91" s="758"/>
      <c r="B91" s="659" t="s">
        <v>419</v>
      </c>
      <c r="C91" s="192"/>
      <c r="E91" s="117"/>
      <c r="F91" s="41" t="s">
        <v>5</v>
      </c>
      <c r="G91" s="92">
        <f>'Total-Summary'!D16</f>
        <v>0</v>
      </c>
      <c r="H91" s="79" t="s">
        <v>6</v>
      </c>
      <c r="I91" s="120"/>
      <c r="K91" s="31" t="s">
        <v>8</v>
      </c>
      <c r="L91" s="31" t="s">
        <v>255</v>
      </c>
      <c r="M91" s="55">
        <f>(C$91*4380+C$95*4380)/1000</f>
        <v>0</v>
      </c>
      <c r="N91" s="28">
        <v>0</v>
      </c>
      <c r="O91" s="28">
        <v>0</v>
      </c>
      <c r="P91" s="69"/>
      <c r="Q91" s="104"/>
      <c r="R91" s="41" t="s">
        <v>5</v>
      </c>
      <c r="S91" s="523">
        <f>M92</f>
        <v>0</v>
      </c>
      <c r="T91" s="79" t="s">
        <v>6</v>
      </c>
      <c r="U91" s="95"/>
      <c r="W91" s="70" t="s">
        <v>30</v>
      </c>
      <c r="X91" s="70"/>
      <c r="Y91" s="70">
        <f>S94</f>
        <v>0</v>
      </c>
      <c r="Z91" s="70">
        <f>Y91*(1+$M$16)</f>
        <v>0</v>
      </c>
      <c r="AA91" s="70">
        <f t="shared" ref="AA91:AM91" si="232">Z91*(1+$M$16)</f>
        <v>0</v>
      </c>
      <c r="AB91" s="70">
        <f t="shared" si="232"/>
        <v>0</v>
      </c>
      <c r="AC91" s="70">
        <f t="shared" si="232"/>
        <v>0</v>
      </c>
      <c r="AD91" s="70">
        <f t="shared" si="232"/>
        <v>0</v>
      </c>
      <c r="AE91" s="70">
        <f t="shared" si="232"/>
        <v>0</v>
      </c>
      <c r="AF91" s="70">
        <f t="shared" si="232"/>
        <v>0</v>
      </c>
      <c r="AG91" s="70">
        <f t="shared" si="232"/>
        <v>0</v>
      </c>
      <c r="AH91" s="70">
        <f t="shared" si="232"/>
        <v>0</v>
      </c>
      <c r="AI91" s="70">
        <f t="shared" si="232"/>
        <v>0</v>
      </c>
      <c r="AJ91" s="70">
        <f t="shared" si="232"/>
        <v>0</v>
      </c>
      <c r="AK91" s="70">
        <f t="shared" si="232"/>
        <v>0</v>
      </c>
      <c r="AL91" s="70">
        <f t="shared" si="232"/>
        <v>0</v>
      </c>
      <c r="AM91" s="70">
        <f t="shared" si="232"/>
        <v>0</v>
      </c>
      <c r="AN91" s="360"/>
      <c r="AO91" s="34"/>
      <c r="AP91" s="70"/>
      <c r="AQ91" s="70">
        <f>'Total-Summary'!H16</f>
        <v>0</v>
      </c>
      <c r="AR91" s="70">
        <f>AQ91*(1+$M$16)</f>
        <v>0</v>
      </c>
      <c r="AS91" s="70">
        <f t="shared" ref="AS91" si="233">AR91*(1+$M$16)</f>
        <v>0</v>
      </c>
      <c r="AT91" s="70">
        <f t="shared" ref="AT91" si="234">AS91*(1+$M$16)</f>
        <v>0</v>
      </c>
      <c r="AU91" s="70">
        <f t="shared" ref="AU91" si="235">AT91*(1+$M$16)</f>
        <v>0</v>
      </c>
      <c r="AV91" s="70">
        <f t="shared" ref="AV91" si="236">AU91*(1+$M$16)</f>
        <v>0</v>
      </c>
      <c r="AW91" s="70">
        <f t="shared" ref="AW91" si="237">AV91*(1+$M$16)</f>
        <v>0</v>
      </c>
      <c r="AX91" s="70">
        <f t="shared" ref="AX91" si="238">AW91*(1+$M$16)</f>
        <v>0</v>
      </c>
      <c r="AY91" s="70">
        <f t="shared" ref="AY91" si="239">AX91*(1+$M$16)</f>
        <v>0</v>
      </c>
      <c r="AZ91" s="70">
        <f t="shared" ref="AZ91" si="240">AY91*(1+$M$16)</f>
        <v>0</v>
      </c>
      <c r="BA91" s="70">
        <f t="shared" ref="BA91" si="241">AZ91*(1+$M$16)</f>
        <v>0</v>
      </c>
      <c r="BB91" s="70">
        <f t="shared" ref="BB91" si="242">BA91*(1+$M$16)</f>
        <v>0</v>
      </c>
      <c r="BC91" s="70">
        <f t="shared" ref="BC91" si="243">BB91*(1+$M$16)</f>
        <v>0</v>
      </c>
      <c r="BD91" s="70">
        <f t="shared" ref="BD91" si="244">BC91*(1+$M$16)</f>
        <v>0</v>
      </c>
      <c r="BE91" s="70">
        <f t="shared" ref="BE91" si="245">BD91*(1+$M$16)</f>
        <v>0</v>
      </c>
    </row>
    <row r="92" spans="1:58" ht="17" thickBot="1" x14ac:dyDescent="0.35">
      <c r="A92" s="758"/>
      <c r="B92" s="699" t="s">
        <v>368</v>
      </c>
      <c r="C92" s="194"/>
      <c r="D92" s="74"/>
      <c r="E92" s="104"/>
      <c r="F92" s="96" t="s">
        <v>5</v>
      </c>
      <c r="G92" s="97">
        <f>'Total-Summary'!E16</f>
        <v>0</v>
      </c>
      <c r="H92" s="33" t="s">
        <v>379</v>
      </c>
      <c r="I92" s="101"/>
      <c r="K92" s="35"/>
      <c r="L92" s="35" t="s">
        <v>2</v>
      </c>
      <c r="M92" s="58">
        <f>M90-M91</f>
        <v>0</v>
      </c>
      <c r="N92" s="36">
        <f>N90-N91</f>
        <v>0</v>
      </c>
      <c r="O92" s="36">
        <f>O90-O91</f>
        <v>0</v>
      </c>
      <c r="P92" s="69"/>
      <c r="Q92" s="104"/>
      <c r="R92" s="96" t="s">
        <v>5</v>
      </c>
      <c r="S92" s="532">
        <f>IF(Benchmarking!B$20=0,0,O92)</f>
        <v>0</v>
      </c>
      <c r="T92" s="33" t="s">
        <v>379</v>
      </c>
      <c r="U92" s="101"/>
      <c r="W92" s="28" t="s">
        <v>31</v>
      </c>
      <c r="X92" s="28"/>
      <c r="Y92" s="64">
        <f>IF(AND(C90=0,C94=0),0,IF(AND(C90&gt;0,C94=0),$M$18*C92,IF(AND(C94&gt;0,C90=0),$M$18*C96,$M$18*(C92+C96))))</f>
        <v>0</v>
      </c>
      <c r="Z92" s="70">
        <f t="shared" ref="Z92:AM92" si="246">Y92*(1+$M$14)</f>
        <v>0</v>
      </c>
      <c r="AA92" s="70">
        <f t="shared" si="246"/>
        <v>0</v>
      </c>
      <c r="AB92" s="70">
        <f t="shared" si="246"/>
        <v>0</v>
      </c>
      <c r="AC92" s="70">
        <f t="shared" si="246"/>
        <v>0</v>
      </c>
      <c r="AD92" s="70">
        <f t="shared" si="246"/>
        <v>0</v>
      </c>
      <c r="AE92" s="70">
        <f t="shared" si="246"/>
        <v>0</v>
      </c>
      <c r="AF92" s="70">
        <f t="shared" si="246"/>
        <v>0</v>
      </c>
      <c r="AG92" s="70">
        <f t="shared" si="246"/>
        <v>0</v>
      </c>
      <c r="AH92" s="70">
        <f t="shared" si="246"/>
        <v>0</v>
      </c>
      <c r="AI92" s="70">
        <f t="shared" si="246"/>
        <v>0</v>
      </c>
      <c r="AJ92" s="70">
        <f t="shared" si="246"/>
        <v>0</v>
      </c>
      <c r="AK92" s="70">
        <f t="shared" si="246"/>
        <v>0</v>
      </c>
      <c r="AL92" s="70">
        <f t="shared" si="246"/>
        <v>0</v>
      </c>
      <c r="AM92" s="70">
        <f t="shared" si="246"/>
        <v>0</v>
      </c>
      <c r="AN92" s="360"/>
      <c r="AO92" s="34"/>
      <c r="AP92" s="34"/>
      <c r="AQ92" s="34"/>
      <c r="AR92" s="34"/>
      <c r="AS92" s="34"/>
    </row>
    <row r="93" spans="1:58" ht="14.95" thickBot="1" x14ac:dyDescent="0.3">
      <c r="A93" s="759"/>
      <c r="B93" s="750" t="s">
        <v>236</v>
      </c>
      <c r="C93" s="195"/>
      <c r="E93" s="104"/>
      <c r="F93" s="114" t="s">
        <v>14</v>
      </c>
      <c r="G93" s="97">
        <f>IF('Total-Summary'!F16&lt;&gt;0,'Total-Summary'!F16,'Total-Summary'!G16)</f>
        <v>0</v>
      </c>
      <c r="H93" s="33" t="s">
        <v>48</v>
      </c>
      <c r="I93" s="95" t="str">
        <f>IF(Benchmarking!$E81&gt;0,"NA",IF(Benchmarking!$E$25&gt;0,"Propane","Fuel Oil"))</f>
        <v>Fuel Oil</v>
      </c>
      <c r="Q93" s="104"/>
      <c r="R93" s="114" t="s">
        <v>14</v>
      </c>
      <c r="S93" s="532">
        <f>IF(Benchmarking!E$24&gt;0,0,IF(Benchmarking!E$25&gt;0,O92/0.925,O92/1.385))</f>
        <v>0</v>
      </c>
      <c r="T93" s="33" t="s">
        <v>48</v>
      </c>
      <c r="U93" s="95" t="str">
        <f>IF(Benchmarking!E$24&gt;0,"NA",IF(Benchmarking!E$25&gt;0,"Propane","Fuel Oil"))</f>
        <v>Fuel Oil</v>
      </c>
      <c r="W93" s="28" t="s">
        <v>32</v>
      </c>
      <c r="X93" s="28"/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9">
        <v>0</v>
      </c>
      <c r="AM93" s="39">
        <v>0</v>
      </c>
      <c r="AN93" s="361"/>
      <c r="AO93" s="40"/>
      <c r="AP93" s="40"/>
      <c r="AQ93" s="40"/>
      <c r="AR93" s="40"/>
      <c r="AS93" s="40"/>
    </row>
    <row r="94" spans="1:58" ht="14.95" thickTop="1" x14ac:dyDescent="0.25">
      <c r="A94" s="747" t="s">
        <v>256</v>
      </c>
      <c r="B94" s="659" t="s">
        <v>508</v>
      </c>
      <c r="C94" s="192"/>
      <c r="D94" s="74"/>
      <c r="E94" s="100"/>
      <c r="F94" s="89" t="s">
        <v>14</v>
      </c>
      <c r="G94" s="78">
        <f>'Total-Summary'!H16</f>
        <v>0</v>
      </c>
      <c r="H94" s="79" t="s">
        <v>15</v>
      </c>
      <c r="I94" s="101"/>
      <c r="L94" s="209"/>
      <c r="M94" s="208"/>
      <c r="N94" s="74"/>
      <c r="Q94" s="104"/>
      <c r="R94" s="89" t="s">
        <v>14</v>
      </c>
      <c r="S94" s="155">
        <f>IF(S91=0,0,S91*(Benchmarking!E$23*0.8)+Benchmarking!E$24*S92+IF(Benchmarking!B$26&gt;0,Benchmarking!E$26*S93,Benchmarking!E$25*S93))</f>
        <v>0</v>
      </c>
      <c r="T94" s="79" t="s">
        <v>15</v>
      </c>
      <c r="U94" s="101"/>
      <c r="W94" s="28" t="s">
        <v>33</v>
      </c>
      <c r="X94" s="43"/>
      <c r="Y94" s="44">
        <f t="shared" ref="Y94:AM94" si="247">Y91+Y92-Y93</f>
        <v>0</v>
      </c>
      <c r="Z94" s="44">
        <f t="shared" si="247"/>
        <v>0</v>
      </c>
      <c r="AA94" s="44">
        <f t="shared" si="247"/>
        <v>0</v>
      </c>
      <c r="AB94" s="44">
        <f t="shared" si="247"/>
        <v>0</v>
      </c>
      <c r="AC94" s="44">
        <f t="shared" si="247"/>
        <v>0</v>
      </c>
      <c r="AD94" s="44">
        <f t="shared" si="247"/>
        <v>0</v>
      </c>
      <c r="AE94" s="44">
        <f t="shared" si="247"/>
        <v>0</v>
      </c>
      <c r="AF94" s="44">
        <f t="shared" si="247"/>
        <v>0</v>
      </c>
      <c r="AG94" s="44">
        <f t="shared" si="247"/>
        <v>0</v>
      </c>
      <c r="AH94" s="44">
        <f t="shared" si="247"/>
        <v>0</v>
      </c>
      <c r="AI94" s="44">
        <f t="shared" si="247"/>
        <v>0</v>
      </c>
      <c r="AJ94" s="44">
        <f t="shared" si="247"/>
        <v>0</v>
      </c>
      <c r="AK94" s="44">
        <f t="shared" si="247"/>
        <v>0</v>
      </c>
      <c r="AL94" s="44">
        <f t="shared" si="247"/>
        <v>0</v>
      </c>
      <c r="AM94" s="44">
        <f t="shared" si="247"/>
        <v>0</v>
      </c>
      <c r="AN94" s="362"/>
      <c r="AO94" s="45"/>
      <c r="AP94" s="45"/>
      <c r="AQ94" s="45">
        <f t="shared" ref="AQ94:BE94" si="248">AQ91+Y92-Y93</f>
        <v>0</v>
      </c>
      <c r="AR94" s="45">
        <f t="shared" si="248"/>
        <v>0</v>
      </c>
      <c r="AS94" s="45">
        <f t="shared" si="248"/>
        <v>0</v>
      </c>
      <c r="AT94" s="45">
        <f t="shared" si="248"/>
        <v>0</v>
      </c>
      <c r="AU94" s="45">
        <f t="shared" si="248"/>
        <v>0</v>
      </c>
      <c r="AV94" s="45">
        <f t="shared" si="248"/>
        <v>0</v>
      </c>
      <c r="AW94" s="45">
        <f t="shared" si="248"/>
        <v>0</v>
      </c>
      <c r="AX94" s="45">
        <f t="shared" si="248"/>
        <v>0</v>
      </c>
      <c r="AY94" s="45">
        <f t="shared" si="248"/>
        <v>0</v>
      </c>
      <c r="AZ94" s="45">
        <f t="shared" si="248"/>
        <v>0</v>
      </c>
      <c r="BA94" s="45">
        <f t="shared" si="248"/>
        <v>0</v>
      </c>
      <c r="BB94" s="45">
        <f t="shared" si="248"/>
        <v>0</v>
      </c>
      <c r="BC94" s="45">
        <f t="shared" si="248"/>
        <v>0</v>
      </c>
      <c r="BD94" s="45">
        <f t="shared" si="248"/>
        <v>0</v>
      </c>
      <c r="BE94" s="45">
        <f t="shared" si="248"/>
        <v>0</v>
      </c>
    </row>
    <row r="95" spans="1:58" x14ac:dyDescent="0.25">
      <c r="A95" s="758"/>
      <c r="B95" s="659" t="s">
        <v>419</v>
      </c>
      <c r="C95" s="192"/>
      <c r="E95" s="100"/>
      <c r="F95" s="89" t="s">
        <v>16</v>
      </c>
      <c r="G95" s="301">
        <f>IF(C92+C96=0,0,(C92-C93+C96-C97)/G94)</f>
        <v>0</v>
      </c>
      <c r="H95" s="79" t="s">
        <v>17</v>
      </c>
      <c r="I95" s="101"/>
      <c r="J95" s="74"/>
      <c r="Q95" s="104"/>
      <c r="R95" s="89" t="s">
        <v>16</v>
      </c>
      <c r="S95" s="80">
        <f>IF(C90+C94=0,0,(C92-C93+C96-C97)/S94)</f>
        <v>0</v>
      </c>
      <c r="T95" s="79" t="s">
        <v>17</v>
      </c>
      <c r="U95" s="95"/>
      <c r="W95" s="46" t="s">
        <v>115</v>
      </c>
      <c r="X95" s="46"/>
      <c r="Y95" s="47">
        <f>NPV($M$15,Y94:AM94)</f>
        <v>0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</row>
    <row r="96" spans="1:58" ht="17" thickBot="1" x14ac:dyDescent="0.35">
      <c r="A96" s="700"/>
      <c r="B96" s="699" t="s">
        <v>368</v>
      </c>
      <c r="C96" s="194"/>
      <c r="E96" s="109"/>
      <c r="F96" s="90" t="s">
        <v>257</v>
      </c>
      <c r="G96" s="81">
        <f>IF($C92+$C96=0,0,IF(($C93+$C97)&gt;0.95*($C92+$C96),$Y96/($C92+$C96-(($C92+$C96)*0.95-1)-($C92+$C96)*$M$17),$Y96/($C92+$C96-$C93-$C97-($C92+$C96)*$M$17)))</f>
        <v>0</v>
      </c>
      <c r="H96" s="82"/>
      <c r="I96" s="123"/>
      <c r="Q96" s="105"/>
      <c r="R96" s="90" t="s">
        <v>257</v>
      </c>
      <c r="S96" s="81">
        <f>IF($C92+$C96=0,0,IF(($C93+$C97)&gt;0.95*($C92+$C96),$Y95/($C92+$C96-(($C92+$C96)*0.95-1)-($C92+$C96)*$M$17),$Y95/($C92+$C96-$C93-$C97-($C92+$C96)*$M$17)))</f>
        <v>0</v>
      </c>
      <c r="T96" s="82"/>
      <c r="U96" s="91"/>
      <c r="W96" s="310" t="s">
        <v>454</v>
      </c>
      <c r="X96" s="310"/>
      <c r="Y96" s="311">
        <f>NPV(M15,AQ94:BE94)</f>
        <v>0</v>
      </c>
    </row>
    <row r="97" spans="1:58" ht="14.95" thickBot="1" x14ac:dyDescent="0.3">
      <c r="A97" s="701"/>
      <c r="B97" s="663" t="s">
        <v>236</v>
      </c>
      <c r="C97" s="196"/>
    </row>
    <row r="98" spans="1:58" s="636" customFormat="1" x14ac:dyDescent="0.25">
      <c r="A98" s="66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74"/>
      <c r="Q98" s="74"/>
      <c r="R98" s="74"/>
      <c r="S98" s="74"/>
      <c r="T98" s="74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</row>
    <row r="99" spans="1:58" s="636" customFormat="1" x14ac:dyDescent="0.25">
      <c r="A99" s="66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74"/>
      <c r="Q99" s="74"/>
      <c r="R99" s="74"/>
      <c r="S99" s="74"/>
      <c r="T99" s="74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</row>
    <row r="100" spans="1:58" s="636" customFormat="1" ht="19.7" thickBot="1" x14ac:dyDescent="0.4">
      <c r="A100" s="668"/>
      <c r="D100" s="18"/>
      <c r="E100" s="18"/>
      <c r="F100" s="18"/>
      <c r="G100" s="18"/>
      <c r="H100" s="18"/>
      <c r="I100" s="18"/>
      <c r="J100" s="18"/>
      <c r="K100" s="135" t="s">
        <v>113</v>
      </c>
      <c r="L100" s="18"/>
      <c r="M100" s="18"/>
      <c r="N100" s="18"/>
      <c r="O100" s="18"/>
      <c r="P100" s="74"/>
      <c r="Q100" s="74"/>
      <c r="R100" s="74"/>
      <c r="S100" s="74"/>
      <c r="T100" s="74"/>
      <c r="U100" s="18"/>
      <c r="V100" s="18"/>
      <c r="W100" s="23" t="s">
        <v>110</v>
      </c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</row>
    <row r="101" spans="1:58" s="636" customFormat="1" ht="30.6" customHeight="1" thickBot="1" x14ac:dyDescent="0.4">
      <c r="A101" s="711" t="s">
        <v>261</v>
      </c>
      <c r="B101" s="712" t="str">
        <f>B20</f>
        <v>Install occupancy control for intermittently occupied rooms</v>
      </c>
      <c r="C101" s="703" t="s">
        <v>51</v>
      </c>
      <c r="D101" s="18"/>
      <c r="E101" s="799" t="s">
        <v>458</v>
      </c>
      <c r="F101" s="800"/>
      <c r="G101" s="800"/>
      <c r="H101" s="800"/>
      <c r="I101" s="801"/>
      <c r="J101" s="18"/>
      <c r="K101" s="24"/>
      <c r="L101" s="52" t="str">
        <f>A101</f>
        <v>ECM 10</v>
      </c>
      <c r="M101" s="25" t="s">
        <v>246</v>
      </c>
      <c r="N101" s="25" t="s">
        <v>247</v>
      </c>
      <c r="O101" s="25" t="s">
        <v>248</v>
      </c>
      <c r="P101" s="174"/>
      <c r="Q101" s="793" t="s">
        <v>74</v>
      </c>
      <c r="R101" s="794"/>
      <c r="S101" s="794"/>
      <c r="T101" s="794"/>
      <c r="U101" s="795"/>
      <c r="V101" s="18"/>
      <c r="W101" s="28" t="s">
        <v>29</v>
      </c>
      <c r="X101" s="28">
        <v>0</v>
      </c>
      <c r="Y101" s="29">
        <v>1</v>
      </c>
      <c r="Z101" s="29">
        <v>2</v>
      </c>
      <c r="AA101" s="29">
        <v>3</v>
      </c>
      <c r="AB101" s="29">
        <v>4</v>
      </c>
      <c r="AC101" s="29">
        <v>5</v>
      </c>
      <c r="AD101" s="29">
        <v>6</v>
      </c>
      <c r="AE101" s="29">
        <v>7</v>
      </c>
      <c r="AF101" s="29">
        <v>8</v>
      </c>
      <c r="AG101" s="30"/>
      <c r="AH101" s="28">
        <v>0</v>
      </c>
      <c r="AI101" s="29">
        <v>1</v>
      </c>
      <c r="AJ101" s="29">
        <v>2</v>
      </c>
      <c r="AK101" s="29">
        <v>3</v>
      </c>
      <c r="AL101" s="29">
        <v>4</v>
      </c>
      <c r="AM101" s="29">
        <v>5</v>
      </c>
      <c r="AN101" s="29"/>
      <c r="AO101" s="29">
        <v>6</v>
      </c>
      <c r="AP101" s="29">
        <v>7</v>
      </c>
      <c r="AQ101" s="29">
        <v>8</v>
      </c>
      <c r="AR101" s="30"/>
      <c r="AS101" s="30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</row>
    <row r="102" spans="1:58" x14ac:dyDescent="0.25">
      <c r="A102" s="747"/>
      <c r="B102" s="659" t="s">
        <v>307</v>
      </c>
      <c r="C102" s="197"/>
      <c r="E102" s="108"/>
      <c r="F102" s="84" t="s">
        <v>314</v>
      </c>
      <c r="G102" s="94">
        <f>'Total-Summary'!C17</f>
        <v>0</v>
      </c>
      <c r="H102" s="85" t="s">
        <v>378</v>
      </c>
      <c r="I102" s="119"/>
      <c r="K102" s="31" t="s">
        <v>7</v>
      </c>
      <c r="L102" s="31" t="s">
        <v>119</v>
      </c>
      <c r="M102" s="28">
        <v>0</v>
      </c>
      <c r="N102" s="28">
        <v>0</v>
      </c>
      <c r="O102" s="28">
        <v>0</v>
      </c>
      <c r="P102" s="69"/>
      <c r="Q102" s="98"/>
      <c r="R102" s="84" t="s">
        <v>314</v>
      </c>
      <c r="S102" s="536">
        <f>N104</f>
        <v>0</v>
      </c>
      <c r="T102" s="85" t="s">
        <v>378</v>
      </c>
      <c r="U102" s="99"/>
      <c r="W102" s="28" t="s">
        <v>29</v>
      </c>
      <c r="X102" s="28">
        <v>2013</v>
      </c>
      <c r="Y102" s="28">
        <f>X102+1</f>
        <v>2014</v>
      </c>
      <c r="Z102" s="28">
        <f t="shared" ref="Z102:AF102" si="249">Y102+1</f>
        <v>2015</v>
      </c>
      <c r="AA102" s="28">
        <f t="shared" si="249"/>
        <v>2016</v>
      </c>
      <c r="AB102" s="28">
        <f t="shared" si="249"/>
        <v>2017</v>
      </c>
      <c r="AC102" s="28">
        <f t="shared" si="249"/>
        <v>2018</v>
      </c>
      <c r="AD102" s="28">
        <f t="shared" si="249"/>
        <v>2019</v>
      </c>
      <c r="AE102" s="28">
        <f t="shared" si="249"/>
        <v>2020</v>
      </c>
      <c r="AF102" s="28">
        <f t="shared" si="249"/>
        <v>2021</v>
      </c>
      <c r="AG102" s="33"/>
      <c r="AH102" s="28">
        <v>2013</v>
      </c>
      <c r="AI102" s="28">
        <f>AH102+1</f>
        <v>2014</v>
      </c>
      <c r="AJ102" s="28">
        <f t="shared" ref="AJ102" si="250">AI102+1</f>
        <v>2015</v>
      </c>
      <c r="AK102" s="28">
        <f t="shared" ref="AK102" si="251">AJ102+1</f>
        <v>2016</v>
      </c>
      <c r="AL102" s="28">
        <f t="shared" ref="AL102" si="252">AK102+1</f>
        <v>2017</v>
      </c>
      <c r="AM102" s="28">
        <f t="shared" ref="AM102" si="253">AL102+1</f>
        <v>2018</v>
      </c>
      <c r="AN102" s="28"/>
      <c r="AO102" s="28">
        <f t="shared" ref="AO102" si="254">AM102+1</f>
        <v>2019</v>
      </c>
      <c r="AP102" s="28">
        <f t="shared" ref="AP102" si="255">AO102+1</f>
        <v>2020</v>
      </c>
      <c r="AQ102" s="28">
        <f t="shared" ref="AQ102" si="256">AP102+1</f>
        <v>2021</v>
      </c>
      <c r="AR102" s="33"/>
      <c r="AS102" s="33"/>
    </row>
    <row r="103" spans="1:58" ht="16.3" x14ac:dyDescent="0.3">
      <c r="A103" s="700"/>
      <c r="B103" s="699" t="s">
        <v>368</v>
      </c>
      <c r="C103" s="626"/>
      <c r="E103" s="117"/>
      <c r="F103" s="41" t="s">
        <v>5</v>
      </c>
      <c r="G103" s="92">
        <f>'Total-Summary'!D17</f>
        <v>0</v>
      </c>
      <c r="H103" s="79" t="s">
        <v>6</v>
      </c>
      <c r="I103" s="120"/>
      <c r="K103" s="31" t="s">
        <v>8</v>
      </c>
      <c r="L103" s="31" t="s">
        <v>673</v>
      </c>
      <c r="M103" s="54">
        <f>IF(-C102*'AVG lighting impact'!B8&gt;-C102*313.55/75*58/1000*2000*0.25,-C102*'AVG lighting impact'!B8,-C102*313.55/75*58/1000*2000*0.25)</f>
        <v>0</v>
      </c>
      <c r="N103" s="54">
        <f>-C102*'AVG lighting impact'!C8</f>
        <v>0</v>
      </c>
      <c r="O103" s="54">
        <f>-C102*'AVG lighting impact'!D8/(313.55/75*58/1000*2000*0.25)</f>
        <v>0</v>
      </c>
      <c r="P103" s="175"/>
      <c r="Q103" s="104"/>
      <c r="R103" s="41" t="s">
        <v>5</v>
      </c>
      <c r="S103" s="523">
        <f>M104</f>
        <v>0</v>
      </c>
      <c r="T103" s="79" t="s">
        <v>6</v>
      </c>
      <c r="U103" s="95"/>
      <c r="W103" s="70" t="s">
        <v>30</v>
      </c>
      <c r="X103" s="70"/>
      <c r="Y103" s="70">
        <f>S106</f>
        <v>0</v>
      </c>
      <c r="Z103" s="70">
        <f>Y103*(1+$M$16)</f>
        <v>0</v>
      </c>
      <c r="AA103" s="70">
        <f t="shared" ref="AA103:AF103" si="257">Z103*(1+$M$16)</f>
        <v>0</v>
      </c>
      <c r="AB103" s="70">
        <f t="shared" si="257"/>
        <v>0</v>
      </c>
      <c r="AC103" s="70">
        <f t="shared" si="257"/>
        <v>0</v>
      </c>
      <c r="AD103" s="70">
        <f t="shared" si="257"/>
        <v>0</v>
      </c>
      <c r="AE103" s="70">
        <f t="shared" si="257"/>
        <v>0</v>
      </c>
      <c r="AF103" s="70">
        <f t="shared" si="257"/>
        <v>0</v>
      </c>
      <c r="AG103" s="34"/>
      <c r="AH103" s="70"/>
      <c r="AI103" s="70">
        <f>'Total-Summary'!H17</f>
        <v>0</v>
      </c>
      <c r="AJ103" s="70">
        <f>AI103*(1+$M$16)</f>
        <v>0</v>
      </c>
      <c r="AK103" s="70">
        <f t="shared" ref="AK103" si="258">AJ103*(1+$M$16)</f>
        <v>0</v>
      </c>
      <c r="AL103" s="70">
        <f t="shared" ref="AL103" si="259">AK103*(1+$M$16)</f>
        <v>0</v>
      </c>
      <c r="AM103" s="70">
        <f t="shared" ref="AM103" si="260">AL103*(1+$M$16)</f>
        <v>0</v>
      </c>
      <c r="AN103" s="70"/>
      <c r="AO103" s="70">
        <f t="shared" ref="AO103" si="261">AM103*(1+$M$16)</f>
        <v>0</v>
      </c>
      <c r="AP103" s="70">
        <f t="shared" ref="AP103" si="262">AO103*(1+$M$16)</f>
        <v>0</v>
      </c>
      <c r="AQ103" s="70">
        <f t="shared" ref="AQ103" si="263">AP103*(1+$M$16)</f>
        <v>0</v>
      </c>
      <c r="AR103" s="34"/>
      <c r="AS103" s="34"/>
    </row>
    <row r="104" spans="1:58" ht="14.95" thickBot="1" x14ac:dyDescent="0.3">
      <c r="A104" s="701"/>
      <c r="B104" s="663" t="s">
        <v>236</v>
      </c>
      <c r="C104" s="196"/>
      <c r="E104" s="104"/>
      <c r="F104" s="96" t="s">
        <v>5</v>
      </c>
      <c r="G104" s="97">
        <f>'Total-Summary'!E17</f>
        <v>0</v>
      </c>
      <c r="H104" s="33" t="s">
        <v>379</v>
      </c>
      <c r="I104" s="101"/>
      <c r="K104" s="35"/>
      <c r="L104" s="35" t="s">
        <v>2</v>
      </c>
      <c r="M104" s="57">
        <f>M102-M103</f>
        <v>0</v>
      </c>
      <c r="N104" s="57">
        <f t="shared" ref="N104" si="264">N102-N103</f>
        <v>0</v>
      </c>
      <c r="O104" s="57">
        <f>O102-O103</f>
        <v>0</v>
      </c>
      <c r="P104" s="175"/>
      <c r="Q104" s="104"/>
      <c r="R104" s="96" t="s">
        <v>5</v>
      </c>
      <c r="S104" s="532">
        <f>IF(Benchmarking!B$20=0,0,O104)</f>
        <v>0</v>
      </c>
      <c r="T104" s="33" t="s">
        <v>379</v>
      </c>
      <c r="U104" s="101"/>
      <c r="W104" s="28" t="s">
        <v>31</v>
      </c>
      <c r="X104" s="28"/>
      <c r="Y104" s="70">
        <f>$M$18*C103</f>
        <v>0</v>
      </c>
      <c r="Z104" s="70">
        <f t="shared" ref="Z104:AF104" si="265">Y104*(1+$M$14)</f>
        <v>0</v>
      </c>
      <c r="AA104" s="70">
        <f t="shared" si="265"/>
        <v>0</v>
      </c>
      <c r="AB104" s="70">
        <f t="shared" si="265"/>
        <v>0</v>
      </c>
      <c r="AC104" s="70">
        <f t="shared" si="265"/>
        <v>0</v>
      </c>
      <c r="AD104" s="70">
        <f t="shared" si="265"/>
        <v>0</v>
      </c>
      <c r="AE104" s="70">
        <f t="shared" si="265"/>
        <v>0</v>
      </c>
      <c r="AF104" s="70">
        <f t="shared" si="265"/>
        <v>0</v>
      </c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</row>
    <row r="105" spans="1:58" s="636" customFormat="1" x14ac:dyDescent="0.25">
      <c r="A105" s="668"/>
      <c r="B105" s="710"/>
      <c r="D105" s="74"/>
      <c r="E105" s="104"/>
      <c r="F105" s="114" t="s">
        <v>14</v>
      </c>
      <c r="G105" s="97">
        <f>IF('Total-Summary'!F17&lt;&gt;0,'Total-Summary'!F17,'Total-Summary'!G17)</f>
        <v>0</v>
      </c>
      <c r="H105" s="33" t="s">
        <v>48</v>
      </c>
      <c r="I105" s="95" t="str">
        <f>IF(Benchmarking!$E93&gt;0,"NA",IF(Benchmarking!$E$25&gt;0,"Propane","Fuel Oil"))</f>
        <v>Fuel Oil</v>
      </c>
      <c r="J105" s="18"/>
      <c r="K105" s="18"/>
      <c r="L105" s="18"/>
      <c r="M105" s="18"/>
      <c r="N105" s="18"/>
      <c r="O105" s="18"/>
      <c r="P105" s="74"/>
      <c r="Q105" s="104"/>
      <c r="R105" s="114" t="s">
        <v>14</v>
      </c>
      <c r="S105" s="532">
        <f>IF(Benchmarking!E$24&gt;0,0,IF(Benchmarking!E$25&gt;0,O104/0.925,O104/1.385))</f>
        <v>0</v>
      </c>
      <c r="T105" s="33" t="s">
        <v>48</v>
      </c>
      <c r="U105" s="95" t="str">
        <f>IF(Benchmarking!E$24&gt;0,"NA",IF(Benchmarking!E$25&gt;0,"Propane","Fuel Oil"))</f>
        <v>Fuel Oil</v>
      </c>
      <c r="V105" s="18"/>
      <c r="W105" s="28" t="s">
        <v>32</v>
      </c>
      <c r="X105" s="28"/>
      <c r="Y105" s="39">
        <v>0</v>
      </c>
      <c r="Z105" s="39">
        <v>0</v>
      </c>
      <c r="AA105" s="39">
        <v>0</v>
      </c>
      <c r="AB105" s="39">
        <v>0</v>
      </c>
      <c r="AC105" s="39">
        <v>0</v>
      </c>
      <c r="AD105" s="39">
        <v>0</v>
      </c>
      <c r="AE105" s="39">
        <v>0</v>
      </c>
      <c r="AF105" s="39">
        <v>0</v>
      </c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</row>
    <row r="106" spans="1:58" s="636" customFormat="1" x14ac:dyDescent="0.25">
      <c r="A106" s="668"/>
      <c r="B106" s="710"/>
      <c r="D106" s="118"/>
      <c r="E106" s="100"/>
      <c r="F106" s="89" t="s">
        <v>14</v>
      </c>
      <c r="G106" s="155">
        <f>'Total-Summary'!H17</f>
        <v>0</v>
      </c>
      <c r="H106" s="79" t="s">
        <v>15</v>
      </c>
      <c r="I106" s="101"/>
      <c r="J106" s="18"/>
      <c r="K106" s="18"/>
      <c r="L106" s="209"/>
      <c r="M106" s="208"/>
      <c r="N106" s="74"/>
      <c r="O106" s="18"/>
      <c r="P106" s="74"/>
      <c r="Q106" s="104"/>
      <c r="R106" s="89" t="s">
        <v>14</v>
      </c>
      <c r="S106" s="155">
        <f>IF(S103=0,0,S103*(Benchmarking!E$23*0.8)+Benchmarking!E$24*S104+IF(Benchmarking!B$26&gt;0,Benchmarking!E$26*S105,Benchmarking!E$25*S105))</f>
        <v>0</v>
      </c>
      <c r="T106" s="79" t="s">
        <v>15</v>
      </c>
      <c r="U106" s="101"/>
      <c r="V106" s="18"/>
      <c r="W106" s="28" t="s">
        <v>33</v>
      </c>
      <c r="X106" s="43"/>
      <c r="Y106" s="44">
        <f t="shared" ref="Y106:AF106" si="266">Y103+Y104-Y105</f>
        <v>0</v>
      </c>
      <c r="Z106" s="44">
        <f t="shared" si="266"/>
        <v>0</v>
      </c>
      <c r="AA106" s="44">
        <f t="shared" si="266"/>
        <v>0</v>
      </c>
      <c r="AB106" s="44">
        <f t="shared" si="266"/>
        <v>0</v>
      </c>
      <c r="AC106" s="44">
        <f t="shared" si="266"/>
        <v>0</v>
      </c>
      <c r="AD106" s="44">
        <f t="shared" si="266"/>
        <v>0</v>
      </c>
      <c r="AE106" s="44">
        <f t="shared" si="266"/>
        <v>0</v>
      </c>
      <c r="AF106" s="44">
        <f t="shared" si="266"/>
        <v>0</v>
      </c>
      <c r="AG106" s="45"/>
      <c r="AH106" s="45"/>
      <c r="AI106" s="45">
        <f>AI103+Y104-Y105</f>
        <v>0</v>
      </c>
      <c r="AJ106" s="45">
        <f t="shared" ref="AJ106:AM106" si="267">AJ103+Z104-Z105</f>
        <v>0</v>
      </c>
      <c r="AK106" s="45">
        <f t="shared" si="267"/>
        <v>0</v>
      </c>
      <c r="AL106" s="45">
        <f t="shared" si="267"/>
        <v>0</v>
      </c>
      <c r="AM106" s="45">
        <f t="shared" si="267"/>
        <v>0</v>
      </c>
      <c r="AN106" s="45"/>
      <c r="AO106" s="45">
        <f>AO103+AD104-AD105</f>
        <v>0</v>
      </c>
      <c r="AP106" s="45">
        <f>AP103+AE104-AE105</f>
        <v>0</v>
      </c>
      <c r="AQ106" s="45">
        <f>AQ103+AF104-AF105</f>
        <v>0</v>
      </c>
      <c r="AR106" s="45"/>
      <c r="AS106" s="45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</row>
    <row r="107" spans="1:58" s="636" customFormat="1" x14ac:dyDescent="0.25">
      <c r="A107" s="668"/>
      <c r="B107" s="710"/>
      <c r="D107" s="118"/>
      <c r="E107" s="100"/>
      <c r="F107" s="89" t="s">
        <v>16</v>
      </c>
      <c r="G107" s="80">
        <f>IF(C103=0,0,(C103-C104)/G106)</f>
        <v>0</v>
      </c>
      <c r="H107" s="79" t="s">
        <v>17</v>
      </c>
      <c r="I107" s="101"/>
      <c r="J107" s="118"/>
      <c r="K107" s="18"/>
      <c r="L107" s="18"/>
      <c r="M107" s="18"/>
      <c r="N107" s="18"/>
      <c r="O107" s="18"/>
      <c r="P107" s="74"/>
      <c r="Q107" s="104"/>
      <c r="R107" s="89" t="s">
        <v>16</v>
      </c>
      <c r="S107" s="80">
        <f>IF(C102=0,0,(C103-C104)/S106)</f>
        <v>0</v>
      </c>
      <c r="T107" s="79" t="s">
        <v>17</v>
      </c>
      <c r="U107" s="95"/>
      <c r="V107" s="18"/>
      <c r="W107" s="46" t="s">
        <v>115</v>
      </c>
      <c r="X107" s="46"/>
      <c r="Y107" s="47">
        <f>NPV($M$15,Y106:AF106)</f>
        <v>0</v>
      </c>
      <c r="Z107" s="46"/>
      <c r="AA107" s="46"/>
      <c r="AB107" s="46"/>
      <c r="AC107" s="46"/>
      <c r="AD107" s="46"/>
      <c r="AE107" s="46"/>
      <c r="AF107" s="46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</row>
    <row r="108" spans="1:58" s="636" customFormat="1" ht="14.95" thickBot="1" x14ac:dyDescent="0.3">
      <c r="A108" s="668"/>
      <c r="B108" s="710"/>
      <c r="D108" s="118"/>
      <c r="E108" s="109"/>
      <c r="F108" s="90" t="s">
        <v>257</v>
      </c>
      <c r="G108" s="81">
        <f>IF($C103=0,0,IF(($C104)&gt;0.95*$C103,$Y108/($C103-($C103*0.95)+1-$C103*$M$17),$Y108/($C103-$C104-$C103*$M$17)))</f>
        <v>0</v>
      </c>
      <c r="H108" s="82"/>
      <c r="I108" s="123"/>
      <c r="J108" s="118"/>
      <c r="K108" s="18"/>
      <c r="L108" s="18"/>
      <c r="M108" s="18"/>
      <c r="N108" s="18"/>
      <c r="O108" s="18"/>
      <c r="P108" s="74"/>
      <c r="Q108" s="105"/>
      <c r="R108" s="90" t="s">
        <v>257</v>
      </c>
      <c r="S108" s="81">
        <f>IF($C103=0,0,IF(($C104)&gt;0.95*$C103,$Y107/($C103-($C103*0.95)+1-$C103*$M$17),$Y107/($C103-$C104-$C103*$M$17)))</f>
        <v>0</v>
      </c>
      <c r="T108" s="82"/>
      <c r="U108" s="91"/>
      <c r="V108" s="18"/>
      <c r="W108" s="310" t="s">
        <v>454</v>
      </c>
      <c r="X108" s="310"/>
      <c r="Y108" s="311">
        <f>NPV(M15,AI106:AQ106)</f>
        <v>0</v>
      </c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</row>
    <row r="109" spans="1:58" s="636" customFormat="1" x14ac:dyDescent="0.25">
      <c r="A109" s="668"/>
      <c r="B109" s="710"/>
      <c r="D109" s="18"/>
      <c r="E109" s="118"/>
      <c r="F109" s="118"/>
      <c r="G109" s="118"/>
      <c r="H109" s="118"/>
      <c r="I109" s="118"/>
      <c r="J109" s="118"/>
      <c r="K109" s="18"/>
      <c r="L109" s="18"/>
      <c r="M109" s="18"/>
      <c r="N109" s="18"/>
      <c r="O109" s="18"/>
      <c r="P109" s="74"/>
      <c r="Q109" s="74"/>
      <c r="R109" s="74"/>
      <c r="S109" s="74"/>
      <c r="T109" s="74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</row>
    <row r="110" spans="1:58" s="636" customFormat="1" x14ac:dyDescent="0.25">
      <c r="A110" s="66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74"/>
      <c r="Q110" s="74"/>
      <c r="R110" s="74"/>
      <c r="S110" s="74"/>
      <c r="T110" s="74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</row>
    <row r="111" spans="1:58" s="636" customFormat="1" x14ac:dyDescent="0.25">
      <c r="A111" s="668"/>
      <c r="D111" s="18"/>
      <c r="E111" s="74"/>
      <c r="F111" s="74"/>
      <c r="G111" s="74"/>
      <c r="H111" s="74"/>
      <c r="I111" s="74"/>
      <c r="J111" s="74"/>
      <c r="K111" s="18"/>
      <c r="L111" s="18"/>
      <c r="M111" s="18"/>
      <c r="N111" s="18"/>
      <c r="O111" s="18"/>
      <c r="P111" s="74"/>
      <c r="Q111" s="74"/>
      <c r="R111" s="74"/>
      <c r="S111" s="74"/>
      <c r="T111" s="74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</row>
    <row r="112" spans="1:58" s="636" customFormat="1" x14ac:dyDescent="0.25">
      <c r="A112" s="66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74"/>
      <c r="Q112" s="74"/>
      <c r="R112" s="74"/>
      <c r="S112" s="74"/>
      <c r="T112" s="74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</row>
    <row r="113" spans="1:58" s="636" customFormat="1" x14ac:dyDescent="0.25">
      <c r="A113" s="66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74"/>
      <c r="Q113" s="74"/>
      <c r="R113" s="74"/>
      <c r="S113" s="74"/>
      <c r="T113" s="74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</row>
    <row r="114" spans="1:58" x14ac:dyDescent="0.25">
      <c r="A114" s="668"/>
    </row>
    <row r="115" spans="1:58" x14ac:dyDescent="0.25">
      <c r="A115" s="668"/>
    </row>
    <row r="116" spans="1:58" x14ac:dyDescent="0.25">
      <c r="A116" s="668"/>
    </row>
    <row r="117" spans="1:58" x14ac:dyDescent="0.25">
      <c r="A117" s="668"/>
    </row>
    <row r="118" spans="1:58" x14ac:dyDescent="0.25">
      <c r="A118" s="668"/>
    </row>
    <row r="119" spans="1:58" x14ac:dyDescent="0.25">
      <c r="A119" s="668"/>
    </row>
    <row r="120" spans="1:58" x14ac:dyDescent="0.25">
      <c r="A120" s="668"/>
    </row>
    <row r="121" spans="1:58" x14ac:dyDescent="0.25">
      <c r="A121" s="668"/>
    </row>
    <row r="122" spans="1:58" x14ac:dyDescent="0.25">
      <c r="A122" s="668"/>
    </row>
    <row r="123" spans="1:58" x14ac:dyDescent="0.25">
      <c r="A123" s="668"/>
    </row>
    <row r="124" spans="1:58" x14ac:dyDescent="0.25">
      <c r="A124" s="668"/>
    </row>
  </sheetData>
  <sheetProtection algorithmName="SHA-512" hashValue="H2rhHBw+D90+1vBffGMs0EkMnl5PXpBpCulIjGDdg3w6+lc/+XOR+kagWZmWjjPSSwPcOP4y8roquMumIHsHsQ==" saltValue="ELS8LsSLR2D1+WgL06khpg==" spinCount="100000" sheet="1" objects="1" scenarios="1"/>
  <customSheetViews>
    <customSheetView guid="{570718A7-A7FA-4CAF-BE18-A3F9233610F9}" scale="93" topLeftCell="A20">
      <selection activeCell="C22" sqref="C22"/>
      <pageMargins left="0.7" right="0.7" top="0.75" bottom="0.75" header="0.3" footer="0.3"/>
      <pageSetup orientation="portrait" r:id="rId1"/>
    </customSheetView>
  </customSheetViews>
  <dataValidations count="42">
    <dataValidation allowBlank="1" showInputMessage="1" showErrorMessage="1" promptTitle="ECM 2" prompt="Please enter the quantity of lights to be replaced with LED lamps." sqref="C33 C37"/>
    <dataValidation allowBlank="1" showInputMessage="1" showErrorMessage="1" promptTitle="ECM 2" prompt="Please enter the total wattage of the new LED lamps." sqref="C34 C38"/>
    <dataValidation allowBlank="1" showInputMessage="1" showErrorMessage="1" promptTitle="ECM 2" prompt="Please enter the total installation cost (i.e. material and labor) for this measure." sqref="C35 C39"/>
    <dataValidation allowBlank="1" showInputMessage="1" showErrorMessage="1" promptTitle="ECM 2" prompt="Please enter the utility rebate for this measure, if known." sqref="C36 C40"/>
    <dataValidation allowBlank="1" showInputMessage="1" showErrorMessage="1" promptTitle="ECM 3" prompt="Please enter the quantity of CFL exit signs to be replaced with LED." sqref="C43"/>
    <dataValidation allowBlank="1" showInputMessage="1" showErrorMessage="1" promptTitle="ECM 3" prompt="Please enter the wattage of each new LED exit sign." sqref="C44"/>
    <dataValidation allowBlank="1" showInputMessage="1" showErrorMessage="1" promptTitle="ECM 3" prompt="Please enter the total installation cost (i.e. material and labor) for this measure." sqref="C45"/>
    <dataValidation allowBlank="1" showInputMessage="1" showErrorMessage="1" promptTitle="ECM 3" prompt="Please enter the utility rebate for this measure, if known." sqref="C46"/>
    <dataValidation allowBlank="1" showInputMessage="1" showErrorMessage="1" promptTitle="ECM 4" prompt="Please enter the total installation cost (i.e. material and labor) for this measure." sqref="C49"/>
    <dataValidation allowBlank="1" showInputMessage="1" showErrorMessage="1" promptTitle="ECM 4" prompt="Please enter the utility rebate for this measure, if known." sqref="C50"/>
    <dataValidation allowBlank="1" showInputMessage="1" showErrorMessage="1" promptTitle="ECM 4" prompt="Please enter the quantity of incandescent exit signs to be replaced with LED." sqref="C47"/>
    <dataValidation allowBlank="1" showInputMessage="1" showErrorMessage="1" promptTitle="ECM 4" prompt="Please enter the wattage of each new LED exit sign." sqref="C48"/>
    <dataValidation type="list" allowBlank="1" showInputMessage="1" showErrorMessage="1" promptTitle="ECM 5" prompt="Please select the wattage of the new T8 lamps." sqref="C58">
      <formula1>"32,28"</formula1>
    </dataValidation>
    <dataValidation allowBlank="1" showInputMessage="1" showErrorMessage="1" promptTitle="ECM 5" prompt="Please enter the total installation cost (i.e. material and labor) for this measure." sqref="C59"/>
    <dataValidation allowBlank="1" showInputMessage="1" showErrorMessage="1" promptTitle="ECM 6" prompt="Please enter the total installation cost (i.e. material and labor) for this measure." sqref="C63"/>
    <dataValidation allowBlank="1" showInputMessage="1" showErrorMessage="1" promptTitle="ECM 5" prompt="Please enter the utility rebate for this measure, if known." sqref="C60"/>
    <dataValidation allowBlank="1" showInputMessage="1" showErrorMessage="1" promptTitle="ECM 6" prompt="Please enter the utility rebate for this measure, if known." sqref="C64"/>
    <dataValidation allowBlank="1" showInputMessage="1" showErrorMessage="1" promptTitle="ECM 5" prompt="Please enter the quantity of 34 watt lamps to be replaced with T8 lamps." sqref="C56"/>
    <dataValidation allowBlank="1" showInputMessage="1" showErrorMessage="1" promptTitle="ECM 5" prompt="Please enter the quantity of 40 watt lamps to be replaced with T8 lamps." sqref="C57"/>
    <dataValidation allowBlank="1" showInputMessage="1" showErrorMessage="1" promptTitle="ECM 6" prompt="Please enter the quantity of 34 watt lamps to be replaced with LED lamps." sqref="C61"/>
    <dataValidation allowBlank="1" showInputMessage="1" showErrorMessage="1" promptTitle="ECM 7" prompt="Please enter the total installation cost (i.e. material and labor) for this measure." sqref="C79"/>
    <dataValidation allowBlank="1" showInputMessage="1" showErrorMessage="1" promptTitle="ECM 7" prompt="Please enter the utility rebate for this measure, if known." sqref="C80"/>
    <dataValidation allowBlank="1" showInputMessage="1" showErrorMessage="1" promptTitle="ECM 7" prompt="Please enter the quantity of 32 watt T8 lamps to be replaced with 28 watt T8 lamps." sqref="C78"/>
    <dataValidation allowBlank="1" showInputMessage="1" showErrorMessage="1" promptTitle="ECM 8" prompt="Please enter the total installation cost (i.e. material and labor) for this measure." sqref="C92"/>
    <dataValidation allowBlank="1" showInputMessage="1" showErrorMessage="1" promptTitle="ECM 9" prompt="Please enter the total installation cost (i.e. material and labor) for this measure." sqref="C96"/>
    <dataValidation allowBlank="1" showInputMessage="1" showErrorMessage="1" promptTitle="ECM 8" prompt="Please enter the utility rebate for this measure, if known." sqref="C93"/>
    <dataValidation allowBlank="1" showInputMessage="1" showErrorMessage="1" promptTitle="ECM 9" prompt="Please enter the utility rebate for this measure, if known." sqref="C97"/>
    <dataValidation allowBlank="1" showInputMessage="1" showErrorMessage="1" promptTitle="ECM 8" prompt="Please enter the quantity of mercury vapor fixtures to be replaced with LED or induction lamps." sqref="C90"/>
    <dataValidation allowBlank="1" showInputMessage="1" showErrorMessage="1" promptTitle="ECM 9" prompt="Please enter the quantity of high pressure sodium fixtures to be replaced with LED or induction lamps." sqref="C94"/>
    <dataValidation allowBlank="1" showInputMessage="1" showErrorMessage="1" promptTitle="ECM 8" prompt="Please enter the total wattage of all the new LED or induction lamps." sqref="C91"/>
    <dataValidation allowBlank="1" showInputMessage="1" showErrorMessage="1" promptTitle="ECM 9" prompt="Please enter the total wattage of all the new LED or induction lamps." sqref="C95"/>
    <dataValidation allowBlank="1" showInputMessage="1" showErrorMessage="1" promptTitle="ECM 10" prompt="Please enter the total installation cost (i.e. material and labor) for this measure." sqref="C103"/>
    <dataValidation allowBlank="1" showInputMessage="1" showErrorMessage="1" promptTitle="ECM 10" prompt="Please enter the utility rebate for this measure, if known." sqref="C104"/>
    <dataValidation allowBlank="1" showInputMessage="1" showErrorMessage="1" promptTitle="ECM 10" prompt="Please enter the quantity of occupancy sensors to be installed." sqref="C102"/>
    <dataValidation allowBlank="1" showInputMessage="1" showErrorMessage="1" promptTitle="ECM 5" prompt="Please enter the quantity of 40 watt lamps to be replaced with LED_x000a_ lamps." sqref="C62"/>
    <dataValidation allowBlank="1" showInputMessage="1" showErrorMessage="1" promptTitle="ECM 1" prompt="Please enter the quantity of lights to be replaced with CFLs._x000a_" sqref="C23"/>
    <dataValidation allowBlank="1" showInputMessage="1" showErrorMessage="1" promptTitle="ECM 1" prompt="Please enter the total wattage of the new CFL lamps." sqref="C24"/>
    <dataValidation allowBlank="1" showInputMessage="1" showErrorMessage="1" promptTitle="ECM 1" prompt="Please enter the total installation cost (i.e. material and labor) for this measure." sqref="C25"/>
    <dataValidation allowBlank="1" showInputMessage="1" showErrorMessage="1" promptTitle="ECM 1" prompt="Please enter the utility rebate for this measure, if known." sqref="C26"/>
    <dataValidation allowBlank="1" showErrorMessage="1" promptTitle="ECM 6A" prompt="Please enter the quantity of 32 watt T8 lamps to be replaced with 28 watt T8 lamps." sqref="C69"/>
    <dataValidation allowBlank="1" showInputMessage="1" showErrorMessage="1" promptTitle="ECM 6A" prompt="Please enter the total installation cost (i.e. material and labor) for this measure." sqref="C70"/>
    <dataValidation allowBlank="1" showInputMessage="1" showErrorMessage="1" promptTitle="ECM 6A" prompt="Please enter the utility rebate for this measure, if known." sqref="C71"/>
  </dataValidations>
  <pageMargins left="0.7" right="0.7" top="0.75" bottom="0.75" header="0.3" footer="0.3"/>
  <pageSetup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9"/>
  <sheetViews>
    <sheetView zoomScale="70" zoomScaleNormal="70" workbookViewId="0"/>
  </sheetViews>
  <sheetFormatPr defaultRowHeight="14.3" x14ac:dyDescent="0.25"/>
  <cols>
    <col min="1" max="1" width="14.625" customWidth="1"/>
    <col min="2" max="2" width="88.125" customWidth="1"/>
    <col min="3" max="3" width="17.125" style="9" customWidth="1"/>
    <col min="4" max="4" width="11.625" style="74" customWidth="1"/>
    <col min="5" max="5" width="14" style="74" customWidth="1"/>
    <col min="6" max="6" width="15.75" style="74" customWidth="1"/>
    <col min="7" max="7" width="14.125" style="74" customWidth="1"/>
    <col min="8" max="8" width="11.375" style="74" customWidth="1"/>
    <col min="9" max="9" width="14.25" style="18" customWidth="1"/>
    <col min="10" max="10" width="6.75" style="18" customWidth="1"/>
    <col min="11" max="11" width="11.625" style="18" customWidth="1"/>
    <col min="12" max="12" width="20.375" style="18" customWidth="1"/>
    <col min="13" max="14" width="12.875" style="18" customWidth="1"/>
    <col min="15" max="15" width="14.375" style="18" customWidth="1"/>
    <col min="16" max="16" width="8.625" style="18" customWidth="1"/>
    <col min="17" max="17" width="14.625" style="18" customWidth="1"/>
    <col min="18" max="18" width="17.25" style="18" customWidth="1"/>
    <col min="19" max="19" width="16" style="18" customWidth="1"/>
    <col min="20" max="20" width="16.25" style="18" customWidth="1"/>
    <col min="21" max="21" width="10.75" style="18" customWidth="1"/>
    <col min="22" max="22" width="16.25" style="18" customWidth="1"/>
    <col min="23" max="23" width="27.875" style="18" customWidth="1"/>
    <col min="24" max="24" width="6.625" style="63" bestFit="1" customWidth="1"/>
    <col min="25" max="25" width="12.25" style="63" bestFit="1" customWidth="1"/>
    <col min="26" max="39" width="11.125" style="63" bestFit="1" customWidth="1"/>
    <col min="40" max="40" width="11.75" style="63" customWidth="1"/>
    <col min="41" max="41" width="14.125" style="63" customWidth="1"/>
    <col min="42" max="42" width="13" style="63" customWidth="1"/>
    <col min="43" max="43" width="11.125" style="63" customWidth="1"/>
    <col min="44" max="44" width="10.875" style="63" customWidth="1"/>
    <col min="45" max="46" width="9.125" style="18"/>
    <col min="47" max="47" width="12" style="18" bestFit="1" customWidth="1"/>
    <col min="48" max="66" width="11.75" style="18" bestFit="1" customWidth="1"/>
  </cols>
  <sheetData>
    <row r="1" spans="1:66" s="636" customFormat="1" ht="19.55" thickBot="1" x14ac:dyDescent="0.35">
      <c r="B1" s="637" t="s">
        <v>10</v>
      </c>
      <c r="D1" s="74"/>
      <c r="E1" s="345" t="str">
        <f>Benchmarking!C1</f>
        <v>Version 8.1</v>
      </c>
      <c r="F1" s="74"/>
      <c r="G1" s="74"/>
      <c r="H1" s="74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s="636" customFormat="1" ht="19.55" thickBot="1" x14ac:dyDescent="0.35">
      <c r="A2" s="638" t="s">
        <v>350</v>
      </c>
      <c r="B2" s="639"/>
      <c r="D2" s="74"/>
      <c r="E2" s="74"/>
      <c r="F2" s="74"/>
      <c r="G2" s="74"/>
      <c r="H2" s="74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spans="1:66" s="636" customFormat="1" ht="30.75" customHeight="1" thickBot="1" x14ac:dyDescent="0.3">
      <c r="A3" s="640" t="s">
        <v>351</v>
      </c>
      <c r="B3" s="641">
        <f>Benchmarking!B3</f>
        <v>0</v>
      </c>
      <c r="D3" s="74"/>
      <c r="E3" s="74"/>
      <c r="F3" s="74"/>
      <c r="G3" s="74"/>
      <c r="H3" s="74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636" customFormat="1" ht="30.1" thickBot="1" x14ac:dyDescent="0.3">
      <c r="A4" s="642" t="s">
        <v>352</v>
      </c>
      <c r="B4" s="643">
        <f>Benchmarking!B4</f>
        <v>0</v>
      </c>
      <c r="D4" s="74"/>
      <c r="E4" s="74"/>
      <c r="F4" s="74"/>
      <c r="G4" s="74"/>
      <c r="H4" s="74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spans="1:66" s="636" customFormat="1" ht="30.1" thickBot="1" x14ac:dyDescent="0.3">
      <c r="A5" s="644" t="s">
        <v>353</v>
      </c>
      <c r="B5" s="645">
        <f>Benchmarking!B5</f>
        <v>0</v>
      </c>
      <c r="D5" s="74"/>
      <c r="E5" s="74"/>
      <c r="F5" s="74"/>
      <c r="G5" s="74"/>
      <c r="H5" s="74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spans="1:66" s="636" customFormat="1" ht="14.95" x14ac:dyDescent="0.25">
      <c r="A6" s="668"/>
      <c r="D6" s="74"/>
      <c r="E6" s="74"/>
      <c r="F6" s="74"/>
      <c r="G6" s="74"/>
      <c r="H6" s="74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s="636" customFormat="1" ht="15.8" x14ac:dyDescent="0.25">
      <c r="B7" s="731" t="s">
        <v>11</v>
      </c>
      <c r="D7" s="74"/>
      <c r="E7" s="74"/>
      <c r="F7" s="74"/>
      <c r="G7" s="74"/>
      <c r="H7" s="74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spans="1:66" s="636" customFormat="1" ht="15.8" x14ac:dyDescent="0.25">
      <c r="B8" s="731" t="s">
        <v>9</v>
      </c>
      <c r="D8" s="74"/>
      <c r="E8" s="74"/>
      <c r="F8" s="74"/>
      <c r="G8" s="74"/>
      <c r="H8" s="74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spans="1:66" s="636" customFormat="1" ht="14.95" x14ac:dyDescent="0.25">
      <c r="B9" s="708" t="s">
        <v>23</v>
      </c>
      <c r="D9" s="74"/>
      <c r="E9" s="74"/>
      <c r="F9" s="74"/>
      <c r="G9" s="74"/>
      <c r="H9" s="74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s="636" customFormat="1" ht="14.95" x14ac:dyDescent="0.25">
      <c r="B10" s="709" t="s">
        <v>488</v>
      </c>
      <c r="D10" s="74"/>
      <c r="E10" s="74"/>
      <c r="F10" s="74"/>
      <c r="G10" s="74"/>
      <c r="H10" s="74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s="636" customFormat="1" ht="14.95" x14ac:dyDescent="0.25">
      <c r="B11" s="709" t="s">
        <v>486</v>
      </c>
      <c r="D11" s="74"/>
      <c r="E11" s="74"/>
      <c r="F11" s="74"/>
      <c r="G11" s="74"/>
      <c r="H11" s="7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66" s="636" customFormat="1" ht="14.95" x14ac:dyDescent="0.25">
      <c r="D12" s="74"/>
      <c r="E12" s="74"/>
      <c r="F12" s="74"/>
      <c r="G12" s="74"/>
      <c r="H12" s="74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66" s="636" customFormat="1" ht="14.95" x14ac:dyDescent="0.25">
      <c r="A13" s="710" t="s">
        <v>293</v>
      </c>
      <c r="B13" s="732" t="s">
        <v>302</v>
      </c>
      <c r="C13" s="636" t="s">
        <v>355</v>
      </c>
      <c r="D13" s="74"/>
      <c r="E13" s="74"/>
      <c r="F13" s="74"/>
      <c r="G13" s="74"/>
      <c r="H13" s="74"/>
      <c r="I13" s="18"/>
      <c r="J13" s="18"/>
      <c r="K13" s="18"/>
      <c r="L13" s="20" t="s">
        <v>27</v>
      </c>
      <c r="M13" s="21">
        <v>0.02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66" s="636" customFormat="1" ht="14.95" x14ac:dyDescent="0.25">
      <c r="A14" s="710" t="s">
        <v>294</v>
      </c>
      <c r="B14" s="732" t="s">
        <v>301</v>
      </c>
      <c r="C14" s="636" t="s">
        <v>356</v>
      </c>
      <c r="D14" s="74"/>
      <c r="E14" s="74"/>
      <c r="F14" s="74"/>
      <c r="G14" s="74"/>
      <c r="H14" s="74"/>
      <c r="I14" s="18"/>
      <c r="J14" s="18"/>
      <c r="K14" s="18"/>
      <c r="L14" s="20" t="s">
        <v>25</v>
      </c>
      <c r="M14" s="21">
        <f>M13+0.03</f>
        <v>0.05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66" s="636" customFormat="1" ht="14.95" x14ac:dyDescent="0.25">
      <c r="A15" s="710" t="s">
        <v>339</v>
      </c>
      <c r="B15" s="732" t="s">
        <v>423</v>
      </c>
      <c r="C15" s="636" t="s">
        <v>357</v>
      </c>
      <c r="D15" s="74"/>
      <c r="E15" s="74"/>
      <c r="F15" s="74"/>
      <c r="G15" s="74"/>
      <c r="H15" s="74"/>
      <c r="I15" s="18"/>
      <c r="J15" s="18"/>
      <c r="K15" s="18"/>
      <c r="L15" s="20" t="s">
        <v>26</v>
      </c>
      <c r="M15" s="21">
        <v>0.04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66" s="636" customFormat="1" ht="14.95" x14ac:dyDescent="0.25">
      <c r="A16" s="710" t="s">
        <v>340</v>
      </c>
      <c r="B16" s="732" t="s">
        <v>424</v>
      </c>
      <c r="C16" s="636" t="s">
        <v>359</v>
      </c>
      <c r="D16" s="74"/>
      <c r="E16" s="74"/>
      <c r="F16" s="74"/>
      <c r="G16" s="74"/>
      <c r="H16" s="74"/>
      <c r="I16" s="18"/>
      <c r="J16" s="18"/>
      <c r="K16" s="18"/>
      <c r="L16" s="51" t="s">
        <v>28</v>
      </c>
      <c r="M16" s="21">
        <v>0.05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66" s="636" customFormat="1" ht="14.95" x14ac:dyDescent="0.25">
      <c r="A17" s="710" t="s">
        <v>295</v>
      </c>
      <c r="B17" s="732" t="s">
        <v>374</v>
      </c>
      <c r="C17" s="636" t="s">
        <v>358</v>
      </c>
      <c r="D17" s="74"/>
      <c r="E17" s="74"/>
      <c r="F17" s="74"/>
      <c r="G17" s="74"/>
      <c r="H17" s="74"/>
      <c r="I17" s="18"/>
      <c r="J17" s="18"/>
      <c r="K17" s="18"/>
      <c r="L17" s="20" t="s">
        <v>24</v>
      </c>
      <c r="M17" s="21">
        <v>0.03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s="636" customFormat="1" ht="14.95" x14ac:dyDescent="0.25">
      <c r="A18" s="710" t="s">
        <v>296</v>
      </c>
      <c r="B18" s="708" t="s">
        <v>52</v>
      </c>
      <c r="C18" s="636" t="s">
        <v>360</v>
      </c>
      <c r="D18" s="74"/>
      <c r="E18" s="74"/>
      <c r="F18" s="74"/>
      <c r="G18" s="74"/>
      <c r="H18" s="7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1:66" s="636" customFormat="1" ht="14.95" x14ac:dyDescent="0.25">
      <c r="A19" s="710" t="s">
        <v>297</v>
      </c>
      <c r="B19" s="708" t="s">
        <v>441</v>
      </c>
      <c r="C19" s="636" t="s">
        <v>361</v>
      </c>
      <c r="D19" s="74"/>
      <c r="E19" s="74"/>
      <c r="F19" s="74"/>
      <c r="G19" s="74"/>
      <c r="H19" s="7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</row>
    <row r="20" spans="1:66" s="636" customFormat="1" ht="14.95" x14ac:dyDescent="0.25">
      <c r="A20" s="710" t="s">
        <v>298</v>
      </c>
      <c r="B20" s="708" t="s">
        <v>53</v>
      </c>
      <c r="C20" s="636" t="s">
        <v>362</v>
      </c>
      <c r="D20" s="74"/>
      <c r="E20" s="74"/>
      <c r="F20" s="74"/>
      <c r="G20" s="74"/>
      <c r="H20" s="74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</row>
    <row r="21" spans="1:66" s="636" customFormat="1" ht="14.95" x14ac:dyDescent="0.25">
      <c r="A21" s="710" t="s">
        <v>299</v>
      </c>
      <c r="B21" s="708" t="s">
        <v>429</v>
      </c>
      <c r="C21" s="636" t="s">
        <v>363</v>
      </c>
      <c r="D21" s="74"/>
      <c r="E21" s="74"/>
      <c r="F21" s="74"/>
      <c r="G21" s="74"/>
      <c r="H21" s="7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1:66" s="636" customFormat="1" ht="23.3" customHeight="1" thickBot="1" x14ac:dyDescent="0.4">
      <c r="D22" s="74"/>
      <c r="E22" s="74"/>
      <c r="F22" s="74"/>
      <c r="G22" s="74"/>
      <c r="H22" s="74"/>
      <c r="I22" s="18"/>
      <c r="J22" s="18"/>
      <c r="K22" s="135" t="s">
        <v>113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3" t="s">
        <v>107</v>
      </c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349" t="s">
        <v>460</v>
      </c>
      <c r="AP22" s="63"/>
      <c r="AQ22" s="63"/>
      <c r="AR22" s="63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1:66" s="636" customFormat="1" ht="30.6" customHeight="1" thickBot="1" x14ac:dyDescent="0.4">
      <c r="A23" s="673" t="s">
        <v>293</v>
      </c>
      <c r="B23" s="674" t="str">
        <f>B13</f>
        <v>Replace old packaged/split HVAC unit with high efficiency HVAC</v>
      </c>
      <c r="C23" s="703" t="s">
        <v>51</v>
      </c>
      <c r="D23" s="705"/>
      <c r="E23" s="802" t="s">
        <v>458</v>
      </c>
      <c r="F23" s="803"/>
      <c r="G23" s="803"/>
      <c r="H23" s="803"/>
      <c r="I23" s="804"/>
      <c r="J23" s="107"/>
      <c r="K23" s="24"/>
      <c r="L23" s="52" t="str">
        <f>A23</f>
        <v>ECM 11</v>
      </c>
      <c r="M23" s="25" t="s">
        <v>246</v>
      </c>
      <c r="N23" s="25" t="s">
        <v>247</v>
      </c>
      <c r="O23" s="25" t="s">
        <v>248</v>
      </c>
      <c r="P23" s="174"/>
      <c r="Q23" s="811" t="s">
        <v>74</v>
      </c>
      <c r="R23" s="812"/>
      <c r="S23" s="812"/>
      <c r="T23" s="812"/>
      <c r="U23" s="813"/>
      <c r="V23" s="174"/>
      <c r="W23" s="232" t="s">
        <v>29</v>
      </c>
      <c r="X23" s="268">
        <v>0</v>
      </c>
      <c r="Y23" s="233">
        <v>1</v>
      </c>
      <c r="Z23" s="233">
        <v>2</v>
      </c>
      <c r="AA23" s="233">
        <v>3</v>
      </c>
      <c r="AB23" s="233">
        <v>4</v>
      </c>
      <c r="AC23" s="233">
        <v>5</v>
      </c>
      <c r="AD23" s="233">
        <v>6</v>
      </c>
      <c r="AE23" s="233">
        <v>7</v>
      </c>
      <c r="AF23" s="233">
        <v>8</v>
      </c>
      <c r="AG23" s="233">
        <v>9</v>
      </c>
      <c r="AH23" s="233">
        <v>10</v>
      </c>
      <c r="AI23" s="233">
        <v>11</v>
      </c>
      <c r="AJ23" s="233">
        <v>12</v>
      </c>
      <c r="AK23" s="233">
        <v>13</v>
      </c>
      <c r="AL23" s="234">
        <v>14</v>
      </c>
      <c r="AM23" s="266">
        <v>15</v>
      </c>
      <c r="AN23" s="63"/>
      <c r="AO23" s="268">
        <v>0</v>
      </c>
      <c r="AP23" s="233">
        <v>1</v>
      </c>
      <c r="AQ23" s="233">
        <v>2</v>
      </c>
      <c r="AR23" s="233">
        <v>3</v>
      </c>
      <c r="AS23" s="233">
        <v>4</v>
      </c>
      <c r="AT23" s="233">
        <v>5</v>
      </c>
      <c r="AU23" s="233">
        <v>6</v>
      </c>
      <c r="AV23" s="233">
        <v>7</v>
      </c>
      <c r="AW23" s="233">
        <v>8</v>
      </c>
      <c r="AX23" s="233">
        <v>9</v>
      </c>
      <c r="AY23" s="233">
        <v>10</v>
      </c>
      <c r="AZ23" s="233">
        <v>11</v>
      </c>
      <c r="BA23" s="233">
        <v>12</v>
      </c>
      <c r="BB23" s="233">
        <v>13</v>
      </c>
      <c r="BC23" s="234">
        <v>14</v>
      </c>
      <c r="BD23" s="266">
        <v>15</v>
      </c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1:66" s="636" customFormat="1" ht="19.05" x14ac:dyDescent="0.35">
      <c r="A24" s="697"/>
      <c r="B24" s="819" t="s">
        <v>432</v>
      </c>
      <c r="C24" s="820"/>
      <c r="D24" s="115"/>
      <c r="E24" s="112"/>
      <c r="F24" s="84" t="s">
        <v>4</v>
      </c>
      <c r="G24" s="514">
        <f>'Total-Summary'!C18</f>
        <v>0</v>
      </c>
      <c r="H24" s="76" t="s">
        <v>378</v>
      </c>
      <c r="I24" s="113"/>
      <c r="J24" s="107"/>
      <c r="K24" s="31" t="s">
        <v>7</v>
      </c>
      <c r="L24" s="31" t="s">
        <v>309</v>
      </c>
      <c r="M24" s="55">
        <f>IF($C$31="PGE",'AVG HVAC impact'!B14*HVAC!C29+HVAC!C30*'AVG HVAC impact'!B17,IF($C$31="SDGE",'AVG HVAC impact'!B16*HVAC!C29+HVAC!C30*'AVG HVAC impact'!B19,'AVG HVAC impact'!B15*HVAC!C29+HVAC!C30*'AVG HVAC impact'!B18))</f>
        <v>0</v>
      </c>
      <c r="N24" s="55">
        <f>IF($C$31="PGE",'AVG HVAC impact'!C14*HVAC!C29+HVAC!C30*'AVG HVAC impact'!C17,IF($C$31="SDGE",'AVG HVAC impact'!C16*HVAC!C29+HVAC!C30*'AVG HVAC impact'!C19,'AVG HVAC impact'!C15*HVAC!C29+HVAC!C30*'AVG HVAC impact'!C18))</f>
        <v>0</v>
      </c>
      <c r="O24" s="55">
        <f>IF($C$31="PGE",'AVG HVAC impact'!D14*HVAC!$C29+HVAC!C$30*'AVG HVAC impact'!D17,IF($C$31="SDGE",'AVG HVAC impact'!D16*HVAC!C29+HVAC!C30*'AVG HVAC impact'!D19,'AVG HVAC impact'!D15*HVAC!C29+HVAC!C30*'AVG HVAC impact'!D18))</f>
        <v>0</v>
      </c>
      <c r="P24" s="69"/>
      <c r="Q24" s="512"/>
      <c r="R24" s="513" t="s">
        <v>4</v>
      </c>
      <c r="S24" s="514">
        <f>IF(M26=0,0,N32)</f>
        <v>0</v>
      </c>
      <c r="T24" s="515" t="s">
        <v>378</v>
      </c>
      <c r="U24" s="516"/>
      <c r="V24" s="69"/>
      <c r="W24" s="235" t="s">
        <v>29</v>
      </c>
      <c r="X24" s="264">
        <v>2013</v>
      </c>
      <c r="Y24" s="264">
        <f>X24+1</f>
        <v>2014</v>
      </c>
      <c r="Z24" s="264">
        <f t="shared" ref="Z24:AM24" si="0">Y24+1</f>
        <v>2015</v>
      </c>
      <c r="AA24" s="264">
        <f t="shared" si="0"/>
        <v>2016</v>
      </c>
      <c r="AB24" s="264">
        <f t="shared" si="0"/>
        <v>2017</v>
      </c>
      <c r="AC24" s="264">
        <f t="shared" si="0"/>
        <v>2018</v>
      </c>
      <c r="AD24" s="264">
        <f t="shared" si="0"/>
        <v>2019</v>
      </c>
      <c r="AE24" s="264">
        <f t="shared" si="0"/>
        <v>2020</v>
      </c>
      <c r="AF24" s="264">
        <f t="shared" si="0"/>
        <v>2021</v>
      </c>
      <c r="AG24" s="264">
        <f t="shared" si="0"/>
        <v>2022</v>
      </c>
      <c r="AH24" s="264">
        <f t="shared" si="0"/>
        <v>2023</v>
      </c>
      <c r="AI24" s="264">
        <f t="shared" si="0"/>
        <v>2024</v>
      </c>
      <c r="AJ24" s="264">
        <f t="shared" si="0"/>
        <v>2025</v>
      </c>
      <c r="AK24" s="264">
        <f t="shared" si="0"/>
        <v>2026</v>
      </c>
      <c r="AL24" s="269">
        <f t="shared" si="0"/>
        <v>2027</v>
      </c>
      <c r="AM24" s="270">
        <f t="shared" si="0"/>
        <v>2028</v>
      </c>
      <c r="AN24" s="63"/>
      <c r="AO24" s="264">
        <v>2013</v>
      </c>
      <c r="AP24" s="264">
        <f>AO24+1</f>
        <v>2014</v>
      </c>
      <c r="AQ24" s="264">
        <f t="shared" ref="AQ24" si="1">AP24+1</f>
        <v>2015</v>
      </c>
      <c r="AR24" s="264">
        <f t="shared" ref="AR24" si="2">AQ24+1</f>
        <v>2016</v>
      </c>
      <c r="AS24" s="264">
        <f t="shared" ref="AS24" si="3">AR24+1</f>
        <v>2017</v>
      </c>
      <c r="AT24" s="264">
        <f t="shared" ref="AT24" si="4">AS24+1</f>
        <v>2018</v>
      </c>
      <c r="AU24" s="264">
        <f t="shared" ref="AU24" si="5">AT24+1</f>
        <v>2019</v>
      </c>
      <c r="AV24" s="264">
        <f t="shared" ref="AV24" si="6">AU24+1</f>
        <v>2020</v>
      </c>
      <c r="AW24" s="264">
        <f t="shared" ref="AW24" si="7">AV24+1</f>
        <v>2021</v>
      </c>
      <c r="AX24" s="264">
        <f t="shared" ref="AX24" si="8">AW24+1</f>
        <v>2022</v>
      </c>
      <c r="AY24" s="264">
        <f t="shared" ref="AY24" si="9">AX24+1</f>
        <v>2023</v>
      </c>
      <c r="AZ24" s="264">
        <f t="shared" ref="AZ24" si="10">AY24+1</f>
        <v>2024</v>
      </c>
      <c r="BA24" s="264">
        <f t="shared" ref="BA24" si="11">AZ24+1</f>
        <v>2025</v>
      </c>
      <c r="BB24" s="264">
        <f t="shared" ref="BB24" si="12">BA24+1</f>
        <v>2026</v>
      </c>
      <c r="BC24" s="269">
        <f t="shared" ref="BC24" si="13">BB24+1</f>
        <v>2027</v>
      </c>
      <c r="BD24" s="270">
        <f t="shared" ref="BD24" si="14">BC24+1</f>
        <v>2028</v>
      </c>
      <c r="BE24" s="18"/>
      <c r="BF24" s="18"/>
      <c r="BG24" s="18"/>
      <c r="BH24" s="18"/>
      <c r="BI24" s="18"/>
      <c r="BJ24" s="18"/>
      <c r="BK24" s="18"/>
      <c r="BL24" s="18"/>
      <c r="BM24" s="18"/>
      <c r="BN24" s="18"/>
    </row>
    <row r="25" spans="1:66" ht="16.3" x14ac:dyDescent="0.3">
      <c r="A25" s="657"/>
      <c r="B25" s="699" t="s">
        <v>504</v>
      </c>
      <c r="C25" s="411"/>
      <c r="E25" s="100"/>
      <c r="F25" s="41" t="s">
        <v>5</v>
      </c>
      <c r="G25" s="514">
        <f>'Total-Summary'!D18</f>
        <v>0</v>
      </c>
      <c r="H25" s="33" t="s">
        <v>12</v>
      </c>
      <c r="I25" s="101"/>
      <c r="J25" s="74"/>
      <c r="K25" s="31" t="s">
        <v>8</v>
      </c>
      <c r="L25" s="31" t="s">
        <v>308</v>
      </c>
      <c r="M25" s="55">
        <v>0</v>
      </c>
      <c r="N25" s="55">
        <v>0</v>
      </c>
      <c r="O25" s="54">
        <v>0</v>
      </c>
      <c r="P25" s="175"/>
      <c r="Q25" s="517"/>
      <c r="R25" s="518" t="s">
        <v>5</v>
      </c>
      <c r="S25" s="514">
        <f>IF(M26=0,0,M32)</f>
        <v>0</v>
      </c>
      <c r="T25" s="519" t="s">
        <v>12</v>
      </c>
      <c r="U25" s="520"/>
      <c r="V25" s="175"/>
      <c r="W25" s="236" t="s">
        <v>30</v>
      </c>
      <c r="X25" s="60"/>
      <c r="Y25" s="60">
        <f>S28</f>
        <v>0</v>
      </c>
      <c r="Z25" s="60">
        <f>Y25*(1+$M$15)</f>
        <v>0</v>
      </c>
      <c r="AA25" s="60">
        <f>Z25*(1+$M$15)</f>
        <v>0</v>
      </c>
      <c r="AB25" s="60">
        <f t="shared" ref="AB25:AM25" si="15">AA25*(1+$M$15)</f>
        <v>0</v>
      </c>
      <c r="AC25" s="60">
        <f t="shared" si="15"/>
        <v>0</v>
      </c>
      <c r="AD25" s="60">
        <f t="shared" si="15"/>
        <v>0</v>
      </c>
      <c r="AE25" s="60">
        <f t="shared" si="15"/>
        <v>0</v>
      </c>
      <c r="AF25" s="60">
        <f t="shared" si="15"/>
        <v>0</v>
      </c>
      <c r="AG25" s="60">
        <f t="shared" si="15"/>
        <v>0</v>
      </c>
      <c r="AH25" s="60">
        <f t="shared" si="15"/>
        <v>0</v>
      </c>
      <c r="AI25" s="60">
        <f t="shared" si="15"/>
        <v>0</v>
      </c>
      <c r="AJ25" s="60">
        <f t="shared" si="15"/>
        <v>0</v>
      </c>
      <c r="AK25" s="60">
        <f t="shared" si="15"/>
        <v>0</v>
      </c>
      <c r="AL25" s="271">
        <f t="shared" si="15"/>
        <v>0</v>
      </c>
      <c r="AM25" s="272">
        <f t="shared" si="15"/>
        <v>0</v>
      </c>
      <c r="AO25" s="60"/>
      <c r="AP25" s="60">
        <f>'Total-Summary'!H18</f>
        <v>0</v>
      </c>
      <c r="AQ25" s="60">
        <f>AP25*(1+$M$15)</f>
        <v>0</v>
      </c>
      <c r="AR25" s="60">
        <f>AQ25*(1+$M$15)</f>
        <v>0</v>
      </c>
      <c r="AS25" s="60">
        <f t="shared" ref="AS25" si="16">AR25*(1+$M$15)</f>
        <v>0</v>
      </c>
      <c r="AT25" s="60">
        <f t="shared" ref="AT25" si="17">AS25*(1+$M$15)</f>
        <v>0</v>
      </c>
      <c r="AU25" s="60">
        <f t="shared" ref="AU25" si="18">AT25*(1+$M$15)</f>
        <v>0</v>
      </c>
      <c r="AV25" s="60">
        <f t="shared" ref="AV25" si="19">AU25*(1+$M$15)</f>
        <v>0</v>
      </c>
      <c r="AW25" s="60">
        <f t="shared" ref="AW25" si="20">AV25*(1+$M$15)</f>
        <v>0</v>
      </c>
      <c r="AX25" s="60">
        <f t="shared" ref="AX25" si="21">AW25*(1+$M$15)</f>
        <v>0</v>
      </c>
      <c r="AY25" s="60">
        <f t="shared" ref="AY25" si="22">AX25*(1+$M$15)</f>
        <v>0</v>
      </c>
      <c r="AZ25" s="60">
        <f t="shared" ref="AZ25" si="23">AY25*(1+$M$15)</f>
        <v>0</v>
      </c>
      <c r="BA25" s="60">
        <f t="shared" ref="BA25" si="24">AZ25*(1+$M$15)</f>
        <v>0</v>
      </c>
      <c r="BB25" s="60">
        <f t="shared" ref="BB25" si="25">BA25*(1+$M$15)</f>
        <v>0</v>
      </c>
      <c r="BC25" s="271">
        <f t="shared" ref="BC25" si="26">BB25*(1+$M$15)</f>
        <v>0</v>
      </c>
      <c r="BD25" s="272">
        <f t="shared" ref="BD25" si="27">BC25*(1+$M$15)</f>
        <v>0</v>
      </c>
    </row>
    <row r="26" spans="1:66" ht="16.5" thickBot="1" x14ac:dyDescent="0.3">
      <c r="A26" s="657"/>
      <c r="B26" s="699" t="s">
        <v>647</v>
      </c>
      <c r="C26" s="411"/>
      <c r="E26" s="100"/>
      <c r="F26" s="96" t="s">
        <v>5</v>
      </c>
      <c r="G26" s="514">
        <f>'Total-Summary'!E18</f>
        <v>0</v>
      </c>
      <c r="H26" s="33" t="s">
        <v>379</v>
      </c>
      <c r="I26" s="101"/>
      <c r="J26" s="74"/>
      <c r="K26" s="35"/>
      <c r="L26" s="35" t="s">
        <v>2</v>
      </c>
      <c r="M26" s="58">
        <f>M24-M25</f>
        <v>0</v>
      </c>
      <c r="N26" s="58">
        <f t="shared" ref="N26:O26" si="28">N24-N25</f>
        <v>0</v>
      </c>
      <c r="O26" s="58">
        <f t="shared" si="28"/>
        <v>0</v>
      </c>
      <c r="P26" s="175"/>
      <c r="Q26" s="517"/>
      <c r="R26" s="521" t="s">
        <v>5</v>
      </c>
      <c r="S26" s="514">
        <f>IF(Benchmarking!B20=0,0,O32)</f>
        <v>0</v>
      </c>
      <c r="T26" s="519" t="s">
        <v>379</v>
      </c>
      <c r="U26" s="520"/>
      <c r="V26" s="175"/>
      <c r="W26" s="235" t="s">
        <v>31</v>
      </c>
      <c r="X26" s="264"/>
      <c r="Y26" s="60">
        <f>IF((C27+C28)=0,0,C32*M$17)</f>
        <v>0</v>
      </c>
      <c r="Z26" s="60">
        <f>Y26*(1+$M$13)</f>
        <v>0</v>
      </c>
      <c r="AA26" s="60">
        <f t="shared" ref="AA26:AM26" si="29">Z26*(1+$M$13)</f>
        <v>0</v>
      </c>
      <c r="AB26" s="60">
        <f t="shared" si="29"/>
        <v>0</v>
      </c>
      <c r="AC26" s="60">
        <f t="shared" si="29"/>
        <v>0</v>
      </c>
      <c r="AD26" s="60">
        <f t="shared" si="29"/>
        <v>0</v>
      </c>
      <c r="AE26" s="60">
        <f t="shared" si="29"/>
        <v>0</v>
      </c>
      <c r="AF26" s="60">
        <f t="shared" si="29"/>
        <v>0</v>
      </c>
      <c r="AG26" s="60">
        <f t="shared" si="29"/>
        <v>0</v>
      </c>
      <c r="AH26" s="60">
        <f t="shared" si="29"/>
        <v>0</v>
      </c>
      <c r="AI26" s="60">
        <f t="shared" si="29"/>
        <v>0</v>
      </c>
      <c r="AJ26" s="60">
        <f t="shared" si="29"/>
        <v>0</v>
      </c>
      <c r="AK26" s="60">
        <f t="shared" si="29"/>
        <v>0</v>
      </c>
      <c r="AL26" s="271">
        <f t="shared" si="29"/>
        <v>0</v>
      </c>
      <c r="AM26" s="272">
        <f t="shared" si="29"/>
        <v>0</v>
      </c>
      <c r="AT26" s="34"/>
      <c r="AU26" s="34"/>
      <c r="AV26" s="34"/>
      <c r="AW26" s="34"/>
      <c r="AX26" s="34"/>
    </row>
    <row r="27" spans="1:66" ht="15.8" x14ac:dyDescent="0.25">
      <c r="A27" s="657"/>
      <c r="B27" s="699" t="s">
        <v>684</v>
      </c>
      <c r="C27" s="412"/>
      <c r="E27" s="102"/>
      <c r="F27" s="114" t="s">
        <v>14</v>
      </c>
      <c r="G27" s="532">
        <f>IF('Total-Summary'!F18&lt;&gt;0,'Total-Summary'!F18,'Total-Summary'!G18)</f>
        <v>0</v>
      </c>
      <c r="H27" s="33" t="s">
        <v>48</v>
      </c>
      <c r="I27" s="95" t="str">
        <f>IF(Benchmarking!$E$25=0,"Fuel Oil","Propane")</f>
        <v>Fuel Oil</v>
      </c>
      <c r="Q27" s="522"/>
      <c r="R27" s="521" t="s">
        <v>14</v>
      </c>
      <c r="S27" s="519">
        <f>IF(Benchmarking!$E$24=0,IF(Benchmarking!E$25&gt;0,O26/0.925,O26/1.385),0)</f>
        <v>0</v>
      </c>
      <c r="T27" s="519" t="s">
        <v>48</v>
      </c>
      <c r="U27" s="520" t="str">
        <f>IF(Benchmarking!$E$25=0,"Fuel Oil","Propane")</f>
        <v>Fuel Oil</v>
      </c>
      <c r="W27" s="235" t="s">
        <v>32</v>
      </c>
      <c r="X27" s="264"/>
      <c r="Y27" s="260">
        <v>0</v>
      </c>
      <c r="Z27" s="260">
        <v>0</v>
      </c>
      <c r="AA27" s="260">
        <v>0</v>
      </c>
      <c r="AB27" s="260">
        <v>0</v>
      </c>
      <c r="AC27" s="260">
        <v>0</v>
      </c>
      <c r="AD27" s="260">
        <v>0</v>
      </c>
      <c r="AE27" s="260">
        <v>0</v>
      </c>
      <c r="AF27" s="260">
        <v>0</v>
      </c>
      <c r="AG27" s="260">
        <v>0</v>
      </c>
      <c r="AH27" s="260">
        <v>0</v>
      </c>
      <c r="AI27" s="260">
        <v>0</v>
      </c>
      <c r="AJ27" s="260">
        <v>0</v>
      </c>
      <c r="AK27" s="260">
        <v>0</v>
      </c>
      <c r="AL27" s="273">
        <v>0</v>
      </c>
      <c r="AM27" s="274">
        <v>0</v>
      </c>
      <c r="AT27" s="40"/>
      <c r="AU27" s="40"/>
      <c r="AV27" s="40"/>
      <c r="AW27" s="40"/>
      <c r="AX27" s="40"/>
    </row>
    <row r="28" spans="1:66" ht="19.55" thickBot="1" x14ac:dyDescent="0.35">
      <c r="A28" s="657"/>
      <c r="B28" s="699" t="s">
        <v>651</v>
      </c>
      <c r="C28" s="412"/>
      <c r="E28" s="102"/>
      <c r="F28" s="89" t="s">
        <v>14</v>
      </c>
      <c r="G28" s="78">
        <f>'Total-Summary'!H18</f>
        <v>0</v>
      </c>
      <c r="H28" s="79" t="s">
        <v>15</v>
      </c>
      <c r="I28" s="101"/>
      <c r="J28" s="74"/>
      <c r="K28" s="135" t="s">
        <v>645</v>
      </c>
      <c r="Q28" s="522"/>
      <c r="R28" s="518" t="s">
        <v>14</v>
      </c>
      <c r="S28" s="540">
        <f>IF(S25=0,0,S25*Benchmarking!E$23+Benchmarking!E$24*S26+IF(Benchmarking!B$23=0,Benchmarking!E$26*S27,Benchmarking!E$25*S27))</f>
        <v>0</v>
      </c>
      <c r="T28" s="523" t="s">
        <v>15</v>
      </c>
      <c r="U28" s="520"/>
      <c r="W28" s="267" t="s">
        <v>33</v>
      </c>
      <c r="X28" s="275"/>
      <c r="Y28" s="276">
        <f>Y25+Y26-Y27</f>
        <v>0</v>
      </c>
      <c r="Z28" s="276">
        <f t="shared" ref="Z28:AM28" si="30">Z25+Z26-Z27</f>
        <v>0</v>
      </c>
      <c r="AA28" s="276">
        <f t="shared" si="30"/>
        <v>0</v>
      </c>
      <c r="AB28" s="276">
        <f t="shared" si="30"/>
        <v>0</v>
      </c>
      <c r="AC28" s="276">
        <f t="shared" si="30"/>
        <v>0</v>
      </c>
      <c r="AD28" s="276">
        <f t="shared" si="30"/>
        <v>0</v>
      </c>
      <c r="AE28" s="276">
        <f t="shared" si="30"/>
        <v>0</v>
      </c>
      <c r="AF28" s="276">
        <f t="shared" si="30"/>
        <v>0</v>
      </c>
      <c r="AG28" s="276">
        <f t="shared" si="30"/>
        <v>0</v>
      </c>
      <c r="AH28" s="276">
        <f t="shared" si="30"/>
        <v>0</v>
      </c>
      <c r="AI28" s="276">
        <f t="shared" si="30"/>
        <v>0</v>
      </c>
      <c r="AJ28" s="276">
        <f t="shared" si="30"/>
        <v>0</v>
      </c>
      <c r="AK28" s="276">
        <f t="shared" si="30"/>
        <v>0</v>
      </c>
      <c r="AL28" s="277">
        <f t="shared" si="30"/>
        <v>0</v>
      </c>
      <c r="AM28" s="278">
        <f t="shared" si="30"/>
        <v>0</v>
      </c>
      <c r="AO28" s="63" t="s">
        <v>461</v>
      </c>
      <c r="AP28" s="342">
        <f>AP25+Y26-Y27</f>
        <v>0</v>
      </c>
      <c r="AQ28" s="342">
        <f t="shared" ref="AQ28:BD28" si="31">AQ25+Z26-Z27</f>
        <v>0</v>
      </c>
      <c r="AR28" s="342">
        <f t="shared" si="31"/>
        <v>0</v>
      </c>
      <c r="AS28" s="342">
        <f t="shared" si="31"/>
        <v>0</v>
      </c>
      <c r="AT28" s="342">
        <f t="shared" si="31"/>
        <v>0</v>
      </c>
      <c r="AU28" s="342">
        <f t="shared" si="31"/>
        <v>0</v>
      </c>
      <c r="AV28" s="342">
        <f t="shared" si="31"/>
        <v>0</v>
      </c>
      <c r="AW28" s="342">
        <f t="shared" si="31"/>
        <v>0</v>
      </c>
      <c r="AX28" s="342">
        <f t="shared" si="31"/>
        <v>0</v>
      </c>
      <c r="AY28" s="342">
        <f t="shared" si="31"/>
        <v>0</v>
      </c>
      <c r="AZ28" s="342">
        <f t="shared" si="31"/>
        <v>0</v>
      </c>
      <c r="BA28" s="342">
        <f t="shared" si="31"/>
        <v>0</v>
      </c>
      <c r="BB28" s="342">
        <f t="shared" si="31"/>
        <v>0</v>
      </c>
      <c r="BC28" s="342">
        <f t="shared" si="31"/>
        <v>0</v>
      </c>
      <c r="BD28" s="342">
        <f t="shared" si="31"/>
        <v>0</v>
      </c>
    </row>
    <row r="29" spans="1:66" ht="30.75" thickBot="1" x14ac:dyDescent="0.3">
      <c r="A29" s="700"/>
      <c r="B29" s="736" t="s">
        <v>667</v>
      </c>
      <c r="C29" s="412"/>
      <c r="D29" s="110"/>
      <c r="E29" s="100"/>
      <c r="F29" s="89" t="s">
        <v>16</v>
      </c>
      <c r="G29" s="80">
        <f>IF(G25=0,0,(C32-C33)/G28)</f>
        <v>0</v>
      </c>
      <c r="H29" s="79" t="s">
        <v>17</v>
      </c>
      <c r="I29" s="103"/>
      <c r="J29" s="106"/>
      <c r="K29" s="24"/>
      <c r="L29" s="52">
        <f>A29</f>
        <v>0</v>
      </c>
      <c r="M29" s="25" t="s">
        <v>246</v>
      </c>
      <c r="N29" s="25" t="s">
        <v>247</v>
      </c>
      <c r="O29" s="25" t="s">
        <v>248</v>
      </c>
      <c r="Q29" s="517"/>
      <c r="R29" s="518" t="s">
        <v>16</v>
      </c>
      <c r="S29" s="523">
        <f>IF(S25=0,0,(C32-C33)/S28)</f>
        <v>0</v>
      </c>
      <c r="T29" s="523" t="s">
        <v>17</v>
      </c>
      <c r="U29" s="524"/>
      <c r="W29" s="290" t="s">
        <v>672</v>
      </c>
      <c r="X29" s="291"/>
      <c r="Y29" s="292">
        <f>NPV($M$14,Y28:AM28)</f>
        <v>0</v>
      </c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3"/>
    </row>
    <row r="30" spans="1:66" ht="28.55" customHeight="1" thickBot="1" x14ac:dyDescent="0.3">
      <c r="A30" s="700"/>
      <c r="B30" s="699" t="s">
        <v>330</v>
      </c>
      <c r="C30" s="412"/>
      <c r="D30" s="110"/>
      <c r="E30" s="109"/>
      <c r="F30" s="350" t="s">
        <v>257</v>
      </c>
      <c r="G30" s="81">
        <f>IF($C32=0,0,IF($C33&gt;0.95*$C32,$Y30/($C32-($C32*0.95)+1-$C32*$M$16-C34),$Y30/($C32-$C33-$C32*$M$16-C34)))</f>
        <v>0</v>
      </c>
      <c r="H30" s="82"/>
      <c r="I30" s="91"/>
      <c r="K30" s="31" t="s">
        <v>7</v>
      </c>
      <c r="L30" s="31" t="s">
        <v>309</v>
      </c>
      <c r="M30" s="55">
        <f>IF(C26=0,0,IF(M24&gt;Benchmarking!B16*0.5*(C29+C30)/C26,Benchmarking!B16*0.5*(C29+C30)/C26*0.1,HVAC!M24))</f>
        <v>0</v>
      </c>
      <c r="N30" s="54">
        <f>IF(C26=0,0,IF(N24&gt;Benchmarking!$B$13*0.5*($C29+$C30)/$C26,Benchmarking!$B$13*0.5*($C29+$C30)/$C26*0.1,N24))</f>
        <v>0</v>
      </c>
      <c r="O30" s="54">
        <f>IF(C26=0,0,IF(ABS(O24)&gt;Benchmarking!$B$20*0.5*($C29+$C30)/$C26,Benchmarking!$B$13*0.5*($C29+$C30)/$C26*0.1,O24))</f>
        <v>0</v>
      </c>
      <c r="Q30" s="525"/>
      <c r="R30" s="526" t="s">
        <v>257</v>
      </c>
      <c r="S30" s="527">
        <f>IF($C32=0,0,IF($C33&gt;0.95*$C32,$Y29/($C32-($C32*0.95)+1-$C32*$M$16),$Y29/($C32-$C33-C34-$C32*$M$16)))</f>
        <v>0</v>
      </c>
      <c r="T30" s="528"/>
      <c r="U30" s="529"/>
      <c r="W30" s="310" t="s">
        <v>454</v>
      </c>
      <c r="X30" s="310"/>
      <c r="Y30" s="312">
        <f>NPV(M14, AP28:BD28)</f>
        <v>0</v>
      </c>
    </row>
    <row r="31" spans="1:66" ht="30.1" x14ac:dyDescent="0.25">
      <c r="A31" s="700"/>
      <c r="B31" s="699" t="s">
        <v>428</v>
      </c>
      <c r="C31" s="410"/>
      <c r="D31" s="110" t="s">
        <v>456</v>
      </c>
      <c r="K31" s="31" t="s">
        <v>8</v>
      </c>
      <c r="L31" s="31" t="s">
        <v>308</v>
      </c>
      <c r="M31" s="55">
        <v>0</v>
      </c>
      <c r="N31" s="55">
        <v>0</v>
      </c>
      <c r="O31" s="54">
        <v>0</v>
      </c>
      <c r="Q31" s="530"/>
      <c r="R31" s="530"/>
      <c r="S31" s="530"/>
      <c r="T31" s="530"/>
      <c r="U31" s="530"/>
    </row>
    <row r="32" spans="1:66" ht="19.55" customHeight="1" thickBot="1" x14ac:dyDescent="0.35">
      <c r="A32" s="700"/>
      <c r="B32" s="699" t="s">
        <v>368</v>
      </c>
      <c r="C32" s="413"/>
      <c r="K32" s="35"/>
      <c r="L32" s="35" t="s">
        <v>2</v>
      </c>
      <c r="M32" s="58">
        <f>M30-M31</f>
        <v>0</v>
      </c>
      <c r="N32" s="58">
        <f t="shared" ref="N32:O32" si="32">N30-N31</f>
        <v>0</v>
      </c>
      <c r="O32" s="58">
        <f t="shared" si="32"/>
        <v>0</v>
      </c>
      <c r="Q32" s="530"/>
      <c r="R32" s="530"/>
      <c r="S32" s="530"/>
      <c r="T32" s="530"/>
      <c r="U32" s="530"/>
    </row>
    <row r="33" spans="1:66" s="128" customFormat="1" ht="19.55" customHeight="1" x14ac:dyDescent="0.3">
      <c r="A33" s="700"/>
      <c r="B33" s="699" t="s">
        <v>236</v>
      </c>
      <c r="C33" s="413"/>
      <c r="D33" s="74"/>
      <c r="E33" s="74"/>
      <c r="F33" s="74"/>
      <c r="G33" s="74"/>
      <c r="H33" s="74"/>
      <c r="I33" s="18"/>
      <c r="J33" s="18"/>
      <c r="K33" s="67"/>
      <c r="L33" s="67"/>
      <c r="M33" s="344"/>
      <c r="N33" s="344"/>
      <c r="O33" s="175"/>
      <c r="P33" s="18"/>
      <c r="Q33" s="530"/>
      <c r="R33" s="530"/>
      <c r="S33" s="530"/>
      <c r="T33" s="530"/>
      <c r="U33" s="530"/>
      <c r="V33" s="18"/>
      <c r="W33" s="18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</row>
    <row r="34" spans="1:66" s="128" customFormat="1" ht="19.55" thickBot="1" x14ac:dyDescent="0.35">
      <c r="A34" s="701"/>
      <c r="B34" s="702" t="s">
        <v>505</v>
      </c>
      <c r="C34" s="414"/>
      <c r="D34" s="74"/>
      <c r="E34" s="74"/>
      <c r="F34" s="74"/>
      <c r="G34" s="74"/>
      <c r="H34" s="74"/>
      <c r="I34" s="18"/>
      <c r="J34" s="18"/>
      <c r="K34" s="69"/>
      <c r="L34" s="41"/>
      <c r="M34" s="176"/>
      <c r="N34" s="69"/>
      <c r="O34" s="69"/>
      <c r="P34" s="18"/>
      <c r="Q34" s="530"/>
      <c r="R34" s="530"/>
      <c r="S34" s="530"/>
      <c r="T34" s="530"/>
      <c r="U34" s="530"/>
      <c r="V34" s="18"/>
      <c r="W34" s="18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</row>
    <row r="35" spans="1:66" s="636" customFormat="1" ht="14.95" x14ac:dyDescent="0.25">
      <c r="A35" s="668"/>
      <c r="B35" s="710"/>
      <c r="C35" s="106"/>
      <c r="D35" s="74"/>
      <c r="E35" s="74"/>
      <c r="F35" s="74"/>
      <c r="G35" s="74"/>
      <c r="H35" s="74"/>
      <c r="I35" s="18"/>
      <c r="J35" s="18"/>
      <c r="K35" s="18"/>
      <c r="L35" s="204"/>
      <c r="M35" s="207"/>
      <c r="N35" s="18"/>
      <c r="O35" s="18"/>
      <c r="P35" s="18"/>
      <c r="Q35" s="530"/>
      <c r="R35" s="530"/>
      <c r="S35" s="530"/>
      <c r="T35" s="530"/>
      <c r="U35" s="530"/>
      <c r="V35" s="18"/>
      <c r="W35" s="18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s="636" customFormat="1" ht="18" customHeight="1" x14ac:dyDescent="0.25">
      <c r="A36" s="668"/>
      <c r="B36" s="733" t="s">
        <v>649</v>
      </c>
      <c r="C36" s="106"/>
      <c r="D36" s="74"/>
      <c r="E36" s="115"/>
      <c r="F36" s="115"/>
      <c r="G36" s="115"/>
      <c r="H36" s="115"/>
      <c r="I36" s="18"/>
      <c r="J36" s="18"/>
      <c r="K36" s="18"/>
      <c r="L36" s="204"/>
      <c r="M36" s="207"/>
      <c r="N36" s="18"/>
      <c r="O36" s="18"/>
      <c r="P36" s="18"/>
      <c r="Q36" s="530"/>
      <c r="R36" s="530"/>
      <c r="S36" s="530"/>
      <c r="T36" s="530"/>
      <c r="U36" s="530"/>
      <c r="V36" s="18"/>
      <c r="W36" s="18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</row>
    <row r="37" spans="1:66" s="636" customFormat="1" ht="19.7" thickBot="1" x14ac:dyDescent="0.4">
      <c r="A37" s="668"/>
      <c r="B37" s="733" t="s">
        <v>650</v>
      </c>
      <c r="C37" s="106"/>
      <c r="D37" s="74"/>
      <c r="E37" s="106"/>
      <c r="F37" s="106"/>
      <c r="G37" s="106"/>
      <c r="H37" s="106"/>
      <c r="I37" s="18"/>
      <c r="J37" s="18"/>
      <c r="K37" s="135" t="s">
        <v>113</v>
      </c>
      <c r="L37" s="18"/>
      <c r="M37" s="18"/>
      <c r="N37" s="18"/>
      <c r="O37" s="18"/>
      <c r="P37" s="18"/>
      <c r="Q37" s="530"/>
      <c r="R37" s="530"/>
      <c r="S37" s="530"/>
      <c r="T37" s="530"/>
      <c r="U37" s="530"/>
      <c r="V37" s="18"/>
      <c r="W37" s="23" t="s">
        <v>107</v>
      </c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349" t="s">
        <v>460</v>
      </c>
      <c r="AP37" s="63"/>
      <c r="AQ37" s="63"/>
      <c r="AR37" s="63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</row>
    <row r="38" spans="1:66" s="636" customFormat="1" ht="30.75" customHeight="1" thickBot="1" x14ac:dyDescent="0.35">
      <c r="A38" s="734" t="s">
        <v>294</v>
      </c>
      <c r="B38" s="735" t="str">
        <f>B14</f>
        <v>Replace old heat pump with high efficiency heat pump</v>
      </c>
      <c r="C38" s="703" t="s">
        <v>51</v>
      </c>
      <c r="D38" s="74"/>
      <c r="E38" s="808" t="s">
        <v>458</v>
      </c>
      <c r="F38" s="809"/>
      <c r="G38" s="809"/>
      <c r="H38" s="809"/>
      <c r="I38" s="810"/>
      <c r="J38" s="551"/>
      <c r="K38" s="24"/>
      <c r="L38" s="52" t="str">
        <f>A38</f>
        <v>ECM 12</v>
      </c>
      <c r="M38" s="25" t="s">
        <v>246</v>
      </c>
      <c r="N38" s="25" t="s">
        <v>247</v>
      </c>
      <c r="O38" s="25" t="s">
        <v>248</v>
      </c>
      <c r="P38" s="551"/>
      <c r="Q38" s="814" t="s">
        <v>74</v>
      </c>
      <c r="R38" s="815"/>
      <c r="S38" s="815"/>
      <c r="T38" s="815"/>
      <c r="U38" s="816"/>
      <c r="V38" s="18"/>
      <c r="W38" s="232" t="s">
        <v>29</v>
      </c>
      <c r="X38" s="268">
        <v>0</v>
      </c>
      <c r="Y38" s="233">
        <v>1</v>
      </c>
      <c r="Z38" s="233">
        <v>2</v>
      </c>
      <c r="AA38" s="233">
        <v>3</v>
      </c>
      <c r="AB38" s="233">
        <v>4</v>
      </c>
      <c r="AC38" s="233">
        <v>5</v>
      </c>
      <c r="AD38" s="233">
        <v>6</v>
      </c>
      <c r="AE38" s="233">
        <v>7</v>
      </c>
      <c r="AF38" s="233">
        <v>8</v>
      </c>
      <c r="AG38" s="233">
        <v>9</v>
      </c>
      <c r="AH38" s="233">
        <v>10</v>
      </c>
      <c r="AI38" s="233">
        <v>11</v>
      </c>
      <c r="AJ38" s="233">
        <v>12</v>
      </c>
      <c r="AK38" s="233">
        <v>13</v>
      </c>
      <c r="AL38" s="233">
        <v>14</v>
      </c>
      <c r="AM38" s="234">
        <v>15</v>
      </c>
      <c r="AN38" s="63"/>
      <c r="AO38" s="268">
        <v>0</v>
      </c>
      <c r="AP38" s="233">
        <v>1</v>
      </c>
      <c r="AQ38" s="233">
        <v>2</v>
      </c>
      <c r="AR38" s="233">
        <v>3</v>
      </c>
      <c r="AS38" s="233">
        <v>4</v>
      </c>
      <c r="AT38" s="233">
        <v>5</v>
      </c>
      <c r="AU38" s="233">
        <v>6</v>
      </c>
      <c r="AV38" s="233">
        <v>7</v>
      </c>
      <c r="AW38" s="233">
        <v>8</v>
      </c>
      <c r="AX38" s="233">
        <v>9</v>
      </c>
      <c r="AY38" s="233">
        <v>10</v>
      </c>
      <c r="AZ38" s="233">
        <v>11</v>
      </c>
      <c r="BA38" s="233">
        <v>12</v>
      </c>
      <c r="BB38" s="233">
        <v>13</v>
      </c>
      <c r="BC38" s="233">
        <v>14</v>
      </c>
      <c r="BD38" s="234">
        <v>15</v>
      </c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s="636" customFormat="1" ht="19.05" x14ac:dyDescent="0.35">
      <c r="A39" s="697"/>
      <c r="B39" s="817" t="s">
        <v>433</v>
      </c>
      <c r="C39" s="818"/>
      <c r="D39" s="18"/>
      <c r="E39" s="552"/>
      <c r="F39" s="84" t="s">
        <v>4</v>
      </c>
      <c r="G39" s="514">
        <f>'Total-Summary'!C19</f>
        <v>0</v>
      </c>
      <c r="H39" s="553" t="s">
        <v>378</v>
      </c>
      <c r="I39" s="554"/>
      <c r="J39" s="551"/>
      <c r="K39" s="31" t="s">
        <v>7</v>
      </c>
      <c r="L39" s="31" t="s">
        <v>331</v>
      </c>
      <c r="M39" s="555">
        <f>IF($C$48="PGE",'AVG HVAC impact'!B21*0.9*HVAC!C45+HVAC!C46*'AVG HVAC impact'!B24*0.9+C47*'AVG HVAC impact'!B27*0.9,IF($C$48="SDGE",'AVG HVAC impact'!B23*0.9*HVAC!C45+HVAC!C46*'AVG HVAC impact'!B26*0.9+C47*'AVG HVAC impact'!B29*0.9,'AVG HVAC impact'!B22*0.9*HVAC!C45+HVAC!C46*'AVG HVAC impact'!B25*0.9+'AVG HVAC impact'!B28*0.9*C47))</f>
        <v>0</v>
      </c>
      <c r="N39" s="556">
        <f>IF($C$48="PGE",'AVG HVAC impact'!C21*$C45+$C46*'AVG HVAC impact'!C24+$C47*'AVG HVAC impact'!C27,IF($C$48="SDGE",'AVG HVAC impact'!C23*$C45+$C46*'AVG HVAC impact'!C26+$C47*'AVG HVAC impact'!C29,'AVG HVAC impact'!C22*$C45+$C46*'AVG HVAC impact'!C25+'AVG HVAC impact'!C28*$C47))</f>
        <v>0</v>
      </c>
      <c r="O39" s="555">
        <v>0</v>
      </c>
      <c r="P39" s="551"/>
      <c r="Q39" s="557"/>
      <c r="R39" s="513" t="s">
        <v>4</v>
      </c>
      <c r="S39" s="514">
        <f>IF(C49=0,0,N47)</f>
        <v>0</v>
      </c>
      <c r="T39" s="545" t="s">
        <v>378</v>
      </c>
      <c r="U39" s="558"/>
      <c r="V39" s="18"/>
      <c r="W39" s="235" t="s">
        <v>29</v>
      </c>
      <c r="X39" s="264">
        <v>2013</v>
      </c>
      <c r="Y39" s="264">
        <f>X39+1</f>
        <v>2014</v>
      </c>
      <c r="Z39" s="264">
        <f t="shared" ref="Z39" si="33">Y39+1</f>
        <v>2015</v>
      </c>
      <c r="AA39" s="264">
        <f t="shared" ref="AA39" si="34">Z39+1</f>
        <v>2016</v>
      </c>
      <c r="AB39" s="264">
        <f t="shared" ref="AB39" si="35">AA39+1</f>
        <v>2017</v>
      </c>
      <c r="AC39" s="264">
        <f t="shared" ref="AC39" si="36">AB39+1</f>
        <v>2018</v>
      </c>
      <c r="AD39" s="264">
        <f t="shared" ref="AD39" si="37">AC39+1</f>
        <v>2019</v>
      </c>
      <c r="AE39" s="264">
        <f t="shared" ref="AE39" si="38">AD39+1</f>
        <v>2020</v>
      </c>
      <c r="AF39" s="264">
        <f t="shared" ref="AF39" si="39">AE39+1</f>
        <v>2021</v>
      </c>
      <c r="AG39" s="264">
        <f t="shared" ref="AG39" si="40">AF39+1</f>
        <v>2022</v>
      </c>
      <c r="AH39" s="264">
        <f t="shared" ref="AH39" si="41">AG39+1</f>
        <v>2023</v>
      </c>
      <c r="AI39" s="264">
        <f t="shared" ref="AI39" si="42">AH39+1</f>
        <v>2024</v>
      </c>
      <c r="AJ39" s="264">
        <f t="shared" ref="AJ39" si="43">AI39+1</f>
        <v>2025</v>
      </c>
      <c r="AK39" s="264">
        <f t="shared" ref="AK39" si="44">AJ39+1</f>
        <v>2026</v>
      </c>
      <c r="AL39" s="264">
        <f t="shared" ref="AL39" si="45">AK39+1</f>
        <v>2027</v>
      </c>
      <c r="AM39" s="269">
        <f t="shared" ref="AM39" si="46">AL39+1</f>
        <v>2028</v>
      </c>
      <c r="AN39" s="63"/>
      <c r="AO39" s="264">
        <v>2013</v>
      </c>
      <c r="AP39" s="264">
        <f>AO39+1</f>
        <v>2014</v>
      </c>
      <c r="AQ39" s="264">
        <f t="shared" ref="AQ39" si="47">AP39+1</f>
        <v>2015</v>
      </c>
      <c r="AR39" s="264">
        <f t="shared" ref="AR39" si="48">AQ39+1</f>
        <v>2016</v>
      </c>
      <c r="AS39" s="264">
        <f t="shared" ref="AS39" si="49">AR39+1</f>
        <v>2017</v>
      </c>
      <c r="AT39" s="264">
        <f t="shared" ref="AT39" si="50">AS39+1</f>
        <v>2018</v>
      </c>
      <c r="AU39" s="264">
        <f t="shared" ref="AU39" si="51">AT39+1</f>
        <v>2019</v>
      </c>
      <c r="AV39" s="264">
        <f t="shared" ref="AV39" si="52">AU39+1</f>
        <v>2020</v>
      </c>
      <c r="AW39" s="264">
        <f t="shared" ref="AW39" si="53">AV39+1</f>
        <v>2021</v>
      </c>
      <c r="AX39" s="264">
        <f t="shared" ref="AX39" si="54">AW39+1</f>
        <v>2022</v>
      </c>
      <c r="AY39" s="264">
        <f t="shared" ref="AY39" si="55">AX39+1</f>
        <v>2023</v>
      </c>
      <c r="AZ39" s="264">
        <f t="shared" ref="AZ39" si="56">AY39+1</f>
        <v>2024</v>
      </c>
      <c r="BA39" s="264">
        <f t="shared" ref="BA39" si="57">AZ39+1</f>
        <v>2025</v>
      </c>
      <c r="BB39" s="264">
        <f t="shared" ref="BB39" si="58">BA39+1</f>
        <v>2026</v>
      </c>
      <c r="BC39" s="264">
        <f t="shared" ref="BC39" si="59">BB39+1</f>
        <v>2027</v>
      </c>
      <c r="BD39" s="269">
        <f t="shared" ref="BD39" si="60">BC39+1</f>
        <v>2028</v>
      </c>
      <c r="BE39" s="18"/>
      <c r="BF39" s="18"/>
      <c r="BG39" s="18"/>
      <c r="BH39" s="18"/>
      <c r="BI39" s="18"/>
      <c r="BJ39" s="18"/>
      <c r="BK39" s="18"/>
      <c r="BL39" s="18"/>
      <c r="BM39" s="18"/>
      <c r="BN39" s="18"/>
    </row>
    <row r="40" spans="1:66" ht="16.3" x14ac:dyDescent="0.3">
      <c r="A40" s="657"/>
      <c r="B40" s="699" t="s">
        <v>504</v>
      </c>
      <c r="C40" s="625"/>
      <c r="E40" s="161"/>
      <c r="F40" s="41" t="s">
        <v>5</v>
      </c>
      <c r="G40" s="514">
        <f>'Total-Summary'!D19</f>
        <v>0</v>
      </c>
      <c r="H40" s="164" t="s">
        <v>12</v>
      </c>
      <c r="I40" s="165"/>
      <c r="J40" s="551"/>
      <c r="K40" s="31" t="s">
        <v>8</v>
      </c>
      <c r="L40" s="31" t="s">
        <v>332</v>
      </c>
      <c r="M40" s="555">
        <v>0</v>
      </c>
      <c r="N40" s="559">
        <f>'AVG lighting impact'!C24*Lighting!C49*Lighting!C50*1</f>
        <v>0</v>
      </c>
      <c r="O40" s="555">
        <v>0</v>
      </c>
      <c r="P40" s="164"/>
      <c r="Q40" s="560"/>
      <c r="R40" s="518" t="s">
        <v>5</v>
      </c>
      <c r="S40" s="514">
        <f>IF(M41=0,0,M47)</f>
        <v>0</v>
      </c>
      <c r="T40" s="547" t="s">
        <v>12</v>
      </c>
      <c r="U40" s="561"/>
      <c r="V40" s="33"/>
      <c r="W40" s="236" t="s">
        <v>30</v>
      </c>
      <c r="X40" s="60"/>
      <c r="Y40" s="60">
        <f>S43</f>
        <v>0</v>
      </c>
      <c r="Z40" s="60">
        <f>Y40*(1+$M$15)</f>
        <v>0</v>
      </c>
      <c r="AA40" s="60">
        <f>Z40*(1+$M$15)</f>
        <v>0</v>
      </c>
      <c r="AB40" s="60">
        <f t="shared" ref="AB40" si="61">AA40*(1+$M$15)</f>
        <v>0</v>
      </c>
      <c r="AC40" s="60">
        <f t="shared" ref="AC40" si="62">AB40*(1+$M$15)</f>
        <v>0</v>
      </c>
      <c r="AD40" s="60">
        <f t="shared" ref="AD40" si="63">AC40*(1+$M$15)</f>
        <v>0</v>
      </c>
      <c r="AE40" s="60">
        <f t="shared" ref="AE40" si="64">AD40*(1+$M$15)</f>
        <v>0</v>
      </c>
      <c r="AF40" s="60">
        <f t="shared" ref="AF40" si="65">AE40*(1+$M$15)</f>
        <v>0</v>
      </c>
      <c r="AG40" s="60">
        <f t="shared" ref="AG40" si="66">AF40*(1+$M$15)</f>
        <v>0</v>
      </c>
      <c r="AH40" s="60">
        <f t="shared" ref="AH40" si="67">AG40*(1+$M$15)</f>
        <v>0</v>
      </c>
      <c r="AI40" s="60">
        <f t="shared" ref="AI40" si="68">AH40*(1+$M$15)</f>
        <v>0</v>
      </c>
      <c r="AJ40" s="60">
        <f t="shared" ref="AJ40" si="69">AI40*(1+$M$15)</f>
        <v>0</v>
      </c>
      <c r="AK40" s="60">
        <f t="shared" ref="AK40" si="70">AJ40*(1+$M$15)</f>
        <v>0</v>
      </c>
      <c r="AL40" s="60">
        <f t="shared" ref="AL40" si="71">AK40*(1+$M$15)</f>
        <v>0</v>
      </c>
      <c r="AM40" s="271">
        <f t="shared" ref="AM40" si="72">AL40*(1+$M$15)</f>
        <v>0</v>
      </c>
      <c r="AO40" s="60"/>
      <c r="AP40" s="60">
        <f>'Total-Summary'!H19</f>
        <v>0</v>
      </c>
      <c r="AQ40" s="60">
        <f>AP40*(1+$M$15)</f>
        <v>0</v>
      </c>
      <c r="AR40" s="60">
        <f>AQ40*(1+$M$15)</f>
        <v>0</v>
      </c>
      <c r="AS40" s="60">
        <f t="shared" ref="AS40" si="73">AR40*(1+$M$15)</f>
        <v>0</v>
      </c>
      <c r="AT40" s="60">
        <f t="shared" ref="AT40" si="74">AS40*(1+$M$15)</f>
        <v>0</v>
      </c>
      <c r="AU40" s="60">
        <f t="shared" ref="AU40" si="75">AT40*(1+$M$15)</f>
        <v>0</v>
      </c>
      <c r="AV40" s="60">
        <f t="shared" ref="AV40" si="76">AU40*(1+$M$15)</f>
        <v>0</v>
      </c>
      <c r="AW40" s="60">
        <f t="shared" ref="AW40" si="77">AV40*(1+$M$15)</f>
        <v>0</v>
      </c>
      <c r="AX40" s="60">
        <f t="shared" ref="AX40" si="78">AW40*(1+$M$15)</f>
        <v>0</v>
      </c>
      <c r="AY40" s="60">
        <f t="shared" ref="AY40" si="79">AX40*(1+$M$15)</f>
        <v>0</v>
      </c>
      <c r="AZ40" s="60">
        <f t="shared" ref="AZ40" si="80">AY40*(1+$M$15)</f>
        <v>0</v>
      </c>
      <c r="BA40" s="60">
        <f t="shared" ref="BA40" si="81">AZ40*(1+$M$15)</f>
        <v>0</v>
      </c>
      <c r="BB40" s="60">
        <f t="shared" ref="BB40" si="82">BA40*(1+$M$15)</f>
        <v>0</v>
      </c>
      <c r="BC40" s="60">
        <f t="shared" ref="BC40" si="83">BB40*(1+$M$15)</f>
        <v>0</v>
      </c>
      <c r="BD40" s="271">
        <f t="shared" ref="BD40" si="84">BC40*(1+$M$15)</f>
        <v>0</v>
      </c>
    </row>
    <row r="41" spans="1:66" ht="16.5" thickBot="1" x14ac:dyDescent="0.3">
      <c r="A41" s="657"/>
      <c r="B41" s="699" t="s">
        <v>647</v>
      </c>
      <c r="C41" s="625"/>
      <c r="D41" s="74" t="s">
        <v>646</v>
      </c>
      <c r="E41" s="161"/>
      <c r="F41" s="162" t="s">
        <v>5</v>
      </c>
      <c r="G41" s="514">
        <f>'Total-Summary'!E19</f>
        <v>0</v>
      </c>
      <c r="H41" s="164" t="s">
        <v>379</v>
      </c>
      <c r="I41" s="165"/>
      <c r="J41" s="551"/>
      <c r="K41" s="35"/>
      <c r="L41" s="35" t="s">
        <v>2</v>
      </c>
      <c r="M41" s="562">
        <f>M39-M40</f>
        <v>0</v>
      </c>
      <c r="N41" s="563">
        <f t="shared" ref="N41" si="85">N39-N40</f>
        <v>0</v>
      </c>
      <c r="O41" s="562">
        <f t="shared" ref="O41" si="86">O39-O40</f>
        <v>0</v>
      </c>
      <c r="P41" s="551"/>
      <c r="Q41" s="560"/>
      <c r="R41" s="564" t="s">
        <v>5</v>
      </c>
      <c r="S41" s="547">
        <f>IF(Benchmarking!$E24=0,0,O47)</f>
        <v>0</v>
      </c>
      <c r="T41" s="547" t="s">
        <v>379</v>
      </c>
      <c r="U41" s="561"/>
      <c r="W41" s="235" t="s">
        <v>31</v>
      </c>
      <c r="X41" s="264"/>
      <c r="Y41" s="60">
        <f>IF((C42+C43+C44)=0,0,C49*M$17)</f>
        <v>0</v>
      </c>
      <c r="Z41" s="60">
        <f>Y41*(1+$M$13)</f>
        <v>0</v>
      </c>
      <c r="AA41" s="60">
        <f t="shared" ref="AA41" si="87">Z41*(1+$M$13)</f>
        <v>0</v>
      </c>
      <c r="AB41" s="60">
        <f t="shared" ref="AB41" si="88">AA41*(1+$M$13)</f>
        <v>0</v>
      </c>
      <c r="AC41" s="60">
        <f t="shared" ref="AC41" si="89">AB41*(1+$M$13)</f>
        <v>0</v>
      </c>
      <c r="AD41" s="60">
        <f t="shared" ref="AD41" si="90">AC41*(1+$M$13)</f>
        <v>0</v>
      </c>
      <c r="AE41" s="60">
        <f t="shared" ref="AE41" si="91">AD41*(1+$M$13)</f>
        <v>0</v>
      </c>
      <c r="AF41" s="60">
        <f t="shared" ref="AF41" si="92">AE41*(1+$M$13)</f>
        <v>0</v>
      </c>
      <c r="AG41" s="60">
        <f t="shared" ref="AG41" si="93">AF41*(1+$M$13)</f>
        <v>0</v>
      </c>
      <c r="AH41" s="60">
        <f t="shared" ref="AH41" si="94">AG41*(1+$M$13)</f>
        <v>0</v>
      </c>
      <c r="AI41" s="60">
        <f t="shared" ref="AI41" si="95">AH41*(1+$M$13)</f>
        <v>0</v>
      </c>
      <c r="AJ41" s="60">
        <f t="shared" ref="AJ41" si="96">AI41*(1+$M$13)</f>
        <v>0</v>
      </c>
      <c r="AK41" s="60">
        <f t="shared" ref="AK41" si="97">AJ41*(1+$M$13)</f>
        <v>0</v>
      </c>
      <c r="AL41" s="60">
        <f t="shared" ref="AL41" si="98">AK41*(1+$M$13)</f>
        <v>0</v>
      </c>
      <c r="AM41" s="271">
        <f t="shared" ref="AM41" si="99">AL41*(1+$M$13)</f>
        <v>0</v>
      </c>
    </row>
    <row r="42" spans="1:66" ht="16.3" x14ac:dyDescent="0.3">
      <c r="A42" s="700"/>
      <c r="B42" s="699" t="s">
        <v>685</v>
      </c>
      <c r="C42" s="466"/>
      <c r="E42" s="168"/>
      <c r="F42" s="166" t="s">
        <v>14</v>
      </c>
      <c r="G42" s="547">
        <f>IF('Total-Summary'!F19&lt;&gt;0,'Total-Summary'!F19,'Total-Summary'!G19)</f>
        <v>0</v>
      </c>
      <c r="H42" s="164" t="s">
        <v>48</v>
      </c>
      <c r="I42" s="167" t="str">
        <f>IF(Benchmarking!$E$25=0,"Fuel Oil","Propane")</f>
        <v>Fuel Oil</v>
      </c>
      <c r="J42" s="551"/>
      <c r="K42" s="551"/>
      <c r="L42" s="551"/>
      <c r="M42" s="551"/>
      <c r="N42" s="551"/>
      <c r="O42" s="565"/>
      <c r="P42" s="551"/>
      <c r="Q42" s="566"/>
      <c r="R42" s="567" t="s">
        <v>14</v>
      </c>
      <c r="S42" s="547">
        <f>IF(Benchmarking!E$25&gt;0,O41/0.925,O41/1.385)</f>
        <v>0</v>
      </c>
      <c r="T42" s="547" t="s">
        <v>48</v>
      </c>
      <c r="U42" s="568" t="str">
        <f>IF(Benchmarking!$E$25=0,"Fuel Oil","Propane")</f>
        <v>Fuel Oil</v>
      </c>
      <c r="W42" s="235" t="s">
        <v>32</v>
      </c>
      <c r="X42" s="264"/>
      <c r="Y42" s="260">
        <v>0</v>
      </c>
      <c r="Z42" s="260">
        <v>0</v>
      </c>
      <c r="AA42" s="260">
        <v>0</v>
      </c>
      <c r="AB42" s="260">
        <v>0</v>
      </c>
      <c r="AC42" s="260">
        <v>0</v>
      </c>
      <c r="AD42" s="260">
        <v>0</v>
      </c>
      <c r="AE42" s="260">
        <v>0</v>
      </c>
      <c r="AF42" s="260">
        <v>0</v>
      </c>
      <c r="AG42" s="260">
        <v>0</v>
      </c>
      <c r="AH42" s="260">
        <v>0</v>
      </c>
      <c r="AI42" s="260">
        <v>0</v>
      </c>
      <c r="AJ42" s="260">
        <v>0</v>
      </c>
      <c r="AK42" s="260">
        <v>0</v>
      </c>
      <c r="AL42" s="260">
        <v>0</v>
      </c>
      <c r="AM42" s="273">
        <v>0</v>
      </c>
    </row>
    <row r="43" spans="1:66" ht="17" thickBot="1" x14ac:dyDescent="0.35">
      <c r="A43" s="700"/>
      <c r="B43" s="699" t="s">
        <v>391</v>
      </c>
      <c r="C43" s="466"/>
      <c r="E43" s="168"/>
      <c r="F43" s="89" t="s">
        <v>14</v>
      </c>
      <c r="G43" s="78">
        <f>'Total-Summary'!H19</f>
        <v>0</v>
      </c>
      <c r="H43" s="79" t="s">
        <v>15</v>
      </c>
      <c r="I43" s="165"/>
      <c r="J43" s="551"/>
      <c r="K43" s="42" t="s">
        <v>645</v>
      </c>
      <c r="L43" s="551"/>
      <c r="M43" s="551"/>
      <c r="N43" s="551"/>
      <c r="O43" s="551"/>
      <c r="P43" s="551"/>
      <c r="Q43" s="566"/>
      <c r="R43" s="533" t="s">
        <v>14</v>
      </c>
      <c r="S43" s="544">
        <f>IF(S40=0,0,S40*Benchmarking!E$23+Benchmarking!E$24*S41+IF(Benchmarking!B$23=0,Benchmarking!E$26*S42,Benchmarking!E$25*S42))</f>
        <v>0</v>
      </c>
      <c r="T43" s="534" t="s">
        <v>15</v>
      </c>
      <c r="U43" s="561"/>
      <c r="W43" s="235" t="s">
        <v>33</v>
      </c>
      <c r="X43" s="283"/>
      <c r="Y43" s="61">
        <f>Y40+Y41-Y42</f>
        <v>0</v>
      </c>
      <c r="Z43" s="61">
        <f t="shared" ref="Z43:AM43" si="100">Z40+Z41-Z42</f>
        <v>0</v>
      </c>
      <c r="AA43" s="61">
        <f t="shared" si="100"/>
        <v>0</v>
      </c>
      <c r="AB43" s="61">
        <f t="shared" si="100"/>
        <v>0</v>
      </c>
      <c r="AC43" s="61">
        <f t="shared" si="100"/>
        <v>0</v>
      </c>
      <c r="AD43" s="61">
        <f t="shared" si="100"/>
        <v>0</v>
      </c>
      <c r="AE43" s="61">
        <f t="shared" si="100"/>
        <v>0</v>
      </c>
      <c r="AF43" s="61">
        <f t="shared" si="100"/>
        <v>0</v>
      </c>
      <c r="AG43" s="61">
        <f t="shared" si="100"/>
        <v>0</v>
      </c>
      <c r="AH43" s="61">
        <f t="shared" si="100"/>
        <v>0</v>
      </c>
      <c r="AI43" s="61">
        <f t="shared" si="100"/>
        <v>0</v>
      </c>
      <c r="AJ43" s="61">
        <f t="shared" si="100"/>
        <v>0</v>
      </c>
      <c r="AK43" s="61">
        <f t="shared" si="100"/>
        <v>0</v>
      </c>
      <c r="AL43" s="61">
        <f t="shared" si="100"/>
        <v>0</v>
      </c>
      <c r="AM43" s="284">
        <f t="shared" si="100"/>
        <v>0</v>
      </c>
      <c r="AO43" s="63" t="s">
        <v>461</v>
      </c>
      <c r="AP43" s="342">
        <f>AP40+Y41-Y42</f>
        <v>0</v>
      </c>
      <c r="AQ43" s="342">
        <f t="shared" ref="AQ43:BD43" si="101">AQ40+Z41-Z42</f>
        <v>0</v>
      </c>
      <c r="AR43" s="342">
        <f t="shared" si="101"/>
        <v>0</v>
      </c>
      <c r="AS43" s="342">
        <f t="shared" si="101"/>
        <v>0</v>
      </c>
      <c r="AT43" s="342">
        <f t="shared" si="101"/>
        <v>0</v>
      </c>
      <c r="AU43" s="342">
        <f t="shared" si="101"/>
        <v>0</v>
      </c>
      <c r="AV43" s="342">
        <f t="shared" si="101"/>
        <v>0</v>
      </c>
      <c r="AW43" s="342">
        <f t="shared" si="101"/>
        <v>0</v>
      </c>
      <c r="AX43" s="342">
        <f t="shared" si="101"/>
        <v>0</v>
      </c>
      <c r="AY43" s="342">
        <f t="shared" si="101"/>
        <v>0</v>
      </c>
      <c r="AZ43" s="342">
        <f t="shared" si="101"/>
        <v>0</v>
      </c>
      <c r="BA43" s="342">
        <f t="shared" si="101"/>
        <v>0</v>
      </c>
      <c r="BB43" s="342">
        <f t="shared" si="101"/>
        <v>0</v>
      </c>
      <c r="BC43" s="342">
        <f t="shared" si="101"/>
        <v>0</v>
      </c>
      <c r="BD43" s="342">
        <f t="shared" si="101"/>
        <v>0</v>
      </c>
    </row>
    <row r="44" spans="1:66" ht="29.9" thickBot="1" x14ac:dyDescent="0.35">
      <c r="A44" s="657"/>
      <c r="B44" s="699" t="s">
        <v>392</v>
      </c>
      <c r="C44" s="466"/>
      <c r="E44" s="161"/>
      <c r="F44" s="89" t="s">
        <v>16</v>
      </c>
      <c r="G44" s="80">
        <f>IF(C49=0,0,(C49-C50)/G43)</f>
        <v>0</v>
      </c>
      <c r="H44" s="79" t="s">
        <v>17</v>
      </c>
      <c r="I44" s="569"/>
      <c r="J44" s="551"/>
      <c r="K44" s="24"/>
      <c r="L44" s="52">
        <f>A44</f>
        <v>0</v>
      </c>
      <c r="M44" s="25" t="s">
        <v>246</v>
      </c>
      <c r="N44" s="25" t="s">
        <v>247</v>
      </c>
      <c r="O44" s="25" t="s">
        <v>248</v>
      </c>
      <c r="P44" s="551"/>
      <c r="Q44" s="560"/>
      <c r="R44" s="533" t="s">
        <v>16</v>
      </c>
      <c r="S44" s="534">
        <f>IF(C49=0,0,(C49-C50)/S43)</f>
        <v>0</v>
      </c>
      <c r="T44" s="534" t="s">
        <v>17</v>
      </c>
      <c r="U44" s="570"/>
      <c r="W44" s="237" t="s">
        <v>672</v>
      </c>
      <c r="X44" s="279"/>
      <c r="Y44" s="280">
        <f>NPV($M$14,Y43:AM43)</f>
        <v>0</v>
      </c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81"/>
    </row>
    <row r="45" spans="1:66" s="128" customFormat="1" ht="17" thickBot="1" x14ac:dyDescent="0.35">
      <c r="A45" s="700"/>
      <c r="B45" s="736" t="s">
        <v>667</v>
      </c>
      <c r="C45" s="466"/>
      <c r="D45" s="74"/>
      <c r="E45" s="169"/>
      <c r="F45" s="571" t="s">
        <v>257</v>
      </c>
      <c r="G45" s="170">
        <f>IF($C49=0,0,IF($C50&gt;0.95*$C49,$Y45/($C49-($C49*0.95)+1-$C49*$M$16-C51),$Y45/($C49-$C50-$C49*$M$16-C51)))</f>
        <v>0</v>
      </c>
      <c r="H45" s="171"/>
      <c r="I45" s="172"/>
      <c r="J45" s="551"/>
      <c r="K45" s="31" t="s">
        <v>7</v>
      </c>
      <c r="L45" s="31" t="s">
        <v>309</v>
      </c>
      <c r="M45" s="555">
        <f>IF(C41=0,0,IF(M39&gt;Benchmarking!B16*0.5*(C45+C46+C47)/C41,Benchmarking!B16*0.5*(C45+C46+C47)/C41*0.1,HVAC!M39))</f>
        <v>0</v>
      </c>
      <c r="N45" s="556">
        <f>IF(C41=0,0,IF(N39&gt;Benchmarking!$B$13*0.5*($C45+$C46+$C47)/$C41,Benchmarking!$B$13*0.5*($C45+$C46+$C47)/$C41*0.1,N39))</f>
        <v>0</v>
      </c>
      <c r="O45" s="556">
        <v>0</v>
      </c>
      <c r="P45" s="551"/>
      <c r="Q45" s="572"/>
      <c r="R45" s="535" t="s">
        <v>257</v>
      </c>
      <c r="S45" s="573">
        <f>IF($C49=0,0,IF($C50&gt;0.95*$C49,$Y44/($C49-($C49*0.95)+1-$C49*$M$16),$Y44/($C49-$C50-C51-$C49*$M$16)))</f>
        <v>0</v>
      </c>
      <c r="T45" s="550"/>
      <c r="U45" s="574"/>
      <c r="V45" s="18"/>
      <c r="W45" s="310" t="s">
        <v>454</v>
      </c>
      <c r="X45" s="310"/>
      <c r="Y45" s="312">
        <f>NPV(M14,AP43:BD43)</f>
        <v>0</v>
      </c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</row>
    <row r="46" spans="1:66" s="128" customFormat="1" ht="16.3" x14ac:dyDescent="0.3">
      <c r="A46" s="700"/>
      <c r="B46" s="699" t="s">
        <v>389</v>
      </c>
      <c r="C46" s="466"/>
      <c r="D46" s="110"/>
      <c r="E46" s="575"/>
      <c r="F46" s="575"/>
      <c r="G46" s="575"/>
      <c r="H46" s="575"/>
      <c r="I46" s="551"/>
      <c r="J46" s="551"/>
      <c r="K46" s="31" t="s">
        <v>8</v>
      </c>
      <c r="L46" s="31" t="s">
        <v>308</v>
      </c>
      <c r="M46" s="555">
        <v>0</v>
      </c>
      <c r="N46" s="555">
        <v>0</v>
      </c>
      <c r="O46" s="556">
        <v>0</v>
      </c>
      <c r="P46" s="551"/>
      <c r="Q46" s="576"/>
      <c r="R46" s="576"/>
      <c r="S46" s="576"/>
      <c r="T46" s="576"/>
      <c r="U46" s="576"/>
      <c r="V46" s="18"/>
      <c r="W46" s="18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</row>
    <row r="47" spans="1:66" s="128" customFormat="1" ht="17" thickBot="1" x14ac:dyDescent="0.35">
      <c r="A47" s="657"/>
      <c r="B47" s="699" t="s">
        <v>390</v>
      </c>
      <c r="C47" s="466"/>
      <c r="D47" s="74"/>
      <c r="E47" s="577"/>
      <c r="F47" s="577"/>
      <c r="G47" s="577"/>
      <c r="H47" s="577"/>
      <c r="I47" s="551"/>
      <c r="J47" s="551"/>
      <c r="K47" s="35"/>
      <c r="L47" s="35" t="s">
        <v>2</v>
      </c>
      <c r="M47" s="562">
        <f>M45-M46</f>
        <v>0</v>
      </c>
      <c r="N47" s="563">
        <f t="shared" ref="N47:O47" si="102">N45-N46</f>
        <v>0</v>
      </c>
      <c r="O47" s="562">
        <f t="shared" si="102"/>
        <v>0</v>
      </c>
      <c r="P47" s="551"/>
      <c r="Q47" s="576"/>
      <c r="R47" s="576"/>
      <c r="S47" s="576"/>
      <c r="T47" s="576"/>
      <c r="U47" s="576"/>
      <c r="V47" s="18"/>
      <c r="W47" s="18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</row>
    <row r="48" spans="1:66" s="128" customFormat="1" ht="29.25" x14ac:dyDescent="0.3">
      <c r="A48" s="700"/>
      <c r="B48" s="699" t="s">
        <v>428</v>
      </c>
      <c r="C48" s="463"/>
      <c r="D48" s="110" t="s">
        <v>456</v>
      </c>
      <c r="E48" s="577"/>
      <c r="F48" s="577"/>
      <c r="G48" s="577"/>
      <c r="H48" s="577"/>
      <c r="I48" s="551"/>
      <c r="J48" s="551"/>
      <c r="K48" s="67"/>
      <c r="L48" s="67"/>
      <c r="M48" s="578"/>
      <c r="N48" s="578"/>
      <c r="O48" s="579"/>
      <c r="P48" s="551"/>
      <c r="Q48" s="576"/>
      <c r="R48" s="576"/>
      <c r="S48" s="576"/>
      <c r="T48" s="576"/>
      <c r="U48" s="576"/>
      <c r="V48" s="18"/>
      <c r="W48" s="18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</row>
    <row r="49" spans="1:66" s="128" customFormat="1" ht="19.05" x14ac:dyDescent="0.35">
      <c r="A49" s="700"/>
      <c r="B49" s="699" t="s">
        <v>368</v>
      </c>
      <c r="C49" s="467"/>
      <c r="D49" s="74"/>
      <c r="E49" s="577"/>
      <c r="F49" s="577"/>
      <c r="G49" s="577"/>
      <c r="H49" s="577"/>
      <c r="I49" s="551"/>
      <c r="J49" s="551"/>
      <c r="K49" s="580"/>
      <c r="L49" s="580"/>
      <c r="M49" s="580"/>
      <c r="N49" s="580"/>
      <c r="O49" s="579"/>
      <c r="P49" s="551"/>
      <c r="Q49" s="576"/>
      <c r="R49" s="576"/>
      <c r="S49" s="576"/>
      <c r="T49" s="576"/>
      <c r="U49" s="576"/>
      <c r="V49" s="18"/>
      <c r="W49" s="18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s="128" customFormat="1" ht="19.05" x14ac:dyDescent="0.35">
      <c r="A50" s="657"/>
      <c r="B50" s="699" t="s">
        <v>236</v>
      </c>
      <c r="C50" s="467"/>
      <c r="D50" s="74"/>
      <c r="E50" s="577"/>
      <c r="F50" s="577"/>
      <c r="G50" s="577"/>
      <c r="H50" s="577"/>
      <c r="I50" s="551"/>
      <c r="J50" s="551"/>
      <c r="K50" s="551"/>
      <c r="L50" s="551"/>
      <c r="M50" s="551"/>
      <c r="N50" s="551"/>
      <c r="O50" s="565"/>
      <c r="P50" s="551"/>
      <c r="Q50" s="576"/>
      <c r="R50" s="576"/>
      <c r="S50" s="576"/>
      <c r="T50" s="576"/>
      <c r="U50" s="576"/>
      <c r="V50" s="18"/>
      <c r="W50" s="18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s="128" customFormat="1" ht="19.7" thickBot="1" x14ac:dyDescent="0.4">
      <c r="A51" s="701"/>
      <c r="B51" s="702" t="s">
        <v>505</v>
      </c>
      <c r="C51" s="465"/>
      <c r="D51" s="74"/>
      <c r="E51" s="577"/>
      <c r="F51" s="577"/>
      <c r="G51" s="577"/>
      <c r="H51" s="577"/>
      <c r="I51" s="551"/>
      <c r="J51" s="551"/>
      <c r="K51" s="551"/>
      <c r="L51" s="551"/>
      <c r="M51" s="551"/>
      <c r="N51" s="551"/>
      <c r="O51" s="565"/>
      <c r="P51" s="551"/>
      <c r="Q51" s="576"/>
      <c r="R51" s="576"/>
      <c r="S51" s="576"/>
      <c r="T51" s="576"/>
      <c r="U51" s="576"/>
      <c r="V51" s="18"/>
      <c r="W51" s="18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x14ac:dyDescent="0.25">
      <c r="A52" s="668"/>
      <c r="B52" s="733" t="s">
        <v>649</v>
      </c>
      <c r="E52" s="581"/>
      <c r="F52" s="581"/>
      <c r="G52" s="581"/>
      <c r="H52" s="581"/>
      <c r="I52" s="551"/>
      <c r="J52" s="551"/>
      <c r="K52" s="551"/>
      <c r="L52" s="551"/>
      <c r="M52" s="551"/>
      <c r="N52" s="551"/>
      <c r="O52" s="565"/>
      <c r="P52" s="551"/>
      <c r="Q52" s="576"/>
      <c r="R52" s="576"/>
      <c r="S52" s="576"/>
      <c r="T52" s="576"/>
      <c r="U52" s="576"/>
    </row>
    <row r="53" spans="1:66" ht="19.7" thickBot="1" x14ac:dyDescent="0.4">
      <c r="A53" s="668"/>
      <c r="B53" s="733" t="s">
        <v>650</v>
      </c>
      <c r="C53" s="12"/>
      <c r="E53" s="575"/>
      <c r="F53" s="575"/>
      <c r="G53" s="575"/>
      <c r="H53" s="575"/>
      <c r="I53" s="551"/>
      <c r="J53" s="551"/>
      <c r="K53" s="42" t="s">
        <v>113</v>
      </c>
      <c r="L53" s="551"/>
      <c r="M53" s="551"/>
      <c r="N53" s="551"/>
      <c r="O53" s="565"/>
      <c r="P53" s="551"/>
      <c r="Q53" s="576"/>
      <c r="R53" s="576"/>
      <c r="S53" s="576"/>
      <c r="T53" s="576"/>
      <c r="U53" s="576"/>
      <c r="W53" s="23" t="s">
        <v>108</v>
      </c>
      <c r="AT53" s="349" t="s">
        <v>460</v>
      </c>
    </row>
    <row r="54" spans="1:66" ht="29.9" customHeight="1" thickBot="1" x14ac:dyDescent="0.35">
      <c r="A54" s="737" t="s">
        <v>339</v>
      </c>
      <c r="B54" s="738" t="str">
        <f>B15</f>
        <v>Replace boiler with high efficiency condensing boiler</v>
      </c>
      <c r="C54" s="11" t="s">
        <v>51</v>
      </c>
      <c r="D54" s="110"/>
      <c r="E54" s="808" t="s">
        <v>458</v>
      </c>
      <c r="F54" s="809"/>
      <c r="G54" s="809"/>
      <c r="H54" s="809"/>
      <c r="I54" s="810"/>
      <c r="J54" s="551"/>
      <c r="K54" s="24"/>
      <c r="L54" s="52" t="str">
        <f>A54</f>
        <v>ECM 13A</v>
      </c>
      <c r="M54" s="25" t="s">
        <v>246</v>
      </c>
      <c r="N54" s="25" t="s">
        <v>247</v>
      </c>
      <c r="O54" s="375" t="s">
        <v>248</v>
      </c>
      <c r="P54" s="551"/>
      <c r="Q54" s="814" t="s">
        <v>74</v>
      </c>
      <c r="R54" s="815"/>
      <c r="S54" s="815"/>
      <c r="T54" s="815"/>
      <c r="U54" s="816"/>
      <c r="W54" s="28" t="s">
        <v>29</v>
      </c>
      <c r="X54" s="264">
        <v>0</v>
      </c>
      <c r="Y54" s="29">
        <v>1</v>
      </c>
      <c r="Z54" s="29">
        <v>2</v>
      </c>
      <c r="AA54" s="29">
        <v>3</v>
      </c>
      <c r="AB54" s="29">
        <v>4</v>
      </c>
      <c r="AC54" s="29">
        <v>5</v>
      </c>
      <c r="AD54" s="29">
        <v>6</v>
      </c>
      <c r="AE54" s="29">
        <v>7</v>
      </c>
      <c r="AF54" s="29">
        <v>8</v>
      </c>
      <c r="AG54" s="29">
        <v>9</v>
      </c>
      <c r="AH54" s="29">
        <v>10</v>
      </c>
      <c r="AI54" s="29">
        <v>11</v>
      </c>
      <c r="AJ54" s="29">
        <v>12</v>
      </c>
      <c r="AK54" s="29">
        <v>13</v>
      </c>
      <c r="AL54" s="29">
        <v>14</v>
      </c>
      <c r="AM54" s="29">
        <v>15</v>
      </c>
      <c r="AN54" s="29">
        <v>16</v>
      </c>
      <c r="AO54" s="29">
        <v>17</v>
      </c>
      <c r="AP54" s="29">
        <v>18</v>
      </c>
      <c r="AQ54" s="29">
        <v>19</v>
      </c>
      <c r="AR54" s="29">
        <v>20</v>
      </c>
      <c r="AT54" s="264">
        <v>0</v>
      </c>
      <c r="AU54" s="29">
        <v>1</v>
      </c>
      <c r="AV54" s="29">
        <v>2</v>
      </c>
      <c r="AW54" s="29">
        <v>3</v>
      </c>
      <c r="AX54" s="29">
        <v>4</v>
      </c>
      <c r="AY54" s="29">
        <v>5</v>
      </c>
      <c r="AZ54" s="29">
        <v>6</v>
      </c>
      <c r="BA54" s="29">
        <v>7</v>
      </c>
      <c r="BB54" s="29">
        <v>8</v>
      </c>
      <c r="BC54" s="29">
        <v>9</v>
      </c>
      <c r="BD54" s="29">
        <v>10</v>
      </c>
      <c r="BE54" s="29">
        <v>11</v>
      </c>
      <c r="BF54" s="29">
        <v>12</v>
      </c>
      <c r="BG54" s="29">
        <v>13</v>
      </c>
      <c r="BH54" s="29">
        <v>14</v>
      </c>
      <c r="BI54" s="29">
        <v>15</v>
      </c>
      <c r="BJ54" s="29">
        <v>16</v>
      </c>
      <c r="BK54" s="29">
        <v>17</v>
      </c>
      <c r="BL54" s="29">
        <v>18</v>
      </c>
      <c r="BM54" s="29">
        <v>19</v>
      </c>
      <c r="BN54" s="29">
        <v>20</v>
      </c>
    </row>
    <row r="55" spans="1:66" ht="16.3" x14ac:dyDescent="0.3">
      <c r="A55" s="739"/>
      <c r="B55" s="740" t="s">
        <v>335</v>
      </c>
      <c r="C55" s="419"/>
      <c r="E55" s="552"/>
      <c r="F55" s="84" t="s">
        <v>4</v>
      </c>
      <c r="G55" s="514">
        <f>'Total-Summary'!C20</f>
        <v>0</v>
      </c>
      <c r="H55" s="553" t="s">
        <v>378</v>
      </c>
      <c r="I55" s="554"/>
      <c r="J55" s="551"/>
      <c r="K55" s="31" t="s">
        <v>7</v>
      </c>
      <c r="L55" s="31" t="s">
        <v>333</v>
      </c>
      <c r="M55" s="555">
        <v>0</v>
      </c>
      <c r="N55" s="556">
        <v>0</v>
      </c>
      <c r="O55" s="555">
        <f>IF($C$59="PGE",IF((C57*0.13*1100*0.5/100+C58*0.16*1100*0.5/100)&gt;0.16*(Benchmarking!$B$20+Benchmarking!$B$23*0.925+Benchmarking!$B$26*1.385),0.16*(Benchmarking!$B$20+Benchmarking!$B$23*0.925+Benchmarking!$B$26*1.385),C57*0.13*1100*0.5/100+C58*0.16*1100*0.5/100),IF($C$59="SDGE",IF((C57*0.13*1000*0.3/100+$C58*0.16*1000*0.3/100)&gt;(Benchmarking!$B$20+Benchmarking!$B$23*0.925+Benchmarking!$B$26*1.385)*0.16,(Benchmarking!$B$20+Benchmarking!$B23*0.925+Benchmarking!$B$26*1.385)*0.16,$C57*0.13*1000*0.3/100+C58*0.16*1000*0.3/100),IF(C57*0.13*1000*0.4/100+C58*0.16*1000*0.4/100&gt;(Benchmarking!$B$20+Benchmarking!$B$23*0.925+Benchmarking!$B$26*1.385)*0.16,(Benchmarking!$B$20+Benchmarking!$B$23*0.925+Benchmarking!$B$26*1.385)*0.16,HVAC!$C57*0.13*1000*0.4/100+$C58*0.16*1000*0.4/100)))</f>
        <v>0</v>
      </c>
      <c r="P55" s="551"/>
      <c r="Q55" s="582"/>
      <c r="R55" s="513" t="s">
        <v>4</v>
      </c>
      <c r="S55" s="547">
        <f>IF(Benchmarking!$E24&gt;0,O57,0)</f>
        <v>0</v>
      </c>
      <c r="T55" s="534" t="s">
        <v>379</v>
      </c>
      <c r="U55" s="583"/>
      <c r="W55" s="28" t="s">
        <v>29</v>
      </c>
      <c r="X55" s="264">
        <v>2013</v>
      </c>
      <c r="Y55" s="264">
        <f>X55+1</f>
        <v>2014</v>
      </c>
      <c r="Z55" s="264">
        <f t="shared" ref="Z55:AR55" si="103">Y55+1</f>
        <v>2015</v>
      </c>
      <c r="AA55" s="264">
        <f t="shared" si="103"/>
        <v>2016</v>
      </c>
      <c r="AB55" s="264">
        <f t="shared" si="103"/>
        <v>2017</v>
      </c>
      <c r="AC55" s="264">
        <f t="shared" si="103"/>
        <v>2018</v>
      </c>
      <c r="AD55" s="264">
        <f t="shared" si="103"/>
        <v>2019</v>
      </c>
      <c r="AE55" s="264">
        <f t="shared" si="103"/>
        <v>2020</v>
      </c>
      <c r="AF55" s="264">
        <f t="shared" si="103"/>
        <v>2021</v>
      </c>
      <c r="AG55" s="264">
        <f t="shared" si="103"/>
        <v>2022</v>
      </c>
      <c r="AH55" s="264">
        <f t="shared" si="103"/>
        <v>2023</v>
      </c>
      <c r="AI55" s="264">
        <f t="shared" si="103"/>
        <v>2024</v>
      </c>
      <c r="AJ55" s="264">
        <f t="shared" si="103"/>
        <v>2025</v>
      </c>
      <c r="AK55" s="264">
        <f t="shared" si="103"/>
        <v>2026</v>
      </c>
      <c r="AL55" s="264">
        <f t="shared" si="103"/>
        <v>2027</v>
      </c>
      <c r="AM55" s="264">
        <f t="shared" si="103"/>
        <v>2028</v>
      </c>
      <c r="AN55" s="264">
        <f t="shared" si="103"/>
        <v>2029</v>
      </c>
      <c r="AO55" s="264">
        <f t="shared" si="103"/>
        <v>2030</v>
      </c>
      <c r="AP55" s="264">
        <f t="shared" si="103"/>
        <v>2031</v>
      </c>
      <c r="AQ55" s="264">
        <f t="shared" si="103"/>
        <v>2032</v>
      </c>
      <c r="AR55" s="264">
        <f t="shared" si="103"/>
        <v>2033</v>
      </c>
      <c r="AT55" s="264">
        <v>2013</v>
      </c>
      <c r="AU55" s="264">
        <f>AT55+1</f>
        <v>2014</v>
      </c>
      <c r="AV55" s="264">
        <f t="shared" ref="AV55" si="104">AU55+1</f>
        <v>2015</v>
      </c>
      <c r="AW55" s="264">
        <f t="shared" ref="AW55" si="105">AV55+1</f>
        <v>2016</v>
      </c>
      <c r="AX55" s="264">
        <f t="shared" ref="AX55" si="106">AW55+1</f>
        <v>2017</v>
      </c>
      <c r="AY55" s="264">
        <f t="shared" ref="AY55" si="107">AX55+1</f>
        <v>2018</v>
      </c>
      <c r="AZ55" s="264">
        <f t="shared" ref="AZ55" si="108">AY55+1</f>
        <v>2019</v>
      </c>
      <c r="BA55" s="264">
        <f t="shared" ref="BA55" si="109">AZ55+1</f>
        <v>2020</v>
      </c>
      <c r="BB55" s="264">
        <f t="shared" ref="BB55" si="110">BA55+1</f>
        <v>2021</v>
      </c>
      <c r="BC55" s="264">
        <f t="shared" ref="BC55" si="111">BB55+1</f>
        <v>2022</v>
      </c>
      <c r="BD55" s="264">
        <f t="shared" ref="BD55" si="112">BC55+1</f>
        <v>2023</v>
      </c>
      <c r="BE55" s="264">
        <f t="shared" ref="BE55" si="113">BD55+1</f>
        <v>2024</v>
      </c>
      <c r="BF55" s="264">
        <f t="shared" ref="BF55" si="114">BE55+1</f>
        <v>2025</v>
      </c>
      <c r="BG55" s="264">
        <f t="shared" ref="BG55" si="115">BF55+1</f>
        <v>2026</v>
      </c>
      <c r="BH55" s="264">
        <f t="shared" ref="BH55" si="116">BG55+1</f>
        <v>2027</v>
      </c>
      <c r="BI55" s="264">
        <f t="shared" ref="BI55" si="117">BH55+1</f>
        <v>2028</v>
      </c>
      <c r="BJ55" s="264">
        <f t="shared" ref="BJ55" si="118">BI55+1</f>
        <v>2029</v>
      </c>
      <c r="BK55" s="264">
        <f t="shared" ref="BK55" si="119">BJ55+1</f>
        <v>2030</v>
      </c>
      <c r="BL55" s="264">
        <f t="shared" ref="BL55" si="120">BK55+1</f>
        <v>2031</v>
      </c>
      <c r="BM55" s="264">
        <f t="shared" ref="BM55" si="121">BL55+1</f>
        <v>2032</v>
      </c>
      <c r="BN55" s="264">
        <f t="shared" ref="BN55" si="122">BM55+1</f>
        <v>2033</v>
      </c>
    </row>
    <row r="56" spans="1:66" ht="22.6" customHeight="1" x14ac:dyDescent="0.3">
      <c r="A56" s="700"/>
      <c r="B56" s="741" t="s">
        <v>336</v>
      </c>
      <c r="C56" s="416"/>
      <c r="D56" s="106"/>
      <c r="E56" s="161"/>
      <c r="F56" s="41" t="s">
        <v>5</v>
      </c>
      <c r="G56" s="514">
        <f>'Total-Summary'!D20</f>
        <v>0</v>
      </c>
      <c r="H56" s="164" t="s">
        <v>12</v>
      </c>
      <c r="I56" s="165"/>
      <c r="J56" s="42"/>
      <c r="K56" s="31" t="s">
        <v>8</v>
      </c>
      <c r="L56" s="59" t="s">
        <v>334</v>
      </c>
      <c r="M56" s="555">
        <v>0</v>
      </c>
      <c r="N56" s="559">
        <v>0</v>
      </c>
      <c r="O56" s="555">
        <v>0</v>
      </c>
      <c r="P56" s="551"/>
      <c r="Q56" s="584"/>
      <c r="R56" s="547"/>
      <c r="S56" s="547">
        <f>IF(Benchmarking!E$24&gt;0,0,IF(Benchmarking!E$25&gt;0,O55/0.925,O55/1.385))</f>
        <v>0</v>
      </c>
      <c r="T56" s="534" t="s">
        <v>48</v>
      </c>
      <c r="U56" s="568" t="str">
        <f>IF(Benchmarking!$E$25=0,"Fuel Oil","Propane")</f>
        <v>Fuel Oil</v>
      </c>
      <c r="W56" s="70" t="s">
        <v>30</v>
      </c>
      <c r="X56" s="60">
        <v>0</v>
      </c>
      <c r="Y56" s="60">
        <f>S57</f>
        <v>0</v>
      </c>
      <c r="Z56" s="60">
        <f t="shared" ref="Z56:AR56" si="123">Y56*(1+$M15)</f>
        <v>0</v>
      </c>
      <c r="AA56" s="60">
        <f t="shared" si="123"/>
        <v>0</v>
      </c>
      <c r="AB56" s="60">
        <f t="shared" si="123"/>
        <v>0</v>
      </c>
      <c r="AC56" s="60">
        <f t="shared" si="123"/>
        <v>0</v>
      </c>
      <c r="AD56" s="60">
        <f t="shared" si="123"/>
        <v>0</v>
      </c>
      <c r="AE56" s="60">
        <f t="shared" si="123"/>
        <v>0</v>
      </c>
      <c r="AF56" s="60">
        <f t="shared" si="123"/>
        <v>0</v>
      </c>
      <c r="AG56" s="60">
        <f t="shared" si="123"/>
        <v>0</v>
      </c>
      <c r="AH56" s="60">
        <f t="shared" si="123"/>
        <v>0</v>
      </c>
      <c r="AI56" s="60">
        <f t="shared" si="123"/>
        <v>0</v>
      </c>
      <c r="AJ56" s="60">
        <f t="shared" si="123"/>
        <v>0</v>
      </c>
      <c r="AK56" s="60">
        <f t="shared" si="123"/>
        <v>0</v>
      </c>
      <c r="AL56" s="60">
        <f t="shared" si="123"/>
        <v>0</v>
      </c>
      <c r="AM56" s="60">
        <f t="shared" si="123"/>
        <v>0</v>
      </c>
      <c r="AN56" s="60">
        <f t="shared" si="123"/>
        <v>0</v>
      </c>
      <c r="AO56" s="60">
        <f t="shared" si="123"/>
        <v>0</v>
      </c>
      <c r="AP56" s="60">
        <f t="shared" si="123"/>
        <v>0</v>
      </c>
      <c r="AQ56" s="60">
        <f t="shared" si="123"/>
        <v>0</v>
      </c>
      <c r="AR56" s="60">
        <f t="shared" si="123"/>
        <v>0</v>
      </c>
      <c r="AT56" s="60">
        <v>0</v>
      </c>
      <c r="AU56" s="60">
        <f>'Total-Summary'!H20</f>
        <v>0</v>
      </c>
      <c r="AV56" s="60">
        <f t="shared" ref="AV56:BN56" si="124">AU56*(1+$M15)</f>
        <v>0</v>
      </c>
      <c r="AW56" s="60">
        <f t="shared" si="124"/>
        <v>0</v>
      </c>
      <c r="AX56" s="60">
        <f t="shared" si="124"/>
        <v>0</v>
      </c>
      <c r="AY56" s="60">
        <f t="shared" si="124"/>
        <v>0</v>
      </c>
      <c r="AZ56" s="60">
        <f t="shared" si="124"/>
        <v>0</v>
      </c>
      <c r="BA56" s="60">
        <f t="shared" si="124"/>
        <v>0</v>
      </c>
      <c r="BB56" s="60">
        <f t="shared" si="124"/>
        <v>0</v>
      </c>
      <c r="BC56" s="60">
        <f t="shared" si="124"/>
        <v>0</v>
      </c>
      <c r="BD56" s="60">
        <f t="shared" si="124"/>
        <v>0</v>
      </c>
      <c r="BE56" s="60">
        <f t="shared" si="124"/>
        <v>0</v>
      </c>
      <c r="BF56" s="60">
        <f t="shared" si="124"/>
        <v>0</v>
      </c>
      <c r="BG56" s="60">
        <f t="shared" si="124"/>
        <v>0</v>
      </c>
      <c r="BH56" s="60">
        <f t="shared" si="124"/>
        <v>0</v>
      </c>
      <c r="BI56" s="60">
        <f t="shared" si="124"/>
        <v>0</v>
      </c>
      <c r="BJ56" s="60">
        <f t="shared" si="124"/>
        <v>0</v>
      </c>
      <c r="BK56" s="60">
        <f t="shared" si="124"/>
        <v>0</v>
      </c>
      <c r="BL56" s="60">
        <f t="shared" si="124"/>
        <v>0</v>
      </c>
      <c r="BM56" s="60">
        <f t="shared" si="124"/>
        <v>0</v>
      </c>
      <c r="BN56" s="60">
        <f t="shared" si="124"/>
        <v>0</v>
      </c>
    </row>
    <row r="57" spans="1:66" ht="17" thickBot="1" x14ac:dyDescent="0.35">
      <c r="A57" s="700"/>
      <c r="B57" s="699" t="s">
        <v>425</v>
      </c>
      <c r="C57" s="420"/>
      <c r="E57" s="161"/>
      <c r="F57" s="162" t="s">
        <v>5</v>
      </c>
      <c r="G57" s="514">
        <f>'Total-Summary'!E20</f>
        <v>0</v>
      </c>
      <c r="H57" s="164" t="s">
        <v>379</v>
      </c>
      <c r="I57" s="165"/>
      <c r="J57" s="551"/>
      <c r="K57" s="35"/>
      <c r="L57" s="35" t="s">
        <v>2</v>
      </c>
      <c r="M57" s="562">
        <f>M55-M56</f>
        <v>0</v>
      </c>
      <c r="N57" s="585">
        <f t="shared" ref="N57" si="125">N55-N56</f>
        <v>0</v>
      </c>
      <c r="O57" s="562">
        <f t="shared" ref="O57" si="126">O55-O56</f>
        <v>0</v>
      </c>
      <c r="P57" s="551"/>
      <c r="Q57" s="586"/>
      <c r="R57" s="533" t="s">
        <v>14</v>
      </c>
      <c r="S57" s="544">
        <f>Benchmarking!E$24*S55+IF(Benchmarking!B$26&gt;0,Benchmarking!E$26*S56,Benchmarking!E$25*S56)</f>
        <v>0</v>
      </c>
      <c r="T57" s="534" t="s">
        <v>15</v>
      </c>
      <c r="U57" s="568"/>
      <c r="W57" s="28" t="s">
        <v>31</v>
      </c>
      <c r="X57" s="264"/>
      <c r="Y57" s="60">
        <f>IF((C55+C56)=0,0,C60*M$17)</f>
        <v>0</v>
      </c>
      <c r="Z57" s="60">
        <f t="shared" ref="Z57:AR57" si="127">Y57*(1+$M$13)</f>
        <v>0</v>
      </c>
      <c r="AA57" s="60">
        <f t="shared" si="127"/>
        <v>0</v>
      </c>
      <c r="AB57" s="60">
        <f t="shared" si="127"/>
        <v>0</v>
      </c>
      <c r="AC57" s="60">
        <f t="shared" si="127"/>
        <v>0</v>
      </c>
      <c r="AD57" s="60">
        <f t="shared" si="127"/>
        <v>0</v>
      </c>
      <c r="AE57" s="60">
        <f t="shared" si="127"/>
        <v>0</v>
      </c>
      <c r="AF57" s="60">
        <f t="shared" si="127"/>
        <v>0</v>
      </c>
      <c r="AG57" s="60">
        <f t="shared" si="127"/>
        <v>0</v>
      </c>
      <c r="AH57" s="60">
        <f t="shared" si="127"/>
        <v>0</v>
      </c>
      <c r="AI57" s="60">
        <f t="shared" si="127"/>
        <v>0</v>
      </c>
      <c r="AJ57" s="60">
        <f t="shared" si="127"/>
        <v>0</v>
      </c>
      <c r="AK57" s="60">
        <f t="shared" si="127"/>
        <v>0</v>
      </c>
      <c r="AL57" s="60">
        <f t="shared" si="127"/>
        <v>0</v>
      </c>
      <c r="AM57" s="60">
        <f t="shared" si="127"/>
        <v>0</v>
      </c>
      <c r="AN57" s="60">
        <f t="shared" si="127"/>
        <v>0</v>
      </c>
      <c r="AO57" s="60">
        <f t="shared" si="127"/>
        <v>0</v>
      </c>
      <c r="AP57" s="60">
        <f t="shared" si="127"/>
        <v>0</v>
      </c>
      <c r="AQ57" s="60">
        <f t="shared" si="127"/>
        <v>0</v>
      </c>
      <c r="AR57" s="60">
        <f t="shared" si="127"/>
        <v>0</v>
      </c>
    </row>
    <row r="58" spans="1:66" ht="16.3" x14ac:dyDescent="0.3">
      <c r="A58" s="700"/>
      <c r="B58" s="699" t="s">
        <v>426</v>
      </c>
      <c r="C58" s="421"/>
      <c r="E58" s="168"/>
      <c r="F58" s="166" t="s">
        <v>14</v>
      </c>
      <c r="G58" s="547">
        <f>IF('Total-Summary'!F20&lt;&gt;0,'Total-Summary'!F20,'Total-Summary'!G20)</f>
        <v>0</v>
      </c>
      <c r="H58" s="164" t="s">
        <v>48</v>
      </c>
      <c r="I58" s="167" t="str">
        <f>IF(Benchmarking!$E$25=0,"Fuel Oil","Propane")</f>
        <v>Fuel Oil</v>
      </c>
      <c r="J58" s="551"/>
      <c r="K58" s="551"/>
      <c r="L58" s="551"/>
      <c r="M58" s="551"/>
      <c r="N58" s="551"/>
      <c r="O58" s="551"/>
      <c r="P58" s="551"/>
      <c r="Q58" s="566"/>
      <c r="R58" s="533" t="s">
        <v>16</v>
      </c>
      <c r="S58" s="534">
        <f>IF(S57=0,0,(C60-C61)/S57)</f>
        <v>0</v>
      </c>
      <c r="T58" s="534" t="s">
        <v>17</v>
      </c>
      <c r="U58" s="568"/>
      <c r="W58" s="28" t="s">
        <v>32</v>
      </c>
      <c r="X58" s="264"/>
      <c r="Y58" s="260">
        <v>0</v>
      </c>
      <c r="Z58" s="260">
        <v>0</v>
      </c>
      <c r="AA58" s="260">
        <v>0</v>
      </c>
      <c r="AB58" s="260">
        <v>0</v>
      </c>
      <c r="AC58" s="260">
        <v>0</v>
      </c>
      <c r="AD58" s="260">
        <v>0</v>
      </c>
      <c r="AE58" s="260">
        <v>0</v>
      </c>
      <c r="AF58" s="260">
        <v>0</v>
      </c>
      <c r="AG58" s="260">
        <v>0</v>
      </c>
      <c r="AH58" s="260">
        <v>0</v>
      </c>
      <c r="AI58" s="260">
        <v>0</v>
      </c>
      <c r="AJ58" s="260">
        <v>0</v>
      </c>
      <c r="AK58" s="260">
        <v>0</v>
      </c>
      <c r="AL58" s="260">
        <v>0</v>
      </c>
      <c r="AM58" s="260">
        <v>0</v>
      </c>
      <c r="AN58" s="260">
        <v>0</v>
      </c>
      <c r="AO58" s="260">
        <v>0</v>
      </c>
      <c r="AP58" s="260">
        <v>0</v>
      </c>
      <c r="AQ58" s="260">
        <v>0</v>
      </c>
      <c r="AR58" s="260">
        <v>0</v>
      </c>
    </row>
    <row r="59" spans="1:66" ht="42.8" customHeight="1" thickBot="1" x14ac:dyDescent="0.35">
      <c r="A59" s="700"/>
      <c r="B59" s="699" t="s">
        <v>428</v>
      </c>
      <c r="C59" s="415"/>
      <c r="D59" s="110" t="s">
        <v>455</v>
      </c>
      <c r="E59" s="168"/>
      <c r="F59" s="89" t="s">
        <v>14</v>
      </c>
      <c r="G59" s="78">
        <f>'Total-Summary'!H20</f>
        <v>0</v>
      </c>
      <c r="H59" s="79" t="s">
        <v>15</v>
      </c>
      <c r="I59" s="165"/>
      <c r="J59" s="551"/>
      <c r="K59" s="551"/>
      <c r="L59" s="551"/>
      <c r="M59" s="551"/>
      <c r="N59" s="551"/>
      <c r="O59" s="551"/>
      <c r="P59" s="551"/>
      <c r="Q59" s="572"/>
      <c r="R59" s="535" t="s">
        <v>257</v>
      </c>
      <c r="S59" s="573">
        <f>IF($C60=0,0,IF($C61&gt;0.95*$C60,$Y60/($C60-($C60*0.95)+1-$C60*$M$16),$Y60/($C60-$C61-$C60*$M$16)))</f>
        <v>0</v>
      </c>
      <c r="T59" s="549"/>
      <c r="U59" s="574"/>
      <c r="W59" s="28" t="s">
        <v>33</v>
      </c>
      <c r="X59" s="283"/>
      <c r="Y59" s="61">
        <f t="shared" ref="Y59:AR59" si="128">Y56+Y57-Y58</f>
        <v>0</v>
      </c>
      <c r="Z59" s="61">
        <f t="shared" si="128"/>
        <v>0</v>
      </c>
      <c r="AA59" s="61">
        <f t="shared" si="128"/>
        <v>0</v>
      </c>
      <c r="AB59" s="61">
        <f t="shared" si="128"/>
        <v>0</v>
      </c>
      <c r="AC59" s="61">
        <f t="shared" si="128"/>
        <v>0</v>
      </c>
      <c r="AD59" s="61">
        <f t="shared" si="128"/>
        <v>0</v>
      </c>
      <c r="AE59" s="61">
        <f t="shared" si="128"/>
        <v>0</v>
      </c>
      <c r="AF59" s="61">
        <f t="shared" si="128"/>
        <v>0</v>
      </c>
      <c r="AG59" s="61">
        <f t="shared" si="128"/>
        <v>0</v>
      </c>
      <c r="AH59" s="61">
        <f t="shared" si="128"/>
        <v>0</v>
      </c>
      <c r="AI59" s="61">
        <f t="shared" si="128"/>
        <v>0</v>
      </c>
      <c r="AJ59" s="61">
        <f t="shared" si="128"/>
        <v>0</v>
      </c>
      <c r="AK59" s="61">
        <f t="shared" si="128"/>
        <v>0</v>
      </c>
      <c r="AL59" s="61">
        <f t="shared" si="128"/>
        <v>0</v>
      </c>
      <c r="AM59" s="61">
        <f t="shared" si="128"/>
        <v>0</v>
      </c>
      <c r="AN59" s="61">
        <f t="shared" si="128"/>
        <v>0</v>
      </c>
      <c r="AO59" s="61">
        <f t="shared" si="128"/>
        <v>0</v>
      </c>
      <c r="AP59" s="61">
        <f t="shared" si="128"/>
        <v>0</v>
      </c>
      <c r="AQ59" s="61">
        <f t="shared" si="128"/>
        <v>0</v>
      </c>
      <c r="AR59" s="61">
        <f t="shared" si="128"/>
        <v>0</v>
      </c>
      <c r="AT59" s="63" t="s">
        <v>461</v>
      </c>
      <c r="AU59" s="730">
        <f>AU56+Y57-Y58</f>
        <v>0</v>
      </c>
      <c r="AV59" s="730">
        <f t="shared" ref="AV59:BN59" si="129">AV56+Z57-Z58</f>
        <v>0</v>
      </c>
      <c r="AW59" s="730">
        <f t="shared" si="129"/>
        <v>0</v>
      </c>
      <c r="AX59" s="730">
        <f t="shared" si="129"/>
        <v>0</v>
      </c>
      <c r="AY59" s="730">
        <f t="shared" si="129"/>
        <v>0</v>
      </c>
      <c r="AZ59" s="730">
        <f t="shared" si="129"/>
        <v>0</v>
      </c>
      <c r="BA59" s="730">
        <f t="shared" si="129"/>
        <v>0</v>
      </c>
      <c r="BB59" s="730">
        <f t="shared" si="129"/>
        <v>0</v>
      </c>
      <c r="BC59" s="730">
        <f t="shared" si="129"/>
        <v>0</v>
      </c>
      <c r="BD59" s="730">
        <f t="shared" si="129"/>
        <v>0</v>
      </c>
      <c r="BE59" s="730">
        <f t="shared" si="129"/>
        <v>0</v>
      </c>
      <c r="BF59" s="730">
        <f t="shared" si="129"/>
        <v>0</v>
      </c>
      <c r="BG59" s="730">
        <f t="shared" si="129"/>
        <v>0</v>
      </c>
      <c r="BH59" s="730">
        <f t="shared" si="129"/>
        <v>0</v>
      </c>
      <c r="BI59" s="730">
        <f t="shared" si="129"/>
        <v>0</v>
      </c>
      <c r="BJ59" s="730">
        <f t="shared" si="129"/>
        <v>0</v>
      </c>
      <c r="BK59" s="730">
        <f t="shared" si="129"/>
        <v>0</v>
      </c>
      <c r="BL59" s="730">
        <f t="shared" si="129"/>
        <v>0</v>
      </c>
      <c r="BM59" s="730">
        <f t="shared" si="129"/>
        <v>0</v>
      </c>
      <c r="BN59" s="730">
        <f t="shared" si="129"/>
        <v>0</v>
      </c>
    </row>
    <row r="60" spans="1:66" ht="19.05" x14ac:dyDescent="0.35">
      <c r="A60" s="700"/>
      <c r="B60" s="699" t="s">
        <v>368</v>
      </c>
      <c r="C60" s="417"/>
      <c r="E60" s="161"/>
      <c r="F60" s="89" t="s">
        <v>16</v>
      </c>
      <c r="G60" s="80">
        <f>IF(C60=0,0,(C60-C61)/G59)</f>
        <v>0</v>
      </c>
      <c r="H60" s="79" t="s">
        <v>17</v>
      </c>
      <c r="I60" s="569"/>
      <c r="J60" s="551"/>
      <c r="K60" s="551"/>
      <c r="L60" s="204"/>
      <c r="M60" s="587"/>
      <c r="N60" s="551"/>
      <c r="O60" s="551"/>
      <c r="P60" s="551"/>
      <c r="Q60" s="576"/>
      <c r="R60" s="576"/>
      <c r="S60" s="576"/>
      <c r="T60" s="576"/>
      <c r="U60" s="576"/>
      <c r="W60" s="46" t="s">
        <v>115</v>
      </c>
      <c r="X60" s="282"/>
      <c r="Y60" s="285">
        <f>NPV($M$14,Y59:AR59)</f>
        <v>0</v>
      </c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</row>
    <row r="61" spans="1:66" ht="19.7" thickBot="1" x14ac:dyDescent="0.4">
      <c r="A61" s="662"/>
      <c r="B61" s="702" t="s">
        <v>236</v>
      </c>
      <c r="C61" s="418"/>
      <c r="E61" s="169"/>
      <c r="F61" s="571" t="s">
        <v>257</v>
      </c>
      <c r="G61" s="170">
        <f>IF($C60=0,0,IF($C61&gt;0.95*$C60,$Y61/($C60-($C60*0.95)+1-$C60*$M$16),$Y61/($C60-$C61-$C60*$M$16)))</f>
        <v>0</v>
      </c>
      <c r="H61" s="171"/>
      <c r="I61" s="172"/>
      <c r="J61" s="551"/>
      <c r="K61" s="551"/>
      <c r="L61" s="204"/>
      <c r="M61" s="587"/>
      <c r="N61" s="551"/>
      <c r="O61" s="551"/>
      <c r="P61" s="551"/>
      <c r="Q61" s="576"/>
      <c r="R61" s="576"/>
      <c r="S61" s="576"/>
      <c r="T61" s="576"/>
      <c r="U61" s="576"/>
      <c r="W61" s="310" t="s">
        <v>454</v>
      </c>
      <c r="X61" s="310"/>
      <c r="Y61" s="312">
        <f>NPV(M14,AU59:BN59)</f>
        <v>0</v>
      </c>
    </row>
    <row r="62" spans="1:66" s="128" customFormat="1" ht="19.05" x14ac:dyDescent="0.35">
      <c r="A62" s="678"/>
      <c r="B62" s="699"/>
      <c r="C62" s="198"/>
      <c r="D62" s="74"/>
      <c r="E62" s="575"/>
      <c r="F62" s="575"/>
      <c r="G62" s="575"/>
      <c r="H62" s="575"/>
      <c r="I62" s="551"/>
      <c r="J62" s="551"/>
      <c r="K62" s="551"/>
      <c r="L62" s="204"/>
      <c r="M62" s="587"/>
      <c r="N62" s="551"/>
      <c r="O62" s="551"/>
      <c r="P62" s="551"/>
      <c r="Q62" s="576"/>
      <c r="R62" s="576"/>
      <c r="S62" s="576"/>
      <c r="T62" s="576"/>
      <c r="U62" s="576"/>
      <c r="V62" s="18"/>
      <c r="W62" s="18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ht="19.7" thickBot="1" x14ac:dyDescent="0.4">
      <c r="A63" s="742"/>
      <c r="B63" s="659"/>
      <c r="C63" s="68"/>
      <c r="E63" s="575"/>
      <c r="F63" s="575"/>
      <c r="G63" s="575"/>
      <c r="H63" s="575"/>
      <c r="I63" s="551"/>
      <c r="J63" s="551"/>
      <c r="K63" s="42" t="s">
        <v>113</v>
      </c>
      <c r="L63" s="204"/>
      <c r="M63" s="587"/>
      <c r="N63" s="551"/>
      <c r="O63" s="551"/>
      <c r="P63" s="551"/>
      <c r="Q63" s="576"/>
      <c r="R63" s="576"/>
      <c r="S63" s="576"/>
      <c r="T63" s="576"/>
      <c r="U63" s="576"/>
      <c r="W63" s="23" t="s">
        <v>107</v>
      </c>
      <c r="AO63" s="349" t="s">
        <v>460</v>
      </c>
      <c r="AS63" s="33"/>
    </row>
    <row r="64" spans="1:66" s="128" customFormat="1" ht="30.75" customHeight="1" thickBot="1" x14ac:dyDescent="0.35">
      <c r="A64" s="737" t="s">
        <v>340</v>
      </c>
      <c r="B64" s="738" t="str">
        <f>B16</f>
        <v>Replace furnace with high efficiency condensing furnace</v>
      </c>
      <c r="C64" s="11" t="s">
        <v>51</v>
      </c>
      <c r="D64" s="110"/>
      <c r="E64" s="808" t="s">
        <v>458</v>
      </c>
      <c r="F64" s="809"/>
      <c r="G64" s="809"/>
      <c r="H64" s="809"/>
      <c r="I64" s="810"/>
      <c r="J64" s="551"/>
      <c r="K64" s="24"/>
      <c r="L64" s="52" t="str">
        <f>A64</f>
        <v>ECM 13B</v>
      </c>
      <c r="M64" s="25" t="s">
        <v>246</v>
      </c>
      <c r="N64" s="25" t="s">
        <v>247</v>
      </c>
      <c r="O64" s="25" t="s">
        <v>248</v>
      </c>
      <c r="P64" s="551"/>
      <c r="Q64" s="814" t="s">
        <v>74</v>
      </c>
      <c r="R64" s="815"/>
      <c r="S64" s="815"/>
      <c r="T64" s="815"/>
      <c r="U64" s="816"/>
      <c r="V64" s="18"/>
      <c r="W64" s="232" t="s">
        <v>29</v>
      </c>
      <c r="X64" s="268">
        <v>0</v>
      </c>
      <c r="Y64" s="233">
        <v>1</v>
      </c>
      <c r="Z64" s="233">
        <v>2</v>
      </c>
      <c r="AA64" s="233">
        <v>3</v>
      </c>
      <c r="AB64" s="233">
        <v>4</v>
      </c>
      <c r="AC64" s="233">
        <v>5</v>
      </c>
      <c r="AD64" s="233">
        <v>6</v>
      </c>
      <c r="AE64" s="233">
        <v>7</v>
      </c>
      <c r="AF64" s="233">
        <v>8</v>
      </c>
      <c r="AG64" s="233">
        <v>9</v>
      </c>
      <c r="AH64" s="233">
        <v>10</v>
      </c>
      <c r="AI64" s="233">
        <v>11</v>
      </c>
      <c r="AJ64" s="233">
        <v>12</v>
      </c>
      <c r="AK64" s="233">
        <v>13</v>
      </c>
      <c r="AL64" s="233">
        <v>14</v>
      </c>
      <c r="AM64" s="234">
        <v>15</v>
      </c>
      <c r="AN64" s="63"/>
      <c r="AO64" s="268">
        <v>0</v>
      </c>
      <c r="AP64" s="233">
        <v>1</v>
      </c>
      <c r="AQ64" s="233">
        <v>2</v>
      </c>
      <c r="AR64" s="233">
        <v>3</v>
      </c>
      <c r="AS64" s="233">
        <v>4</v>
      </c>
      <c r="AT64" s="233">
        <v>5</v>
      </c>
      <c r="AU64" s="233">
        <v>6</v>
      </c>
      <c r="AV64" s="233">
        <v>7</v>
      </c>
      <c r="AW64" s="233">
        <v>8</v>
      </c>
      <c r="AX64" s="233">
        <v>9</v>
      </c>
      <c r="AY64" s="233">
        <v>10</v>
      </c>
      <c r="AZ64" s="233">
        <v>11</v>
      </c>
      <c r="BA64" s="233">
        <v>12</v>
      </c>
      <c r="BB64" s="233">
        <v>13</v>
      </c>
      <c r="BC64" s="233">
        <v>14</v>
      </c>
      <c r="BD64" s="234">
        <v>15</v>
      </c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1:66" s="128" customFormat="1" ht="16.3" x14ac:dyDescent="0.3">
      <c r="A65" s="739"/>
      <c r="B65" s="740" t="s">
        <v>337</v>
      </c>
      <c r="C65" s="429"/>
      <c r="D65" s="74"/>
      <c r="E65" s="552"/>
      <c r="F65" s="84" t="s">
        <v>4</v>
      </c>
      <c r="G65" s="514">
        <f>'Total-Summary'!C21</f>
        <v>0</v>
      </c>
      <c r="H65" s="553" t="s">
        <v>378</v>
      </c>
      <c r="I65" s="554"/>
      <c r="J65" s="551"/>
      <c r="K65" s="31" t="s">
        <v>7</v>
      </c>
      <c r="L65" s="31" t="s">
        <v>333</v>
      </c>
      <c r="M65" s="555">
        <v>0</v>
      </c>
      <c r="N65" s="555">
        <v>0</v>
      </c>
      <c r="O65" s="555">
        <f>IF(C69="PGE",IF((C67*0.13*1100*0.5/100+C68*0.16*1100*0.5/100)&gt;0.16*(Benchmarking!B20+Benchmarking!B23*0.925+Benchmarking!B26*1.385),0.16*(Benchmarking!B20+Benchmarking!B23*0.925+Benchmarking!B26*1.385),C67*0.13*1100*0.5/100+C68*0.16*1100*0.5/100),IF($C$69="SDGE",IF((C67*0.13*1000*0.3/100+C68*0.16*1000*0.3/100)&gt;(Benchmarking!B20+Benchmarking!B23*0.925+Benchmarking!B26*1.385)*0.16,(Benchmarking!B20+Benchmarking!B23*0.925+Benchmarking!B26*1.385)*0.16,C67*0.13*1000*0.3/100+C68*0.16*1000*0.3/100),IF(C67*0.13*1000*0.4/100+C68*0.16*1000*0.4/100&gt;(Benchmarking!B20+Benchmarking!B23*0.925+Benchmarking!B26*1.385)*0.16,(Benchmarking!B20+Benchmarking!B23*0.925+Benchmarking!B26*1.385)*0.16,HVAC!C67*0.13*1000*0.4/100+C68*0.16*1000*0.4/100)))</f>
        <v>0</v>
      </c>
      <c r="P65" s="551"/>
      <c r="Q65" s="582"/>
      <c r="R65" s="513" t="s">
        <v>4</v>
      </c>
      <c r="S65" s="547">
        <f>IF(Benchmarking!$E24&gt;0,O67,0)</f>
        <v>0</v>
      </c>
      <c r="T65" s="534" t="s">
        <v>379</v>
      </c>
      <c r="U65" s="583"/>
      <c r="V65" s="18"/>
      <c r="W65" s="235" t="s">
        <v>29</v>
      </c>
      <c r="X65" s="264">
        <v>2013</v>
      </c>
      <c r="Y65" s="264">
        <f>X65+1</f>
        <v>2014</v>
      </c>
      <c r="Z65" s="264">
        <f t="shared" ref="Z65" si="130">Y65+1</f>
        <v>2015</v>
      </c>
      <c r="AA65" s="264">
        <f t="shared" ref="AA65" si="131">Z65+1</f>
        <v>2016</v>
      </c>
      <c r="AB65" s="264">
        <f t="shared" ref="AB65" si="132">AA65+1</f>
        <v>2017</v>
      </c>
      <c r="AC65" s="264">
        <f t="shared" ref="AC65" si="133">AB65+1</f>
        <v>2018</v>
      </c>
      <c r="AD65" s="264">
        <f t="shared" ref="AD65" si="134">AC65+1</f>
        <v>2019</v>
      </c>
      <c r="AE65" s="264">
        <f t="shared" ref="AE65" si="135">AD65+1</f>
        <v>2020</v>
      </c>
      <c r="AF65" s="264">
        <f t="shared" ref="AF65" si="136">AE65+1</f>
        <v>2021</v>
      </c>
      <c r="AG65" s="264">
        <f t="shared" ref="AG65" si="137">AF65+1</f>
        <v>2022</v>
      </c>
      <c r="AH65" s="264">
        <f t="shared" ref="AH65" si="138">AG65+1</f>
        <v>2023</v>
      </c>
      <c r="AI65" s="264">
        <f t="shared" ref="AI65" si="139">AH65+1</f>
        <v>2024</v>
      </c>
      <c r="AJ65" s="264">
        <f t="shared" ref="AJ65" si="140">AI65+1</f>
        <v>2025</v>
      </c>
      <c r="AK65" s="264">
        <f t="shared" ref="AK65" si="141">AJ65+1</f>
        <v>2026</v>
      </c>
      <c r="AL65" s="264">
        <f t="shared" ref="AL65" si="142">AK65+1</f>
        <v>2027</v>
      </c>
      <c r="AM65" s="269">
        <f t="shared" ref="AM65" si="143">AL65+1</f>
        <v>2028</v>
      </c>
      <c r="AN65" s="63"/>
      <c r="AO65" s="264">
        <v>2013</v>
      </c>
      <c r="AP65" s="264">
        <f>AO65+1</f>
        <v>2014</v>
      </c>
      <c r="AQ65" s="264">
        <f t="shared" ref="AQ65" si="144">AP65+1</f>
        <v>2015</v>
      </c>
      <c r="AR65" s="264">
        <f t="shared" ref="AR65" si="145">AQ65+1</f>
        <v>2016</v>
      </c>
      <c r="AS65" s="264">
        <f t="shared" ref="AS65" si="146">AR65+1</f>
        <v>2017</v>
      </c>
      <c r="AT65" s="264">
        <f t="shared" ref="AT65" si="147">AS65+1</f>
        <v>2018</v>
      </c>
      <c r="AU65" s="264">
        <f t="shared" ref="AU65" si="148">AT65+1</f>
        <v>2019</v>
      </c>
      <c r="AV65" s="264">
        <f t="shared" ref="AV65" si="149">AU65+1</f>
        <v>2020</v>
      </c>
      <c r="AW65" s="264">
        <f t="shared" ref="AW65" si="150">AV65+1</f>
        <v>2021</v>
      </c>
      <c r="AX65" s="264">
        <f t="shared" ref="AX65" si="151">AW65+1</f>
        <v>2022</v>
      </c>
      <c r="AY65" s="264">
        <f t="shared" ref="AY65" si="152">AX65+1</f>
        <v>2023</v>
      </c>
      <c r="AZ65" s="264">
        <f t="shared" ref="AZ65" si="153">AY65+1</f>
        <v>2024</v>
      </c>
      <c r="BA65" s="264">
        <f t="shared" ref="BA65" si="154">AZ65+1</f>
        <v>2025</v>
      </c>
      <c r="BB65" s="264">
        <f t="shared" ref="BB65" si="155">BA65+1</f>
        <v>2026</v>
      </c>
      <c r="BC65" s="264">
        <f t="shared" ref="BC65" si="156">BB65+1</f>
        <v>2027</v>
      </c>
      <c r="BD65" s="269">
        <f t="shared" ref="BD65" si="157">BC65+1</f>
        <v>2028</v>
      </c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s="128" customFormat="1" ht="16.3" x14ac:dyDescent="0.3">
      <c r="A66" s="700"/>
      <c r="B66" s="741" t="s">
        <v>338</v>
      </c>
      <c r="C66" s="426"/>
      <c r="D66" s="106"/>
      <c r="E66" s="161"/>
      <c r="F66" s="41" t="s">
        <v>5</v>
      </c>
      <c r="G66" s="514">
        <f>'Total-Summary'!D21</f>
        <v>0</v>
      </c>
      <c r="H66" s="164" t="s">
        <v>12</v>
      </c>
      <c r="I66" s="165"/>
      <c r="J66" s="42"/>
      <c r="K66" s="31" t="s">
        <v>8</v>
      </c>
      <c r="L66" s="59" t="s">
        <v>334</v>
      </c>
      <c r="M66" s="555">
        <v>0</v>
      </c>
      <c r="N66" s="555">
        <v>0</v>
      </c>
      <c r="O66" s="555">
        <v>0</v>
      </c>
      <c r="P66" s="551"/>
      <c r="Q66" s="584"/>
      <c r="R66" s="547"/>
      <c r="S66" s="547">
        <f>IF(Benchmarking!E$24&gt;0,0,IF(Benchmarking!E$25&gt;0,O67/0.925,O67/1.385))</f>
        <v>0</v>
      </c>
      <c r="T66" s="534" t="s">
        <v>48</v>
      </c>
      <c r="U66" s="568" t="str">
        <f>IF(Benchmarking!$E$25=0,"Fuel Oil","Propane")</f>
        <v>Fuel Oil</v>
      </c>
      <c r="V66" s="18"/>
      <c r="W66" s="236" t="s">
        <v>30</v>
      </c>
      <c r="X66" s="60">
        <v>0</v>
      </c>
      <c r="Y66" s="60">
        <f>S67</f>
        <v>0</v>
      </c>
      <c r="Z66" s="60">
        <f t="shared" ref="Z66:AM66" si="158">Y66*(1+$M15)</f>
        <v>0</v>
      </c>
      <c r="AA66" s="60">
        <f t="shared" si="158"/>
        <v>0</v>
      </c>
      <c r="AB66" s="60">
        <f t="shared" si="158"/>
        <v>0</v>
      </c>
      <c r="AC66" s="60">
        <f t="shared" si="158"/>
        <v>0</v>
      </c>
      <c r="AD66" s="60">
        <f t="shared" si="158"/>
        <v>0</v>
      </c>
      <c r="AE66" s="60">
        <f t="shared" si="158"/>
        <v>0</v>
      </c>
      <c r="AF66" s="60">
        <f t="shared" si="158"/>
        <v>0</v>
      </c>
      <c r="AG66" s="60">
        <f t="shared" si="158"/>
        <v>0</v>
      </c>
      <c r="AH66" s="60">
        <f t="shared" si="158"/>
        <v>0</v>
      </c>
      <c r="AI66" s="60">
        <f t="shared" si="158"/>
        <v>0</v>
      </c>
      <c r="AJ66" s="60">
        <f t="shared" si="158"/>
        <v>0</v>
      </c>
      <c r="AK66" s="60">
        <f t="shared" si="158"/>
        <v>0</v>
      </c>
      <c r="AL66" s="60">
        <f t="shared" si="158"/>
        <v>0</v>
      </c>
      <c r="AM66" s="271">
        <f t="shared" si="158"/>
        <v>0</v>
      </c>
      <c r="AN66" s="63"/>
      <c r="AO66" s="60">
        <v>0</v>
      </c>
      <c r="AP66" s="60">
        <f>'Total-Summary'!H21</f>
        <v>0</v>
      </c>
      <c r="AQ66" s="60">
        <f t="shared" ref="AQ66:BD66" si="159">AP66*(1+$M15)</f>
        <v>0</v>
      </c>
      <c r="AR66" s="60">
        <f t="shared" si="159"/>
        <v>0</v>
      </c>
      <c r="AS66" s="60">
        <f t="shared" si="159"/>
        <v>0</v>
      </c>
      <c r="AT66" s="60">
        <f t="shared" si="159"/>
        <v>0</v>
      </c>
      <c r="AU66" s="60">
        <f t="shared" si="159"/>
        <v>0</v>
      </c>
      <c r="AV66" s="60">
        <f t="shared" si="159"/>
        <v>0</v>
      </c>
      <c r="AW66" s="60">
        <f t="shared" si="159"/>
        <v>0</v>
      </c>
      <c r="AX66" s="60">
        <f t="shared" si="159"/>
        <v>0</v>
      </c>
      <c r="AY66" s="60">
        <f t="shared" si="159"/>
        <v>0</v>
      </c>
      <c r="AZ66" s="60">
        <f t="shared" si="159"/>
        <v>0</v>
      </c>
      <c r="BA66" s="60">
        <f t="shared" si="159"/>
        <v>0</v>
      </c>
      <c r="BB66" s="60">
        <f t="shared" si="159"/>
        <v>0</v>
      </c>
      <c r="BC66" s="60">
        <f t="shared" si="159"/>
        <v>0</v>
      </c>
      <c r="BD66" s="271">
        <f t="shared" si="159"/>
        <v>0</v>
      </c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s="128" customFormat="1" ht="17" thickBot="1" x14ac:dyDescent="0.35">
      <c r="A67" s="700"/>
      <c r="B67" s="699" t="s">
        <v>425</v>
      </c>
      <c r="C67" s="430"/>
      <c r="D67" s="74"/>
      <c r="E67" s="161"/>
      <c r="F67" s="162" t="s">
        <v>5</v>
      </c>
      <c r="G67" s="514">
        <f>'Total-Summary'!E21</f>
        <v>0</v>
      </c>
      <c r="H67" s="164" t="s">
        <v>379</v>
      </c>
      <c r="I67" s="165"/>
      <c r="J67" s="551"/>
      <c r="K67" s="35"/>
      <c r="L67" s="35" t="s">
        <v>2</v>
      </c>
      <c r="M67" s="562">
        <f>M65-M66</f>
        <v>0</v>
      </c>
      <c r="N67" s="562">
        <f t="shared" ref="N67:O67" si="160">N65-N66</f>
        <v>0</v>
      </c>
      <c r="O67" s="562">
        <f t="shared" si="160"/>
        <v>0</v>
      </c>
      <c r="P67" s="551"/>
      <c r="Q67" s="586"/>
      <c r="R67" s="533" t="s">
        <v>14</v>
      </c>
      <c r="S67" s="544">
        <f>Benchmarking!E$24*S65+IF(Benchmarking!B$26&gt;0,Benchmarking!E$26*S66,Benchmarking!E$25*S66)</f>
        <v>0</v>
      </c>
      <c r="T67" s="534" t="s">
        <v>15</v>
      </c>
      <c r="U67" s="568"/>
      <c r="V67" s="18"/>
      <c r="W67" s="235" t="s">
        <v>31</v>
      </c>
      <c r="X67" s="264"/>
      <c r="Y67" s="60">
        <f>IF((C65+C66)=0,0,C70*M$17)</f>
        <v>0</v>
      </c>
      <c r="Z67" s="60">
        <f t="shared" ref="Z67" si="161">Y67*(1+$M$13)</f>
        <v>0</v>
      </c>
      <c r="AA67" s="60">
        <f t="shared" ref="AA67" si="162">Z67*(1+$M$13)</f>
        <v>0</v>
      </c>
      <c r="AB67" s="60">
        <f t="shared" ref="AB67" si="163">AA67*(1+$M$13)</f>
        <v>0</v>
      </c>
      <c r="AC67" s="60">
        <f t="shared" ref="AC67" si="164">AB67*(1+$M$13)</f>
        <v>0</v>
      </c>
      <c r="AD67" s="60">
        <f t="shared" ref="AD67" si="165">AC67*(1+$M$13)</f>
        <v>0</v>
      </c>
      <c r="AE67" s="60">
        <f t="shared" ref="AE67" si="166">AD67*(1+$M$13)</f>
        <v>0</v>
      </c>
      <c r="AF67" s="60">
        <f t="shared" ref="AF67" si="167">AE67*(1+$M$13)</f>
        <v>0</v>
      </c>
      <c r="AG67" s="60">
        <f t="shared" ref="AG67" si="168">AF67*(1+$M$13)</f>
        <v>0</v>
      </c>
      <c r="AH67" s="60">
        <f t="shared" ref="AH67" si="169">AG67*(1+$M$13)</f>
        <v>0</v>
      </c>
      <c r="AI67" s="60">
        <f t="shared" ref="AI67" si="170">AH67*(1+$M$13)</f>
        <v>0</v>
      </c>
      <c r="AJ67" s="60">
        <f t="shared" ref="AJ67" si="171">AI67*(1+$M$13)</f>
        <v>0</v>
      </c>
      <c r="AK67" s="60">
        <f t="shared" ref="AK67" si="172">AJ67*(1+$M$13)</f>
        <v>0</v>
      </c>
      <c r="AL67" s="60">
        <f t="shared" ref="AL67" si="173">AK67*(1+$M$13)</f>
        <v>0</v>
      </c>
      <c r="AM67" s="271">
        <f t="shared" ref="AM67" si="174">AL67*(1+$M$13)</f>
        <v>0</v>
      </c>
      <c r="AN67" s="63"/>
      <c r="AO67" s="63"/>
      <c r="AP67" s="63"/>
      <c r="AQ67" s="63"/>
      <c r="AR67" s="63"/>
      <c r="AS67" s="33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s="128" customFormat="1" ht="16.3" x14ac:dyDescent="0.3">
      <c r="A68" s="700"/>
      <c r="B68" s="699" t="s">
        <v>426</v>
      </c>
      <c r="C68" s="431"/>
      <c r="D68" s="74"/>
      <c r="E68" s="168"/>
      <c r="F68" s="166" t="s">
        <v>14</v>
      </c>
      <c r="G68" s="547">
        <f>IF('Total-Summary'!F21&lt;&gt;0,'Total-Summary'!F21,'Total-Summary'!G21)</f>
        <v>0</v>
      </c>
      <c r="H68" s="164" t="s">
        <v>48</v>
      </c>
      <c r="I68" s="167" t="str">
        <f>IF(Benchmarking!$E$25=0,"Fuel Oil","Propane")</f>
        <v>Fuel Oil</v>
      </c>
      <c r="J68" s="551"/>
      <c r="K68" s="551"/>
      <c r="L68" s="551"/>
      <c r="M68" s="551"/>
      <c r="N68" s="551"/>
      <c r="O68" s="565"/>
      <c r="P68" s="551"/>
      <c r="Q68" s="566"/>
      <c r="R68" s="533" t="s">
        <v>16</v>
      </c>
      <c r="S68" s="534">
        <f>IF(S67=0,0,(C70-C71)/S67)</f>
        <v>0</v>
      </c>
      <c r="T68" s="534" t="s">
        <v>17</v>
      </c>
      <c r="U68" s="568"/>
      <c r="V68" s="18"/>
      <c r="W68" s="235" t="s">
        <v>32</v>
      </c>
      <c r="X68" s="264"/>
      <c r="Y68" s="260">
        <v>0</v>
      </c>
      <c r="Z68" s="260">
        <v>0</v>
      </c>
      <c r="AA68" s="260">
        <v>0</v>
      </c>
      <c r="AB68" s="260">
        <v>0</v>
      </c>
      <c r="AC68" s="260">
        <v>0</v>
      </c>
      <c r="AD68" s="260">
        <v>0</v>
      </c>
      <c r="AE68" s="260">
        <v>0</v>
      </c>
      <c r="AF68" s="260">
        <v>0</v>
      </c>
      <c r="AG68" s="260">
        <v>0</v>
      </c>
      <c r="AH68" s="260">
        <v>0</v>
      </c>
      <c r="AI68" s="260">
        <v>0</v>
      </c>
      <c r="AJ68" s="260">
        <v>0</v>
      </c>
      <c r="AK68" s="260">
        <v>0</v>
      </c>
      <c r="AL68" s="260">
        <v>0</v>
      </c>
      <c r="AM68" s="273">
        <v>0</v>
      </c>
      <c r="AN68" s="63"/>
      <c r="AO68" s="63"/>
      <c r="AP68" s="63"/>
      <c r="AQ68" s="63"/>
      <c r="AR68" s="63"/>
      <c r="AS68" s="33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s="128" customFormat="1" ht="29.9" thickBot="1" x14ac:dyDescent="0.35">
      <c r="A69" s="700"/>
      <c r="B69" s="699" t="s">
        <v>428</v>
      </c>
      <c r="C69" s="425"/>
      <c r="D69" s="110" t="s">
        <v>455</v>
      </c>
      <c r="E69" s="168"/>
      <c r="F69" s="89" t="s">
        <v>14</v>
      </c>
      <c r="G69" s="155">
        <f>'Total-Summary'!H21</f>
        <v>0</v>
      </c>
      <c r="H69" s="79" t="s">
        <v>15</v>
      </c>
      <c r="I69" s="165"/>
      <c r="J69" s="551"/>
      <c r="K69" s="551"/>
      <c r="L69" s="551"/>
      <c r="M69" s="551"/>
      <c r="N69" s="551"/>
      <c r="O69" s="565"/>
      <c r="P69" s="551"/>
      <c r="Q69" s="572"/>
      <c r="R69" s="535" t="s">
        <v>257</v>
      </c>
      <c r="S69" s="573">
        <f>IF($C70=0,0,IF($C71&gt;0.95*$C70,$Y70/($C70-($C70*0.95)+1-$C70*$M$16),$Y70/($C70-$C71-$C70*$M$16)))</f>
        <v>0</v>
      </c>
      <c r="T69" s="549"/>
      <c r="U69" s="574"/>
      <c r="V69" s="18"/>
      <c r="W69" s="235" t="s">
        <v>33</v>
      </c>
      <c r="X69" s="283"/>
      <c r="Y69" s="61">
        <f t="shared" ref="Y69" si="175">Y66+Y67-Y68</f>
        <v>0</v>
      </c>
      <c r="Z69" s="61">
        <f t="shared" ref="Z69" si="176">Z66+Z67-Z68</f>
        <v>0</v>
      </c>
      <c r="AA69" s="61">
        <f t="shared" ref="AA69" si="177">AA66+AA67-AA68</f>
        <v>0</v>
      </c>
      <c r="AB69" s="61">
        <f t="shared" ref="AB69" si="178">AB66+AB67-AB68</f>
        <v>0</v>
      </c>
      <c r="AC69" s="61">
        <f t="shared" ref="AC69" si="179">AC66+AC67-AC68</f>
        <v>0</v>
      </c>
      <c r="AD69" s="61">
        <f t="shared" ref="AD69" si="180">AD66+AD67-AD68</f>
        <v>0</v>
      </c>
      <c r="AE69" s="61">
        <f t="shared" ref="AE69" si="181">AE66+AE67-AE68</f>
        <v>0</v>
      </c>
      <c r="AF69" s="61">
        <f t="shared" ref="AF69" si="182">AF66+AF67-AF68</f>
        <v>0</v>
      </c>
      <c r="AG69" s="61">
        <f t="shared" ref="AG69" si="183">AG66+AG67-AG68</f>
        <v>0</v>
      </c>
      <c r="AH69" s="61">
        <f t="shared" ref="AH69" si="184">AH66+AH67-AH68</f>
        <v>0</v>
      </c>
      <c r="AI69" s="61">
        <f t="shared" ref="AI69" si="185">AI66+AI67-AI68</f>
        <v>0</v>
      </c>
      <c r="AJ69" s="61">
        <f t="shared" ref="AJ69" si="186">AJ66+AJ67-AJ68</f>
        <v>0</v>
      </c>
      <c r="AK69" s="61">
        <f t="shared" ref="AK69" si="187">AK66+AK67-AK68</f>
        <v>0</v>
      </c>
      <c r="AL69" s="61">
        <f t="shared" ref="AL69" si="188">AL66+AL67-AL68</f>
        <v>0</v>
      </c>
      <c r="AM69" s="284">
        <f t="shared" ref="AM69" si="189">AM66+AM67-AM68</f>
        <v>0</v>
      </c>
      <c r="AN69" s="63"/>
      <c r="AO69" s="63" t="s">
        <v>461</v>
      </c>
      <c r="AP69" s="342">
        <f>AP66+Y67-Y68</f>
        <v>0</v>
      </c>
      <c r="AQ69" s="342">
        <f t="shared" ref="AQ69:BD69" si="190">AQ66+Z67-Z68</f>
        <v>0</v>
      </c>
      <c r="AR69" s="342">
        <f t="shared" si="190"/>
        <v>0</v>
      </c>
      <c r="AS69" s="342">
        <f t="shared" si="190"/>
        <v>0</v>
      </c>
      <c r="AT69" s="342">
        <f t="shared" si="190"/>
        <v>0</v>
      </c>
      <c r="AU69" s="342">
        <f t="shared" si="190"/>
        <v>0</v>
      </c>
      <c r="AV69" s="342">
        <f t="shared" si="190"/>
        <v>0</v>
      </c>
      <c r="AW69" s="342">
        <f t="shared" si="190"/>
        <v>0</v>
      </c>
      <c r="AX69" s="342">
        <f t="shared" si="190"/>
        <v>0</v>
      </c>
      <c r="AY69" s="342">
        <f t="shared" si="190"/>
        <v>0</v>
      </c>
      <c r="AZ69" s="342">
        <f t="shared" si="190"/>
        <v>0</v>
      </c>
      <c r="BA69" s="342">
        <f t="shared" si="190"/>
        <v>0</v>
      </c>
      <c r="BB69" s="342">
        <f t="shared" si="190"/>
        <v>0</v>
      </c>
      <c r="BC69" s="342">
        <f t="shared" si="190"/>
        <v>0</v>
      </c>
      <c r="BD69" s="342">
        <f t="shared" si="190"/>
        <v>0</v>
      </c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s="128" customFormat="1" ht="19.7" thickBot="1" x14ac:dyDescent="0.4">
      <c r="A70" s="700"/>
      <c r="B70" s="699" t="s">
        <v>368</v>
      </c>
      <c r="C70" s="427"/>
      <c r="D70" s="74"/>
      <c r="E70" s="161"/>
      <c r="F70" s="89" t="s">
        <v>16</v>
      </c>
      <c r="G70" s="80">
        <f>IF(C70=0,0,(C70-C71)/G69)</f>
        <v>0</v>
      </c>
      <c r="H70" s="79" t="s">
        <v>17</v>
      </c>
      <c r="I70" s="569"/>
      <c r="J70" s="551"/>
      <c r="K70" s="551"/>
      <c r="L70" s="551"/>
      <c r="M70" s="587"/>
      <c r="N70" s="551"/>
      <c r="O70" s="565"/>
      <c r="P70" s="551"/>
      <c r="Q70" s="576"/>
      <c r="R70" s="576"/>
      <c r="S70" s="576"/>
      <c r="T70" s="576"/>
      <c r="U70" s="576"/>
      <c r="V70" s="18"/>
      <c r="W70" s="237" t="s">
        <v>115</v>
      </c>
      <c r="X70" s="279"/>
      <c r="Y70" s="280">
        <f>NPV($M$14,Y69:AM69)</f>
        <v>0</v>
      </c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81"/>
      <c r="AN70" s="63"/>
      <c r="AO70" s="18"/>
      <c r="AP70" s="18"/>
      <c r="AQ70" s="18"/>
      <c r="AR70" s="63"/>
      <c r="AS70" s="33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</row>
    <row r="71" spans="1:66" s="128" customFormat="1" ht="19.7" thickBot="1" x14ac:dyDescent="0.4">
      <c r="A71" s="662"/>
      <c r="B71" s="702" t="s">
        <v>236</v>
      </c>
      <c r="C71" s="428"/>
      <c r="D71" s="74"/>
      <c r="E71" s="169"/>
      <c r="F71" s="571" t="s">
        <v>257</v>
      </c>
      <c r="G71" s="170">
        <f>IF($C70=0,0,IF($C71&gt;0.95*$C70,$Y71/($C70-($C70*0.95)+1-$C70*$M$16),$Y71/($C70-$C71-$C70*$M$16)))</f>
        <v>0</v>
      </c>
      <c r="H71" s="171"/>
      <c r="I71" s="172"/>
      <c r="J71" s="551"/>
      <c r="K71" s="551"/>
      <c r="L71" s="204"/>
      <c r="M71" s="587"/>
      <c r="N71" s="551"/>
      <c r="O71" s="565"/>
      <c r="P71" s="551"/>
      <c r="Q71" s="576"/>
      <c r="R71" s="576"/>
      <c r="S71" s="576"/>
      <c r="T71" s="576"/>
      <c r="U71" s="576"/>
      <c r="V71" s="18"/>
      <c r="W71" s="310" t="s">
        <v>454</v>
      </c>
      <c r="X71" s="310"/>
      <c r="Y71" s="312">
        <f>NPV(M14,AP69:BD69)</f>
        <v>0</v>
      </c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s="128" customFormat="1" ht="18.7" customHeight="1" x14ac:dyDescent="0.25">
      <c r="A72" s="742"/>
      <c r="B72" s="659"/>
      <c r="C72" s="68"/>
      <c r="D72" s="74"/>
      <c r="E72" s="575"/>
      <c r="F72" s="575"/>
      <c r="G72" s="575"/>
      <c r="H72" s="575"/>
      <c r="I72" s="551"/>
      <c r="J72" s="551"/>
      <c r="K72" s="551"/>
      <c r="L72" s="204"/>
      <c r="M72" s="587"/>
      <c r="N72" s="551"/>
      <c r="O72" s="565"/>
      <c r="P72" s="551"/>
      <c r="Q72" s="576"/>
      <c r="R72" s="576"/>
      <c r="S72" s="576"/>
      <c r="T72" s="576"/>
      <c r="U72" s="576"/>
      <c r="V72" s="18"/>
      <c r="W72" s="18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s="128" customFormat="1" x14ac:dyDescent="0.25">
      <c r="A73" s="742"/>
      <c r="B73" s="659"/>
      <c r="C73" s="68"/>
      <c r="D73" s="74"/>
      <c r="E73" s="575"/>
      <c r="F73" s="575"/>
      <c r="G73" s="575"/>
      <c r="H73" s="575"/>
      <c r="I73" s="551"/>
      <c r="J73" s="551"/>
      <c r="K73" s="551"/>
      <c r="L73" s="204"/>
      <c r="M73" s="587"/>
      <c r="N73" s="551"/>
      <c r="O73" s="565"/>
      <c r="P73" s="551"/>
      <c r="Q73" s="576"/>
      <c r="R73" s="576"/>
      <c r="S73" s="576"/>
      <c r="T73" s="576"/>
      <c r="U73" s="576"/>
      <c r="V73" s="18"/>
      <c r="W73" s="18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ht="19.7" thickBot="1" x14ac:dyDescent="0.4">
      <c r="A74" s="668"/>
      <c r="B74" s="710"/>
      <c r="C74" s="12"/>
      <c r="D74" s="18"/>
      <c r="E74" s="575"/>
      <c r="F74" s="575"/>
      <c r="G74" s="575"/>
      <c r="H74" s="575"/>
      <c r="I74" s="551"/>
      <c r="J74" s="551"/>
      <c r="K74" s="42" t="s">
        <v>113</v>
      </c>
      <c r="L74" s="551"/>
      <c r="M74" s="551"/>
      <c r="N74" s="551"/>
      <c r="O74" s="565"/>
      <c r="P74" s="551"/>
      <c r="Q74" s="576"/>
      <c r="R74" s="576"/>
      <c r="S74" s="576"/>
      <c r="T74" s="576"/>
      <c r="U74" s="576"/>
      <c r="W74" s="23" t="s">
        <v>109</v>
      </c>
      <c r="AK74" s="349" t="s">
        <v>460</v>
      </c>
    </row>
    <row r="75" spans="1:66" ht="30.75" customHeight="1" thickBot="1" x14ac:dyDescent="0.35">
      <c r="A75" s="743" t="s">
        <v>295</v>
      </c>
      <c r="B75" s="744" t="str">
        <f>B17</f>
        <v>Seal existing HVAC leaky duct</v>
      </c>
      <c r="C75" s="83" t="s">
        <v>51</v>
      </c>
      <c r="D75" s="18"/>
      <c r="E75" s="805" t="s">
        <v>458</v>
      </c>
      <c r="F75" s="806"/>
      <c r="G75" s="806"/>
      <c r="H75" s="806"/>
      <c r="I75" s="807"/>
      <c r="J75" s="551"/>
      <c r="K75" s="24"/>
      <c r="L75" s="52" t="str">
        <f>A75</f>
        <v>ECM 14</v>
      </c>
      <c r="M75" s="25" t="s">
        <v>246</v>
      </c>
      <c r="N75" s="25" t="s">
        <v>247</v>
      </c>
      <c r="O75" s="375" t="s">
        <v>248</v>
      </c>
      <c r="P75" s="551"/>
      <c r="Q75" s="814" t="s">
        <v>74</v>
      </c>
      <c r="R75" s="815"/>
      <c r="S75" s="815"/>
      <c r="T75" s="815"/>
      <c r="U75" s="816"/>
      <c r="W75" s="28" t="s">
        <v>29</v>
      </c>
      <c r="X75" s="264">
        <v>0</v>
      </c>
      <c r="Y75" s="29">
        <v>1</v>
      </c>
      <c r="Z75" s="29">
        <v>2</v>
      </c>
      <c r="AA75" s="29">
        <v>3</v>
      </c>
      <c r="AB75" s="29">
        <v>4</v>
      </c>
      <c r="AC75" s="29">
        <v>5</v>
      </c>
      <c r="AD75" s="29">
        <v>6</v>
      </c>
      <c r="AE75" s="29">
        <v>7</v>
      </c>
      <c r="AF75" s="29">
        <v>8</v>
      </c>
      <c r="AG75" s="29">
        <v>9</v>
      </c>
      <c r="AH75" s="29">
        <v>10</v>
      </c>
      <c r="AI75" s="29">
        <v>11</v>
      </c>
      <c r="AK75" s="264">
        <v>0</v>
      </c>
      <c r="AL75" s="29">
        <v>1</v>
      </c>
      <c r="AM75" s="29">
        <v>2</v>
      </c>
      <c r="AN75" s="29">
        <v>3</v>
      </c>
      <c r="AO75" s="29">
        <v>4</v>
      </c>
      <c r="AP75" s="29">
        <v>5</v>
      </c>
      <c r="AQ75" s="29">
        <v>6</v>
      </c>
      <c r="AR75" s="29">
        <v>7</v>
      </c>
      <c r="AS75" s="29">
        <v>8</v>
      </c>
      <c r="AT75" s="29">
        <v>9</v>
      </c>
      <c r="AU75" s="29">
        <v>10</v>
      </c>
      <c r="AV75" s="29">
        <v>11</v>
      </c>
    </row>
    <row r="76" spans="1:66" x14ac:dyDescent="0.25">
      <c r="A76" s="657"/>
      <c r="B76" s="658" t="s">
        <v>427</v>
      </c>
      <c r="C76" s="422"/>
      <c r="D76" s="18"/>
      <c r="E76" s="552"/>
      <c r="F76" s="84" t="s">
        <v>4</v>
      </c>
      <c r="G76" s="514">
        <f>'Total-Summary'!C22</f>
        <v>0</v>
      </c>
      <c r="H76" s="553" t="s">
        <v>378</v>
      </c>
      <c r="I76" s="554"/>
      <c r="J76" s="42"/>
      <c r="K76" s="31" t="s">
        <v>7</v>
      </c>
      <c r="L76" s="31" t="s">
        <v>285</v>
      </c>
      <c r="M76" s="559">
        <v>0</v>
      </c>
      <c r="N76" s="559">
        <v>0</v>
      </c>
      <c r="O76" s="555">
        <v>0</v>
      </c>
      <c r="P76" s="551"/>
      <c r="Q76" s="584"/>
      <c r="R76" s="518" t="s">
        <v>314</v>
      </c>
      <c r="S76" s="546">
        <f>N78</f>
        <v>0</v>
      </c>
      <c r="T76" s="536" t="s">
        <v>378</v>
      </c>
      <c r="U76" s="568"/>
      <c r="W76" s="28" t="s">
        <v>29</v>
      </c>
      <c r="X76" s="264">
        <v>2013</v>
      </c>
      <c r="Y76" s="264">
        <f>X76+1</f>
        <v>2014</v>
      </c>
      <c r="Z76" s="264">
        <f t="shared" ref="Z76:AI76" si="191">Y76+1</f>
        <v>2015</v>
      </c>
      <c r="AA76" s="264">
        <f t="shared" si="191"/>
        <v>2016</v>
      </c>
      <c r="AB76" s="264">
        <f t="shared" si="191"/>
        <v>2017</v>
      </c>
      <c r="AC76" s="264">
        <f t="shared" si="191"/>
        <v>2018</v>
      </c>
      <c r="AD76" s="264">
        <f t="shared" si="191"/>
        <v>2019</v>
      </c>
      <c r="AE76" s="264">
        <f t="shared" si="191"/>
        <v>2020</v>
      </c>
      <c r="AF76" s="264">
        <f t="shared" si="191"/>
        <v>2021</v>
      </c>
      <c r="AG76" s="264">
        <f t="shared" si="191"/>
        <v>2022</v>
      </c>
      <c r="AH76" s="264">
        <f t="shared" si="191"/>
        <v>2023</v>
      </c>
      <c r="AI76" s="264">
        <f t="shared" si="191"/>
        <v>2024</v>
      </c>
      <c r="AK76" s="264">
        <v>2013</v>
      </c>
      <c r="AL76" s="264">
        <f>AK76+1</f>
        <v>2014</v>
      </c>
      <c r="AM76" s="264">
        <f t="shared" ref="AM76" si="192">AL76+1</f>
        <v>2015</v>
      </c>
      <c r="AN76" s="264">
        <f t="shared" ref="AN76" si="193">AM76+1</f>
        <v>2016</v>
      </c>
      <c r="AO76" s="264">
        <f t="shared" ref="AO76" si="194">AN76+1</f>
        <v>2017</v>
      </c>
      <c r="AP76" s="264">
        <f t="shared" ref="AP76" si="195">AO76+1</f>
        <v>2018</v>
      </c>
      <c r="AQ76" s="264">
        <f t="shared" ref="AQ76" si="196">AP76+1</f>
        <v>2019</v>
      </c>
      <c r="AR76" s="264">
        <f t="shared" ref="AR76" si="197">AQ76+1</f>
        <v>2020</v>
      </c>
      <c r="AS76" s="264">
        <f t="shared" ref="AS76" si="198">AR76+1</f>
        <v>2021</v>
      </c>
      <c r="AT76" s="264">
        <f t="shared" ref="AT76" si="199">AS76+1</f>
        <v>2022</v>
      </c>
      <c r="AU76" s="264">
        <f t="shared" ref="AU76" si="200">AT76+1</f>
        <v>2023</v>
      </c>
      <c r="AV76" s="264">
        <f t="shared" ref="AV76" si="201">AU76+1</f>
        <v>2024</v>
      </c>
    </row>
    <row r="77" spans="1:66" x14ac:dyDescent="0.25">
      <c r="A77" s="700"/>
      <c r="B77" s="659" t="s">
        <v>235</v>
      </c>
      <c r="C77" s="423"/>
      <c r="D77" s="18"/>
      <c r="E77" s="161"/>
      <c r="F77" s="41" t="s">
        <v>5</v>
      </c>
      <c r="G77" s="514">
        <f>'Total-Summary'!D22</f>
        <v>0</v>
      </c>
      <c r="H77" s="164" t="s">
        <v>12</v>
      </c>
      <c r="I77" s="165"/>
      <c r="J77" s="42"/>
      <c r="K77" s="31" t="s">
        <v>8</v>
      </c>
      <c r="L77" s="31" t="s">
        <v>286</v>
      </c>
      <c r="M77" s="555">
        <f>IF(-'AVG HVAC impact'!B32*HVAC!C76&lt;-0.1*Benchmarking!B16, -0.1*Benchmarking!B16,-'AVG HVAC impact'!B32*HVAC!C76)</f>
        <v>0</v>
      </c>
      <c r="N77" s="555">
        <f>-'AVG HVAC impact'!C32*HVAC!C76</f>
        <v>0</v>
      </c>
      <c r="O77" s="555">
        <f>IF(-C76*2000*0.25*0.1&lt;-0.1*(Benchmarking!B20+Benchmarking!B23*0.925+Benchmarking!B26*1.385), -0.1*(Benchmarking!B20+Benchmarking!B23*0.925+Benchmarking!B26*1.385), -C76*2000*0.25*0.1)</f>
        <v>0</v>
      </c>
      <c r="P77" s="551"/>
      <c r="Q77" s="560"/>
      <c r="R77" s="518" t="s">
        <v>5</v>
      </c>
      <c r="S77" s="547">
        <f>M78</f>
        <v>0</v>
      </c>
      <c r="T77" s="534" t="s">
        <v>6</v>
      </c>
      <c r="U77" s="537"/>
      <c r="W77" s="70" t="s">
        <v>30</v>
      </c>
      <c r="X77" s="60">
        <v>0</v>
      </c>
      <c r="Y77" s="286">
        <f>S80</f>
        <v>0</v>
      </c>
      <c r="Z77" s="60">
        <f t="shared" ref="Z77:AI77" si="202">Y77*(1+$M15)</f>
        <v>0</v>
      </c>
      <c r="AA77" s="60">
        <f t="shared" si="202"/>
        <v>0</v>
      </c>
      <c r="AB77" s="60">
        <f t="shared" si="202"/>
        <v>0</v>
      </c>
      <c r="AC77" s="60">
        <f t="shared" si="202"/>
        <v>0</v>
      </c>
      <c r="AD77" s="60">
        <f t="shared" si="202"/>
        <v>0</v>
      </c>
      <c r="AE77" s="60">
        <f t="shared" si="202"/>
        <v>0</v>
      </c>
      <c r="AF77" s="60">
        <f t="shared" si="202"/>
        <v>0</v>
      </c>
      <c r="AG77" s="60">
        <f t="shared" si="202"/>
        <v>0</v>
      </c>
      <c r="AH77" s="60">
        <f t="shared" si="202"/>
        <v>0</v>
      </c>
      <c r="AI77" s="60">
        <f t="shared" si="202"/>
        <v>0</v>
      </c>
      <c r="AK77" s="60">
        <v>0</v>
      </c>
      <c r="AL77" s="286">
        <f>'Total-Summary'!H22</f>
        <v>0</v>
      </c>
      <c r="AM77" s="60">
        <f t="shared" ref="AM77:AV77" si="203">AL77*(1+$M15)</f>
        <v>0</v>
      </c>
      <c r="AN77" s="60">
        <f t="shared" si="203"/>
        <v>0</v>
      </c>
      <c r="AO77" s="60">
        <f t="shared" si="203"/>
        <v>0</v>
      </c>
      <c r="AP77" s="60">
        <f t="shared" si="203"/>
        <v>0</v>
      </c>
      <c r="AQ77" s="60">
        <f t="shared" si="203"/>
        <v>0</v>
      </c>
      <c r="AR77" s="60">
        <f t="shared" si="203"/>
        <v>0</v>
      </c>
      <c r="AS77" s="60">
        <f t="shared" si="203"/>
        <v>0</v>
      </c>
      <c r="AT77" s="60">
        <f t="shared" si="203"/>
        <v>0</v>
      </c>
      <c r="AU77" s="60">
        <f t="shared" si="203"/>
        <v>0</v>
      </c>
      <c r="AV77" s="60">
        <f t="shared" si="203"/>
        <v>0</v>
      </c>
    </row>
    <row r="78" spans="1:66" ht="14.95" thickBot="1" x14ac:dyDescent="0.3">
      <c r="A78" s="701"/>
      <c r="B78" s="663" t="s">
        <v>236</v>
      </c>
      <c r="C78" s="424"/>
      <c r="D78" s="18"/>
      <c r="E78" s="161"/>
      <c r="F78" s="162" t="s">
        <v>5</v>
      </c>
      <c r="G78" s="514">
        <f>'Total-Summary'!E22</f>
        <v>0</v>
      </c>
      <c r="H78" s="164" t="s">
        <v>379</v>
      </c>
      <c r="I78" s="165"/>
      <c r="J78" s="42"/>
      <c r="K78" s="35"/>
      <c r="L78" s="35" t="s">
        <v>2</v>
      </c>
      <c r="M78" s="562">
        <f>M76-M77</f>
        <v>0</v>
      </c>
      <c r="N78" s="562">
        <f>N76-N77</f>
        <v>0</v>
      </c>
      <c r="O78" s="562">
        <f>O76-O77</f>
        <v>0</v>
      </c>
      <c r="P78" s="551"/>
      <c r="Q78" s="566"/>
      <c r="R78" s="518" t="s">
        <v>5</v>
      </c>
      <c r="S78" s="547">
        <f>IF(Benchmarking!B$20=0,0,O78)</f>
        <v>0</v>
      </c>
      <c r="T78" s="534" t="s">
        <v>379</v>
      </c>
      <c r="U78" s="537"/>
      <c r="W78" s="28" t="s">
        <v>31</v>
      </c>
      <c r="X78" s="264"/>
      <c r="Y78" s="286">
        <f>IF(C76=0,0,$M$17*$C$77)</f>
        <v>0</v>
      </c>
      <c r="Z78" s="60">
        <f t="shared" ref="Z78" si="204">Y78*(1+$M$13)</f>
        <v>0</v>
      </c>
      <c r="AA78" s="60">
        <f t="shared" ref="AA78" si="205">Z78*(1+$M$13)</f>
        <v>0</v>
      </c>
      <c r="AB78" s="60">
        <f t="shared" ref="AB78" si="206">AA78*(1+$M$13)</f>
        <v>0</v>
      </c>
      <c r="AC78" s="60">
        <f t="shared" ref="AC78" si="207">AB78*(1+$M$13)</f>
        <v>0</v>
      </c>
      <c r="AD78" s="60">
        <f t="shared" ref="AD78" si="208">AC78*(1+$M$13)</f>
        <v>0</v>
      </c>
      <c r="AE78" s="60">
        <f t="shared" ref="AE78" si="209">AD78*(1+$M$13)</f>
        <v>0</v>
      </c>
      <c r="AF78" s="60">
        <f t="shared" ref="AF78" si="210">AE78*(1+$M$13)</f>
        <v>0</v>
      </c>
      <c r="AG78" s="60">
        <f t="shared" ref="AG78" si="211">AF78*(1+$M$13)</f>
        <v>0</v>
      </c>
      <c r="AH78" s="60">
        <f t="shared" ref="AH78" si="212">AG78*(1+$M$13)</f>
        <v>0</v>
      </c>
      <c r="AI78" s="60">
        <f t="shared" ref="AI78" si="213">AH78*(1+$M$13)</f>
        <v>0</v>
      </c>
    </row>
    <row r="79" spans="1:66" x14ac:dyDescent="0.25">
      <c r="A79" s="668"/>
      <c r="B79" s="672"/>
      <c r="E79" s="168"/>
      <c r="F79" s="166" t="s">
        <v>14</v>
      </c>
      <c r="G79" s="547">
        <f>IF('Total-Summary'!F22&lt;&gt;0,'Total-Summary'!F22,'Total-Summary'!G22)</f>
        <v>0</v>
      </c>
      <c r="H79" s="164" t="s">
        <v>48</v>
      </c>
      <c r="I79" s="167" t="str">
        <f>IF(Benchmarking!$E$25=0,"Fuel Oil","Propane")</f>
        <v>Fuel Oil</v>
      </c>
      <c r="J79" s="588"/>
      <c r="K79" s="551"/>
      <c r="L79" s="551"/>
      <c r="M79" s="551"/>
      <c r="N79" s="551"/>
      <c r="O79" s="551"/>
      <c r="P79" s="551"/>
      <c r="Q79" s="560"/>
      <c r="R79" s="518" t="s">
        <v>14</v>
      </c>
      <c r="S79" s="547">
        <f>IF(Benchmarking!E$24&gt;0,0,IF(Benchmarking!E$25&gt;0,O78/0.925,O78/1.385))</f>
        <v>0</v>
      </c>
      <c r="T79" s="534" t="s">
        <v>48</v>
      </c>
      <c r="U79" s="537" t="str">
        <f>IF(Benchmarking!E$24&gt;0,"NA",IF(Benchmarking!E$25&gt;0,"Propane","Fuel Oil"))</f>
        <v>Fuel Oil</v>
      </c>
      <c r="W79" s="28" t="s">
        <v>32</v>
      </c>
      <c r="X79" s="264"/>
      <c r="Y79" s="260">
        <v>0</v>
      </c>
      <c r="Z79" s="260">
        <v>0</v>
      </c>
      <c r="AA79" s="260">
        <v>0</v>
      </c>
      <c r="AB79" s="260">
        <v>0</v>
      </c>
      <c r="AC79" s="260">
        <v>0</v>
      </c>
      <c r="AD79" s="260">
        <v>0</v>
      </c>
      <c r="AE79" s="260">
        <v>0</v>
      </c>
      <c r="AF79" s="260">
        <v>0</v>
      </c>
      <c r="AG79" s="260">
        <v>0</v>
      </c>
      <c r="AH79" s="260">
        <v>0</v>
      </c>
      <c r="AI79" s="260">
        <v>0</v>
      </c>
    </row>
    <row r="80" spans="1:66" x14ac:dyDescent="0.25">
      <c r="A80" s="668"/>
      <c r="B80" s="710"/>
      <c r="C80" s="12"/>
      <c r="D80" s="18"/>
      <c r="E80" s="168"/>
      <c r="F80" s="89" t="s">
        <v>14</v>
      </c>
      <c r="G80" s="155">
        <f>'Total-Summary'!H22</f>
        <v>0</v>
      </c>
      <c r="H80" s="79" t="s">
        <v>15</v>
      </c>
      <c r="I80" s="165"/>
      <c r="J80" s="551"/>
      <c r="K80" s="551"/>
      <c r="L80" s="204"/>
      <c r="M80" s="589"/>
      <c r="N80" s="575"/>
      <c r="O80" s="551"/>
      <c r="P80" s="551"/>
      <c r="Q80" s="560"/>
      <c r="R80" s="533" t="s">
        <v>14</v>
      </c>
      <c r="S80" s="544">
        <f>IF(S77=0,0,S77*(Benchmarking!E$23)+Benchmarking!E$24*O78+IF(Benchmarking!B$26&gt;0,Benchmarking!E$26*S79,Benchmarking!E$25*S79))</f>
        <v>0</v>
      </c>
      <c r="T80" s="534" t="s">
        <v>15</v>
      </c>
      <c r="U80" s="568"/>
      <c r="W80" s="28" t="s">
        <v>33</v>
      </c>
      <c r="X80" s="283"/>
      <c r="Y80" s="287">
        <f t="shared" ref="Y80:AI80" si="214">Y77+Y78-Y79</f>
        <v>0</v>
      </c>
      <c r="Z80" s="61">
        <f t="shared" si="214"/>
        <v>0</v>
      </c>
      <c r="AA80" s="61">
        <f t="shared" si="214"/>
        <v>0</v>
      </c>
      <c r="AB80" s="61">
        <f t="shared" si="214"/>
        <v>0</v>
      </c>
      <c r="AC80" s="61">
        <f t="shared" si="214"/>
        <v>0</v>
      </c>
      <c r="AD80" s="61">
        <f t="shared" si="214"/>
        <v>0</v>
      </c>
      <c r="AE80" s="61">
        <f t="shared" si="214"/>
        <v>0</v>
      </c>
      <c r="AF80" s="61">
        <f t="shared" si="214"/>
        <v>0</v>
      </c>
      <c r="AG80" s="61">
        <f t="shared" si="214"/>
        <v>0</v>
      </c>
      <c r="AH80" s="61">
        <f t="shared" si="214"/>
        <v>0</v>
      </c>
      <c r="AI80" s="61">
        <f t="shared" si="214"/>
        <v>0</v>
      </c>
      <c r="AK80" s="63" t="s">
        <v>461</v>
      </c>
      <c r="AL80" s="343">
        <f>AL77+Y78-Y79</f>
        <v>0</v>
      </c>
      <c r="AM80" s="343">
        <f t="shared" ref="AM80:AV80" si="215">AM77+Z78-Z79</f>
        <v>0</v>
      </c>
      <c r="AN80" s="343">
        <f t="shared" si="215"/>
        <v>0</v>
      </c>
      <c r="AO80" s="343">
        <f t="shared" si="215"/>
        <v>0</v>
      </c>
      <c r="AP80" s="343">
        <f t="shared" si="215"/>
        <v>0</v>
      </c>
      <c r="AQ80" s="343">
        <f t="shared" si="215"/>
        <v>0</v>
      </c>
      <c r="AR80" s="343">
        <f t="shared" si="215"/>
        <v>0</v>
      </c>
      <c r="AS80" s="343">
        <f t="shared" si="215"/>
        <v>0</v>
      </c>
      <c r="AT80" s="343">
        <f t="shared" si="215"/>
        <v>0</v>
      </c>
      <c r="AU80" s="343">
        <f t="shared" si="215"/>
        <v>0</v>
      </c>
      <c r="AV80" s="343">
        <f t="shared" si="215"/>
        <v>0</v>
      </c>
    </row>
    <row r="81" spans="1:66" x14ac:dyDescent="0.25">
      <c r="A81" s="668"/>
      <c r="B81" s="710"/>
      <c r="C81" s="12"/>
      <c r="D81" s="18"/>
      <c r="E81" s="161"/>
      <c r="F81" s="89" t="s">
        <v>16</v>
      </c>
      <c r="G81" s="80">
        <f>IF(C77=0,0,(C77-C78)/G80)</f>
        <v>0</v>
      </c>
      <c r="H81" s="79" t="s">
        <v>17</v>
      </c>
      <c r="I81" s="569"/>
      <c r="J81" s="551"/>
      <c r="K81" s="551"/>
      <c r="L81" s="204"/>
      <c r="M81" s="587"/>
      <c r="N81" s="551"/>
      <c r="O81" s="551"/>
      <c r="P81" s="551"/>
      <c r="Q81" s="560"/>
      <c r="R81" s="533" t="s">
        <v>16</v>
      </c>
      <c r="S81" s="534">
        <f>IF(C76=0,0,(C77-C78)/S80)</f>
        <v>0</v>
      </c>
      <c r="T81" s="534" t="s">
        <v>17</v>
      </c>
      <c r="U81" s="568"/>
      <c r="W81" s="46" t="s">
        <v>115</v>
      </c>
      <c r="X81" s="282"/>
      <c r="Y81" s="285">
        <f>NPV($M$14,Y80:AI80)</f>
        <v>0</v>
      </c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</row>
    <row r="82" spans="1:66" s="128" customFormat="1" ht="14.95" thickBot="1" x14ac:dyDescent="0.3">
      <c r="A82" s="668"/>
      <c r="B82" s="710"/>
      <c r="C82" s="12"/>
      <c r="D82" s="18"/>
      <c r="E82" s="169"/>
      <c r="F82" s="571" t="s">
        <v>257</v>
      </c>
      <c r="G82" s="170">
        <f>IF($C77=0,0,IF($C78&gt;0.95*$C77,$Y82/($C77-($C77*0.95)+1-$C77*$M$16),$Y82/($C77-$C78-$C77*$M$16)))</f>
        <v>0</v>
      </c>
      <c r="H82" s="171"/>
      <c r="I82" s="172"/>
      <c r="J82" s="551"/>
      <c r="K82" s="551"/>
      <c r="L82" s="204"/>
      <c r="M82" s="587"/>
      <c r="N82" s="551"/>
      <c r="O82" s="551"/>
      <c r="P82" s="551"/>
      <c r="Q82" s="572"/>
      <c r="R82" s="535" t="s">
        <v>257</v>
      </c>
      <c r="S82" s="573">
        <f>IF($C77=0,0,IF($C78&gt;0.95*$C77,$Y81/($C77-($C77*0.95)+1-$C77*$M$16),$Y81/($C77-$C78-$C77*$M$16)))</f>
        <v>0</v>
      </c>
      <c r="T82" s="550"/>
      <c r="U82" s="574"/>
      <c r="V82" s="18"/>
      <c r="W82" s="310" t="s">
        <v>454</v>
      </c>
      <c r="X82" s="310"/>
      <c r="Y82" s="312">
        <f>NPV(M14,AL80:AV80)</f>
        <v>0</v>
      </c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</row>
    <row r="83" spans="1:66" x14ac:dyDescent="0.25">
      <c r="A83" s="668"/>
      <c r="B83" s="636"/>
      <c r="D83" s="18"/>
      <c r="E83" s="575"/>
      <c r="F83" s="575"/>
      <c r="G83" s="575"/>
      <c r="H83" s="575"/>
      <c r="I83" s="551"/>
      <c r="J83" s="551"/>
      <c r="K83" s="551"/>
      <c r="L83" s="204"/>
      <c r="M83" s="589"/>
      <c r="N83" s="575"/>
      <c r="O83" s="551"/>
      <c r="P83" s="551"/>
      <c r="Q83" s="576"/>
      <c r="R83" s="576"/>
      <c r="S83" s="576"/>
      <c r="T83" s="576"/>
      <c r="U83" s="576"/>
    </row>
    <row r="84" spans="1:66" s="128" customFormat="1" x14ac:dyDescent="0.25">
      <c r="A84" s="668"/>
      <c r="B84" s="636"/>
      <c r="C84" s="9"/>
      <c r="D84" s="18"/>
      <c r="E84" s="580"/>
      <c r="F84" s="89"/>
      <c r="G84" s="551"/>
      <c r="H84" s="551"/>
      <c r="I84" s="164"/>
      <c r="J84" s="551"/>
      <c r="K84" s="551"/>
      <c r="L84" s="204"/>
      <c r="M84" s="589"/>
      <c r="N84" s="575"/>
      <c r="O84" s="551"/>
      <c r="P84" s="551"/>
      <c r="Q84" s="576"/>
      <c r="R84" s="576"/>
      <c r="S84" s="576"/>
      <c r="T84" s="576"/>
      <c r="U84" s="576"/>
      <c r="V84" s="18"/>
      <c r="W84" s="18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</row>
    <row r="85" spans="1:66" s="128" customFormat="1" ht="19.7" thickBot="1" x14ac:dyDescent="0.4">
      <c r="A85" s="668"/>
      <c r="B85" s="710"/>
      <c r="C85" s="12"/>
      <c r="D85" s="18"/>
      <c r="E85" s="575"/>
      <c r="F85" s="575"/>
      <c r="G85" s="575"/>
      <c r="H85" s="575"/>
      <c r="I85" s="551"/>
      <c r="J85" s="551"/>
      <c r="K85" s="42" t="s">
        <v>113</v>
      </c>
      <c r="L85" s="551"/>
      <c r="M85" s="551"/>
      <c r="N85" s="551"/>
      <c r="O85" s="551"/>
      <c r="P85" s="551"/>
      <c r="Q85" s="576"/>
      <c r="R85" s="576"/>
      <c r="S85" s="576"/>
      <c r="T85" s="576"/>
      <c r="U85" s="576"/>
      <c r="V85" s="18"/>
      <c r="W85" s="23" t="s">
        <v>107</v>
      </c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349" t="s">
        <v>460</v>
      </c>
      <c r="AP85" s="63"/>
      <c r="AQ85" s="63"/>
      <c r="AR85" s="63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</row>
    <row r="86" spans="1:66" s="128" customFormat="1" ht="29.9" customHeight="1" thickBot="1" x14ac:dyDescent="0.35">
      <c r="A86" s="743" t="s">
        <v>296</v>
      </c>
      <c r="B86" s="744" t="str">
        <f>B18</f>
        <v>Install variable speed drive for pumps and fans</v>
      </c>
      <c r="C86" s="83" t="s">
        <v>51</v>
      </c>
      <c r="D86" s="18"/>
      <c r="E86" s="805" t="s">
        <v>458</v>
      </c>
      <c r="F86" s="806"/>
      <c r="G86" s="806"/>
      <c r="H86" s="806"/>
      <c r="I86" s="807"/>
      <c r="J86" s="551"/>
      <c r="K86" s="24"/>
      <c r="L86" s="52" t="str">
        <f>A86</f>
        <v>ECM 15</v>
      </c>
      <c r="M86" s="25" t="s">
        <v>246</v>
      </c>
      <c r="N86" s="25" t="s">
        <v>247</v>
      </c>
      <c r="O86" s="25" t="s">
        <v>248</v>
      </c>
      <c r="P86" s="551"/>
      <c r="Q86" s="814" t="s">
        <v>74</v>
      </c>
      <c r="R86" s="815"/>
      <c r="S86" s="815"/>
      <c r="T86" s="815"/>
      <c r="U86" s="816"/>
      <c r="V86" s="18"/>
      <c r="W86" s="28" t="s">
        <v>29</v>
      </c>
      <c r="X86" s="264">
        <v>0</v>
      </c>
      <c r="Y86" s="29">
        <v>1</v>
      </c>
      <c r="Z86" s="29">
        <v>2</v>
      </c>
      <c r="AA86" s="29">
        <v>3</v>
      </c>
      <c r="AB86" s="29">
        <v>4</v>
      </c>
      <c r="AC86" s="29">
        <v>5</v>
      </c>
      <c r="AD86" s="29">
        <v>6</v>
      </c>
      <c r="AE86" s="29">
        <v>7</v>
      </c>
      <c r="AF86" s="29">
        <v>8</v>
      </c>
      <c r="AG86" s="29">
        <v>9</v>
      </c>
      <c r="AH86" s="29">
        <v>10</v>
      </c>
      <c r="AI86" s="29">
        <v>11</v>
      </c>
      <c r="AJ86" s="29">
        <v>12</v>
      </c>
      <c r="AK86" s="29">
        <v>13</v>
      </c>
      <c r="AL86" s="29">
        <v>14</v>
      </c>
      <c r="AM86" s="29">
        <v>15</v>
      </c>
      <c r="AN86" s="63"/>
      <c r="AO86" s="264">
        <v>0</v>
      </c>
      <c r="AP86" s="29">
        <v>1</v>
      </c>
      <c r="AQ86" s="29">
        <v>2</v>
      </c>
      <c r="AR86" s="29">
        <v>3</v>
      </c>
      <c r="AS86" s="29">
        <v>4</v>
      </c>
      <c r="AT86" s="29">
        <v>5</v>
      </c>
      <c r="AU86" s="29">
        <v>6</v>
      </c>
      <c r="AV86" s="29">
        <v>7</v>
      </c>
      <c r="AW86" s="29">
        <v>8</v>
      </c>
      <c r="AX86" s="29">
        <v>9</v>
      </c>
      <c r="AY86" s="29">
        <v>10</v>
      </c>
      <c r="AZ86" s="29">
        <v>11</v>
      </c>
      <c r="BA86" s="29">
        <v>12</v>
      </c>
      <c r="BB86" s="29">
        <v>13</v>
      </c>
      <c r="BC86" s="29">
        <v>14</v>
      </c>
      <c r="BD86" s="29">
        <v>15</v>
      </c>
      <c r="BE86" s="18"/>
      <c r="BF86" s="18"/>
      <c r="BG86" s="18"/>
      <c r="BH86" s="18"/>
      <c r="BI86" s="18"/>
      <c r="BJ86" s="18"/>
      <c r="BK86" s="18"/>
      <c r="BL86" s="18"/>
      <c r="BM86" s="18"/>
      <c r="BN86" s="18"/>
    </row>
    <row r="87" spans="1:66" s="128" customFormat="1" x14ac:dyDescent="0.25">
      <c r="A87" s="657"/>
      <c r="B87" s="658" t="s">
        <v>393</v>
      </c>
      <c r="C87" s="432"/>
      <c r="D87" s="18"/>
      <c r="E87" s="552"/>
      <c r="F87" s="84" t="s">
        <v>4</v>
      </c>
      <c r="G87" s="514">
        <f>'Total-Summary'!C23</f>
        <v>0</v>
      </c>
      <c r="H87" s="553" t="s">
        <v>378</v>
      </c>
      <c r="I87" s="554"/>
      <c r="J87" s="551"/>
      <c r="K87" s="31" t="s">
        <v>7</v>
      </c>
      <c r="L87" s="31" t="s">
        <v>284</v>
      </c>
      <c r="M87" s="555">
        <f>$C$87*4/5*'AVG HVAC impact'!B$49</f>
        <v>0</v>
      </c>
      <c r="N87" s="555">
        <f>$C$87*4/5*'AVG HVAC impact'!C$49</f>
        <v>0</v>
      </c>
      <c r="O87" s="555">
        <f>$C$87*4/5*'AVG HVAC impact'!D$49</f>
        <v>0</v>
      </c>
      <c r="P87" s="551"/>
      <c r="Q87" s="566"/>
      <c r="R87" s="518" t="s">
        <v>314</v>
      </c>
      <c r="S87" s="546">
        <f>N89</f>
        <v>0</v>
      </c>
      <c r="T87" s="536" t="s">
        <v>378</v>
      </c>
      <c r="U87" s="568"/>
      <c r="V87" s="18"/>
      <c r="W87" s="28" t="s">
        <v>29</v>
      </c>
      <c r="X87" s="264">
        <v>2013</v>
      </c>
      <c r="Y87" s="264">
        <f>X87+1</f>
        <v>2014</v>
      </c>
      <c r="Z87" s="264">
        <f t="shared" ref="Z87:AM87" si="216">Y87+1</f>
        <v>2015</v>
      </c>
      <c r="AA87" s="264">
        <f t="shared" si="216"/>
        <v>2016</v>
      </c>
      <c r="AB87" s="264">
        <f t="shared" si="216"/>
        <v>2017</v>
      </c>
      <c r="AC87" s="264">
        <f t="shared" si="216"/>
        <v>2018</v>
      </c>
      <c r="AD87" s="264">
        <f t="shared" si="216"/>
        <v>2019</v>
      </c>
      <c r="AE87" s="264">
        <f t="shared" si="216"/>
        <v>2020</v>
      </c>
      <c r="AF87" s="264">
        <f t="shared" si="216"/>
        <v>2021</v>
      </c>
      <c r="AG87" s="264">
        <f t="shared" si="216"/>
        <v>2022</v>
      </c>
      <c r="AH87" s="264">
        <f t="shared" si="216"/>
        <v>2023</v>
      </c>
      <c r="AI87" s="264">
        <f t="shared" si="216"/>
        <v>2024</v>
      </c>
      <c r="AJ87" s="264">
        <f t="shared" si="216"/>
        <v>2025</v>
      </c>
      <c r="AK87" s="264">
        <f t="shared" si="216"/>
        <v>2026</v>
      </c>
      <c r="AL87" s="264">
        <f t="shared" si="216"/>
        <v>2027</v>
      </c>
      <c r="AM87" s="264">
        <f t="shared" si="216"/>
        <v>2028</v>
      </c>
      <c r="AN87" s="63"/>
      <c r="AO87" s="264">
        <v>2013</v>
      </c>
      <c r="AP87" s="264">
        <f>AO87+1</f>
        <v>2014</v>
      </c>
      <c r="AQ87" s="264">
        <f t="shared" ref="AQ87" si="217">AP87+1</f>
        <v>2015</v>
      </c>
      <c r="AR87" s="264">
        <f t="shared" ref="AR87" si="218">AQ87+1</f>
        <v>2016</v>
      </c>
      <c r="AS87" s="264">
        <f t="shared" ref="AS87" si="219">AR87+1</f>
        <v>2017</v>
      </c>
      <c r="AT87" s="264">
        <f t="shared" ref="AT87" si="220">AS87+1</f>
        <v>2018</v>
      </c>
      <c r="AU87" s="264">
        <f t="shared" ref="AU87" si="221">AT87+1</f>
        <v>2019</v>
      </c>
      <c r="AV87" s="264">
        <f t="shared" ref="AV87" si="222">AU87+1</f>
        <v>2020</v>
      </c>
      <c r="AW87" s="264">
        <f t="shared" ref="AW87" si="223">AV87+1</f>
        <v>2021</v>
      </c>
      <c r="AX87" s="264">
        <f t="shared" ref="AX87" si="224">AW87+1</f>
        <v>2022</v>
      </c>
      <c r="AY87" s="264">
        <f t="shared" ref="AY87" si="225">AX87+1</f>
        <v>2023</v>
      </c>
      <c r="AZ87" s="264">
        <f t="shared" ref="AZ87" si="226">AY87+1</f>
        <v>2024</v>
      </c>
      <c r="BA87" s="264">
        <f t="shared" ref="BA87" si="227">AZ87+1</f>
        <v>2025</v>
      </c>
      <c r="BB87" s="264">
        <f t="shared" ref="BB87" si="228">BA87+1</f>
        <v>2026</v>
      </c>
      <c r="BC87" s="264">
        <f t="shared" ref="BC87" si="229">BB87+1</f>
        <v>2027</v>
      </c>
      <c r="BD87" s="264">
        <f t="shared" ref="BD87" si="230">BC87+1</f>
        <v>2028</v>
      </c>
      <c r="BE87" s="18"/>
      <c r="BF87" s="18"/>
      <c r="BG87" s="18"/>
      <c r="BH87" s="18"/>
      <c r="BI87" s="18"/>
      <c r="BJ87" s="18"/>
      <c r="BK87" s="18"/>
      <c r="BL87" s="18"/>
      <c r="BM87" s="18"/>
      <c r="BN87" s="18"/>
    </row>
    <row r="88" spans="1:66" s="128" customFormat="1" x14ac:dyDescent="0.25">
      <c r="A88" s="700"/>
      <c r="B88" s="659" t="s">
        <v>235</v>
      </c>
      <c r="C88" s="433"/>
      <c r="D88" s="18"/>
      <c r="E88" s="161"/>
      <c r="F88" s="41" t="s">
        <v>5</v>
      </c>
      <c r="G88" s="514">
        <f>'Total-Summary'!D23</f>
        <v>0</v>
      </c>
      <c r="H88" s="164" t="s">
        <v>12</v>
      </c>
      <c r="I88" s="165"/>
      <c r="J88" s="551"/>
      <c r="K88" s="31" t="s">
        <v>8</v>
      </c>
      <c r="L88" s="31" t="s">
        <v>19</v>
      </c>
      <c r="M88" s="555">
        <v>0</v>
      </c>
      <c r="N88" s="555">
        <v>0</v>
      </c>
      <c r="O88" s="555">
        <v>0</v>
      </c>
      <c r="P88" s="551"/>
      <c r="Q88" s="560"/>
      <c r="R88" s="518" t="s">
        <v>5</v>
      </c>
      <c r="S88" s="590">
        <f>M89</f>
        <v>0</v>
      </c>
      <c r="T88" s="534" t="s">
        <v>6</v>
      </c>
      <c r="U88" s="568"/>
      <c r="V88" s="18"/>
      <c r="W88" s="70" t="s">
        <v>30</v>
      </c>
      <c r="X88" s="60"/>
      <c r="Y88" s="60">
        <f>S91</f>
        <v>0</v>
      </c>
      <c r="Z88" s="60">
        <f t="shared" ref="Z88:AM88" si="231">Y88*(1+$M$15)</f>
        <v>0</v>
      </c>
      <c r="AA88" s="60">
        <f t="shared" si="231"/>
        <v>0</v>
      </c>
      <c r="AB88" s="60">
        <f t="shared" si="231"/>
        <v>0</v>
      </c>
      <c r="AC88" s="60">
        <f t="shared" si="231"/>
        <v>0</v>
      </c>
      <c r="AD88" s="60">
        <f t="shared" si="231"/>
        <v>0</v>
      </c>
      <c r="AE88" s="60">
        <f t="shared" si="231"/>
        <v>0</v>
      </c>
      <c r="AF88" s="60">
        <f t="shared" si="231"/>
        <v>0</v>
      </c>
      <c r="AG88" s="60">
        <f t="shared" si="231"/>
        <v>0</v>
      </c>
      <c r="AH88" s="60">
        <f t="shared" si="231"/>
        <v>0</v>
      </c>
      <c r="AI88" s="60">
        <f t="shared" si="231"/>
        <v>0</v>
      </c>
      <c r="AJ88" s="60">
        <f t="shared" si="231"/>
        <v>0</v>
      </c>
      <c r="AK88" s="60">
        <f t="shared" si="231"/>
        <v>0</v>
      </c>
      <c r="AL88" s="60">
        <f t="shared" si="231"/>
        <v>0</v>
      </c>
      <c r="AM88" s="60">
        <f t="shared" si="231"/>
        <v>0</v>
      </c>
      <c r="AN88" s="63"/>
      <c r="AO88" s="60"/>
      <c r="AP88" s="60">
        <f>'Total-Summary'!H23</f>
        <v>0</v>
      </c>
      <c r="AQ88" s="60">
        <f t="shared" ref="AQ88" si="232">AP88*(1+$M$15)</f>
        <v>0</v>
      </c>
      <c r="AR88" s="60">
        <f t="shared" ref="AR88" si="233">AQ88*(1+$M$15)</f>
        <v>0</v>
      </c>
      <c r="AS88" s="60">
        <f t="shared" ref="AS88" si="234">AR88*(1+$M$15)</f>
        <v>0</v>
      </c>
      <c r="AT88" s="60">
        <f t="shared" ref="AT88" si="235">AS88*(1+$M$15)</f>
        <v>0</v>
      </c>
      <c r="AU88" s="60">
        <f t="shared" ref="AU88" si="236">AT88*(1+$M$15)</f>
        <v>0</v>
      </c>
      <c r="AV88" s="60">
        <f t="shared" ref="AV88" si="237">AU88*(1+$M$15)</f>
        <v>0</v>
      </c>
      <c r="AW88" s="60">
        <f t="shared" ref="AW88" si="238">AV88*(1+$M$15)</f>
        <v>0</v>
      </c>
      <c r="AX88" s="60">
        <f t="shared" ref="AX88" si="239">AW88*(1+$M$15)</f>
        <v>0</v>
      </c>
      <c r="AY88" s="60">
        <f t="shared" ref="AY88" si="240">AX88*(1+$M$15)</f>
        <v>0</v>
      </c>
      <c r="AZ88" s="60">
        <f t="shared" ref="AZ88" si="241">AY88*(1+$M$15)</f>
        <v>0</v>
      </c>
      <c r="BA88" s="60">
        <f t="shared" ref="BA88" si="242">AZ88*(1+$M$15)</f>
        <v>0</v>
      </c>
      <c r="BB88" s="60">
        <f t="shared" ref="BB88" si="243">BA88*(1+$M$15)</f>
        <v>0</v>
      </c>
      <c r="BC88" s="60">
        <f t="shared" ref="BC88" si="244">BB88*(1+$M$15)</f>
        <v>0</v>
      </c>
      <c r="BD88" s="60">
        <f t="shared" ref="BD88" si="245">BC88*(1+$M$15)</f>
        <v>0</v>
      </c>
      <c r="BE88" s="18"/>
      <c r="BF88" s="18"/>
      <c r="BG88" s="18"/>
      <c r="BH88" s="18"/>
      <c r="BI88" s="18"/>
      <c r="BJ88" s="18"/>
      <c r="BK88" s="18"/>
      <c r="BL88" s="18"/>
      <c r="BM88" s="18"/>
      <c r="BN88" s="18"/>
    </row>
    <row r="89" spans="1:66" s="128" customFormat="1" ht="14.95" thickBot="1" x14ac:dyDescent="0.3">
      <c r="A89" s="701"/>
      <c r="B89" s="663" t="s">
        <v>236</v>
      </c>
      <c r="C89" s="434"/>
      <c r="D89" s="18"/>
      <c r="E89" s="161"/>
      <c r="F89" s="162" t="s">
        <v>5</v>
      </c>
      <c r="G89" s="514">
        <f>'Total-Summary'!E23</f>
        <v>0</v>
      </c>
      <c r="H89" s="164" t="s">
        <v>379</v>
      </c>
      <c r="I89" s="165"/>
      <c r="J89" s="551"/>
      <c r="K89" s="35"/>
      <c r="L89" s="35" t="s">
        <v>2</v>
      </c>
      <c r="M89" s="562">
        <f>M87-M88</f>
        <v>0</v>
      </c>
      <c r="N89" s="562">
        <f t="shared" ref="N89:O89" si="246">N87-N88</f>
        <v>0</v>
      </c>
      <c r="O89" s="562">
        <f t="shared" si="246"/>
        <v>0</v>
      </c>
      <c r="P89" s="551"/>
      <c r="Q89" s="591"/>
      <c r="R89" s="533" t="s">
        <v>5</v>
      </c>
      <c r="S89" s="547">
        <f>IF(Benchmarking!B$20=0,0,O89)</f>
        <v>0</v>
      </c>
      <c r="T89" s="534" t="s">
        <v>379</v>
      </c>
      <c r="U89" s="538"/>
      <c r="V89" s="18"/>
      <c r="W89" s="28" t="s">
        <v>31</v>
      </c>
      <c r="X89" s="264"/>
      <c r="Y89" s="286">
        <f>IF(C87=0,0,$M$17*$C$88)</f>
        <v>0</v>
      </c>
      <c r="Z89" s="60">
        <f t="shared" ref="Z89:AM89" si="247">Y89*(1+$M$13)</f>
        <v>0</v>
      </c>
      <c r="AA89" s="60">
        <f t="shared" si="247"/>
        <v>0</v>
      </c>
      <c r="AB89" s="60">
        <f t="shared" si="247"/>
        <v>0</v>
      </c>
      <c r="AC89" s="60">
        <f t="shared" si="247"/>
        <v>0</v>
      </c>
      <c r="AD89" s="60">
        <f t="shared" si="247"/>
        <v>0</v>
      </c>
      <c r="AE89" s="60">
        <f t="shared" si="247"/>
        <v>0</v>
      </c>
      <c r="AF89" s="60">
        <f t="shared" si="247"/>
        <v>0</v>
      </c>
      <c r="AG89" s="60">
        <f t="shared" si="247"/>
        <v>0</v>
      </c>
      <c r="AH89" s="60">
        <f t="shared" si="247"/>
        <v>0</v>
      </c>
      <c r="AI89" s="60">
        <f t="shared" si="247"/>
        <v>0</v>
      </c>
      <c r="AJ89" s="60">
        <f t="shared" si="247"/>
        <v>0</v>
      </c>
      <c r="AK89" s="60">
        <f t="shared" si="247"/>
        <v>0</v>
      </c>
      <c r="AL89" s="60">
        <f t="shared" si="247"/>
        <v>0</v>
      </c>
      <c r="AM89" s="60">
        <f t="shared" si="247"/>
        <v>0</v>
      </c>
      <c r="AN89" s="63"/>
      <c r="AO89" s="63"/>
      <c r="AP89" s="63"/>
      <c r="AQ89" s="63"/>
      <c r="AR89" s="63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</row>
    <row r="90" spans="1:66" s="128" customFormat="1" x14ac:dyDescent="0.25">
      <c r="A90" s="668"/>
      <c r="B90" s="710"/>
      <c r="D90" s="18"/>
      <c r="E90" s="168"/>
      <c r="F90" s="166" t="s">
        <v>14</v>
      </c>
      <c r="G90" s="547">
        <f>IF('Total-Summary'!F23&lt;&gt;0,'Total-Summary'!F23,'Total-Summary'!G23)</f>
        <v>0</v>
      </c>
      <c r="H90" s="164" t="s">
        <v>48</v>
      </c>
      <c r="I90" s="167" t="str">
        <f>IF(Benchmarking!$E$25=0,"Fuel Oil","Propane")</f>
        <v>Fuel Oil</v>
      </c>
      <c r="J90" s="551"/>
      <c r="K90" s="551"/>
      <c r="L90" s="551"/>
      <c r="M90" s="551"/>
      <c r="N90" s="551"/>
      <c r="O90" s="565"/>
      <c r="P90" s="551"/>
      <c r="Q90" s="591"/>
      <c r="R90" s="518" t="s">
        <v>14</v>
      </c>
      <c r="S90" s="547">
        <f>IF(Benchmarking!E$24&gt;0,0,IF(Benchmarking!E$25&gt;0,O89/0.925,O89/1.385))</f>
        <v>0</v>
      </c>
      <c r="T90" s="534" t="s">
        <v>48</v>
      </c>
      <c r="U90" s="537" t="str">
        <f>IF(Benchmarking!E$24&gt;0,"NA",IF(Benchmarking!E$25&gt;0,"Propane","Fuel Oil"))</f>
        <v>Fuel Oil</v>
      </c>
      <c r="V90" s="18"/>
      <c r="W90" s="28" t="s">
        <v>32</v>
      </c>
      <c r="X90" s="264"/>
      <c r="Y90" s="260">
        <v>0</v>
      </c>
      <c r="Z90" s="260">
        <v>0</v>
      </c>
      <c r="AA90" s="260">
        <v>0</v>
      </c>
      <c r="AB90" s="260">
        <v>0</v>
      </c>
      <c r="AC90" s="260">
        <v>0</v>
      </c>
      <c r="AD90" s="260">
        <v>0</v>
      </c>
      <c r="AE90" s="260">
        <v>0</v>
      </c>
      <c r="AF90" s="260">
        <v>0</v>
      </c>
      <c r="AG90" s="260">
        <v>0</v>
      </c>
      <c r="AH90" s="260">
        <v>0</v>
      </c>
      <c r="AI90" s="260">
        <v>0</v>
      </c>
      <c r="AJ90" s="260">
        <v>0</v>
      </c>
      <c r="AK90" s="260">
        <v>0</v>
      </c>
      <c r="AL90" s="260">
        <v>0</v>
      </c>
      <c r="AM90" s="260">
        <v>0</v>
      </c>
      <c r="AN90" s="63"/>
      <c r="AO90" s="63"/>
      <c r="AP90" s="63"/>
      <c r="AQ90" s="63"/>
      <c r="AR90" s="63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</row>
    <row r="91" spans="1:66" s="128" customFormat="1" x14ac:dyDescent="0.25">
      <c r="A91" s="668"/>
      <c r="B91" s="636"/>
      <c r="D91" s="18"/>
      <c r="E91" s="168"/>
      <c r="F91" s="89" t="s">
        <v>14</v>
      </c>
      <c r="G91" s="78">
        <f>'Total-Summary'!H23</f>
        <v>0</v>
      </c>
      <c r="H91" s="79" t="s">
        <v>15</v>
      </c>
      <c r="I91" s="165"/>
      <c r="J91" s="551"/>
      <c r="K91" s="551"/>
      <c r="L91" s="204"/>
      <c r="M91" s="589"/>
      <c r="N91" s="575"/>
      <c r="O91" s="374"/>
      <c r="P91" s="551"/>
      <c r="Q91" s="566"/>
      <c r="R91" s="533" t="s">
        <v>14</v>
      </c>
      <c r="S91" s="548">
        <f>IF(S88=0,0,S88*(0.8*Benchmarking!E$23)+Benchmarking!E$24*S89+IF(Benchmarking!B$26&gt;0,Benchmarking!E$26*S90,Benchmarking!E$25*S90))</f>
        <v>0</v>
      </c>
      <c r="T91" s="534" t="s">
        <v>15</v>
      </c>
      <c r="U91" s="568"/>
      <c r="V91" s="18"/>
      <c r="W91" s="28" t="s">
        <v>33</v>
      </c>
      <c r="X91" s="283"/>
      <c r="Y91" s="61">
        <f t="shared" ref="Y91:AM91" si="248">Y88+Y89-Y90</f>
        <v>0</v>
      </c>
      <c r="Z91" s="61">
        <f t="shared" si="248"/>
        <v>0</v>
      </c>
      <c r="AA91" s="61">
        <f t="shared" si="248"/>
        <v>0</v>
      </c>
      <c r="AB91" s="61">
        <f t="shared" si="248"/>
        <v>0</v>
      </c>
      <c r="AC91" s="61">
        <f t="shared" si="248"/>
        <v>0</v>
      </c>
      <c r="AD91" s="61">
        <f t="shared" si="248"/>
        <v>0</v>
      </c>
      <c r="AE91" s="61">
        <f t="shared" si="248"/>
        <v>0</v>
      </c>
      <c r="AF91" s="61">
        <f t="shared" si="248"/>
        <v>0</v>
      </c>
      <c r="AG91" s="61">
        <f t="shared" si="248"/>
        <v>0</v>
      </c>
      <c r="AH91" s="61">
        <f t="shared" si="248"/>
        <v>0</v>
      </c>
      <c r="AI91" s="61">
        <f t="shared" si="248"/>
        <v>0</v>
      </c>
      <c r="AJ91" s="61">
        <f t="shared" si="248"/>
        <v>0</v>
      </c>
      <c r="AK91" s="61">
        <f t="shared" si="248"/>
        <v>0</v>
      </c>
      <c r="AL91" s="61">
        <f t="shared" si="248"/>
        <v>0</v>
      </c>
      <c r="AM91" s="61">
        <f t="shared" si="248"/>
        <v>0</v>
      </c>
      <c r="AN91" s="63"/>
      <c r="AO91" s="63" t="s">
        <v>461</v>
      </c>
      <c r="AP91" s="343">
        <f>AP88+Y89-Y90</f>
        <v>0</v>
      </c>
      <c r="AQ91" s="343">
        <f t="shared" ref="AQ91:BD91" si="249">AQ88+Z89-Z90</f>
        <v>0</v>
      </c>
      <c r="AR91" s="343">
        <f t="shared" si="249"/>
        <v>0</v>
      </c>
      <c r="AS91" s="343">
        <f t="shared" si="249"/>
        <v>0</v>
      </c>
      <c r="AT91" s="343">
        <f t="shared" si="249"/>
        <v>0</v>
      </c>
      <c r="AU91" s="343">
        <f t="shared" si="249"/>
        <v>0</v>
      </c>
      <c r="AV91" s="343">
        <f t="shared" si="249"/>
        <v>0</v>
      </c>
      <c r="AW91" s="343">
        <f t="shared" si="249"/>
        <v>0</v>
      </c>
      <c r="AX91" s="343">
        <f t="shared" si="249"/>
        <v>0</v>
      </c>
      <c r="AY91" s="343">
        <f t="shared" si="249"/>
        <v>0</v>
      </c>
      <c r="AZ91" s="343">
        <f t="shared" si="249"/>
        <v>0</v>
      </c>
      <c r="BA91" s="343">
        <f t="shared" si="249"/>
        <v>0</v>
      </c>
      <c r="BB91" s="343">
        <f t="shared" si="249"/>
        <v>0</v>
      </c>
      <c r="BC91" s="343">
        <f t="shared" si="249"/>
        <v>0</v>
      </c>
      <c r="BD91" s="343">
        <f t="shared" si="249"/>
        <v>0</v>
      </c>
      <c r="BE91" s="18"/>
      <c r="BF91" s="18"/>
      <c r="BG91" s="18"/>
      <c r="BH91" s="18"/>
      <c r="BI91" s="18"/>
      <c r="BJ91" s="18"/>
      <c r="BK91" s="18"/>
      <c r="BL91" s="18"/>
      <c r="BM91" s="18"/>
      <c r="BN91" s="18"/>
    </row>
    <row r="92" spans="1:66" s="128" customFormat="1" x14ac:dyDescent="0.25">
      <c r="A92" s="668"/>
      <c r="B92" s="636"/>
      <c r="D92" s="18"/>
      <c r="E92" s="161"/>
      <c r="F92" s="89" t="s">
        <v>16</v>
      </c>
      <c r="G92" s="80">
        <f>IF(C88=0,0,(C88-C89)/G91)</f>
        <v>0</v>
      </c>
      <c r="H92" s="79" t="s">
        <v>17</v>
      </c>
      <c r="I92" s="569"/>
      <c r="J92" s="551"/>
      <c r="K92" s="551"/>
      <c r="L92" s="551"/>
      <c r="M92" s="551"/>
      <c r="N92" s="551"/>
      <c r="O92" s="374"/>
      <c r="P92" s="551"/>
      <c r="Q92" s="560"/>
      <c r="R92" s="533" t="s">
        <v>16</v>
      </c>
      <c r="S92" s="547">
        <f>IF(C87=0,0,(C88-C89)/S91)</f>
        <v>0</v>
      </c>
      <c r="T92" s="534" t="s">
        <v>17</v>
      </c>
      <c r="U92" s="568"/>
      <c r="V92" s="18"/>
      <c r="W92" s="46" t="s">
        <v>115</v>
      </c>
      <c r="X92" s="282"/>
      <c r="Y92" s="285">
        <f>NPV($M$14,Y91:AM91)</f>
        <v>0</v>
      </c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  <c r="AN92" s="63"/>
      <c r="AO92" s="18"/>
      <c r="AP92" s="18"/>
      <c r="AQ92" s="18"/>
      <c r="AR92" s="63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</row>
    <row r="93" spans="1:66" s="128" customFormat="1" ht="14.95" thickBot="1" x14ac:dyDescent="0.3">
      <c r="A93" s="668"/>
      <c r="B93" s="636"/>
      <c r="D93" s="18"/>
      <c r="E93" s="169"/>
      <c r="F93" s="571" t="s">
        <v>257</v>
      </c>
      <c r="G93" s="170">
        <f>IF($C88=0,0,IF($C89&gt;0.95*$C88,$Y93/($C88-($C88*0.95)+1-$C88*$M$16),$Y93/($C88-$C89-$C88*$M$16)))</f>
        <v>0</v>
      </c>
      <c r="H93" s="171"/>
      <c r="I93" s="172"/>
      <c r="J93" s="551"/>
      <c r="K93" s="551"/>
      <c r="L93" s="204"/>
      <c r="M93" s="589"/>
      <c r="N93" s="575"/>
      <c r="O93" s="565"/>
      <c r="P93" s="551"/>
      <c r="Q93" s="572"/>
      <c r="R93" s="535" t="s">
        <v>257</v>
      </c>
      <c r="S93" s="573">
        <f>IF($C88=0,0,IF($C89&gt;0.95*$C88,$Y92/($C88-($C88*0.95)+1-$C88*$M$16),$Y92/($C88-$C89-$C88*$M$16)))</f>
        <v>0</v>
      </c>
      <c r="T93" s="550"/>
      <c r="U93" s="574"/>
      <c r="V93" s="18"/>
      <c r="W93" s="310" t="s">
        <v>454</v>
      </c>
      <c r="X93" s="310"/>
      <c r="Y93" s="312">
        <f>NPV(M14,AP91:BD91)</f>
        <v>0</v>
      </c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</row>
    <row r="94" spans="1:66" s="128" customFormat="1" x14ac:dyDescent="0.25">
      <c r="A94" s="668"/>
      <c r="B94" s="636"/>
      <c r="D94" s="18"/>
      <c r="E94" s="580"/>
      <c r="F94" s="89"/>
      <c r="G94" s="592"/>
      <c r="H94" s="164"/>
      <c r="I94" s="164"/>
      <c r="J94" s="551"/>
      <c r="K94" s="551"/>
      <c r="L94" s="204"/>
      <c r="M94" s="589"/>
      <c r="N94" s="575"/>
      <c r="O94" s="565"/>
      <c r="P94" s="551"/>
      <c r="Q94" s="576"/>
      <c r="R94" s="576"/>
      <c r="S94" s="576"/>
      <c r="T94" s="576"/>
      <c r="U94" s="576"/>
      <c r="V94" s="18"/>
      <c r="W94" s="18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</row>
    <row r="95" spans="1:66" s="128" customFormat="1" x14ac:dyDescent="0.25">
      <c r="A95" s="668"/>
      <c r="B95" s="636"/>
      <c r="C95" s="9"/>
      <c r="D95" s="18"/>
      <c r="E95" s="580"/>
      <c r="F95" s="89"/>
      <c r="G95" s="551"/>
      <c r="H95" s="551"/>
      <c r="I95" s="164"/>
      <c r="J95" s="551"/>
      <c r="K95" s="551"/>
      <c r="L95" s="204"/>
      <c r="M95" s="589"/>
      <c r="N95" s="575"/>
      <c r="O95" s="565"/>
      <c r="P95" s="551"/>
      <c r="Q95" s="576"/>
      <c r="R95" s="576"/>
      <c r="S95" s="576"/>
      <c r="T95" s="576"/>
      <c r="U95" s="576"/>
      <c r="V95" s="18"/>
      <c r="W95" s="18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</row>
    <row r="96" spans="1:66" ht="19.7" thickBot="1" x14ac:dyDescent="0.4">
      <c r="A96" s="668"/>
      <c r="B96" s="710"/>
      <c r="C96" s="12"/>
      <c r="D96" s="18"/>
      <c r="E96" s="575"/>
      <c r="F96" s="575"/>
      <c r="G96" s="575"/>
      <c r="H96" s="575"/>
      <c r="I96" s="575"/>
      <c r="J96" s="551"/>
      <c r="K96" s="42" t="s">
        <v>113</v>
      </c>
      <c r="L96" s="551"/>
      <c r="M96" s="587"/>
      <c r="N96" s="551"/>
      <c r="O96" s="565"/>
      <c r="P96" s="551"/>
      <c r="Q96" s="576"/>
      <c r="R96" s="576"/>
      <c r="S96" s="576"/>
      <c r="T96" s="576"/>
      <c r="U96" s="576"/>
      <c r="W96" s="23" t="s">
        <v>109</v>
      </c>
      <c r="AK96" s="349" t="s">
        <v>460</v>
      </c>
    </row>
    <row r="97" spans="1:66" s="128" customFormat="1" ht="29.9" customHeight="1" thickBot="1" x14ac:dyDescent="0.35">
      <c r="A97" s="743" t="s">
        <v>297</v>
      </c>
      <c r="B97" s="744" t="str">
        <f>B19</f>
        <v>Replace manual thermostat with programmable/smart thermostat</v>
      </c>
      <c r="C97" s="83" t="s">
        <v>51</v>
      </c>
      <c r="D97" s="18"/>
      <c r="E97" s="805" t="s">
        <v>458</v>
      </c>
      <c r="F97" s="806"/>
      <c r="G97" s="806"/>
      <c r="H97" s="806"/>
      <c r="I97" s="807"/>
      <c r="J97" s="551"/>
      <c r="K97" s="24"/>
      <c r="L97" s="24" t="str">
        <f>A97</f>
        <v>ECM 16</v>
      </c>
      <c r="M97" s="25" t="s">
        <v>246</v>
      </c>
      <c r="N97" s="25" t="s">
        <v>247</v>
      </c>
      <c r="O97" s="375" t="s">
        <v>248</v>
      </c>
      <c r="P97" s="551"/>
      <c r="Q97" s="814" t="s">
        <v>74</v>
      </c>
      <c r="R97" s="815"/>
      <c r="S97" s="815"/>
      <c r="T97" s="815"/>
      <c r="U97" s="816"/>
      <c r="V97" s="18"/>
      <c r="W97" s="28" t="s">
        <v>29</v>
      </c>
      <c r="X97" s="264">
        <v>0</v>
      </c>
      <c r="Y97" s="29">
        <v>1</v>
      </c>
      <c r="Z97" s="29">
        <v>2</v>
      </c>
      <c r="AA97" s="29">
        <v>3</v>
      </c>
      <c r="AB97" s="29">
        <v>4</v>
      </c>
      <c r="AC97" s="29">
        <v>5</v>
      </c>
      <c r="AD97" s="29">
        <v>6</v>
      </c>
      <c r="AE97" s="29">
        <v>7</v>
      </c>
      <c r="AF97" s="29">
        <v>8</v>
      </c>
      <c r="AG97" s="29">
        <v>9</v>
      </c>
      <c r="AH97" s="29">
        <v>10</v>
      </c>
      <c r="AI97" s="29">
        <v>11</v>
      </c>
      <c r="AJ97" s="63"/>
      <c r="AK97" s="264">
        <v>0</v>
      </c>
      <c r="AL97" s="29">
        <v>1</v>
      </c>
      <c r="AM97" s="29">
        <v>2</v>
      </c>
      <c r="AN97" s="29">
        <v>3</v>
      </c>
      <c r="AO97" s="29">
        <v>4</v>
      </c>
      <c r="AP97" s="29">
        <v>5</v>
      </c>
      <c r="AQ97" s="29">
        <v>6</v>
      </c>
      <c r="AR97" s="29">
        <v>7</v>
      </c>
      <c r="AS97" s="29">
        <v>8</v>
      </c>
      <c r="AT97" s="29">
        <v>9</v>
      </c>
      <c r="AU97" s="29">
        <v>10</v>
      </c>
      <c r="AV97" s="29">
        <v>11</v>
      </c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</row>
    <row r="98" spans="1:66" s="128" customFormat="1" x14ac:dyDescent="0.25">
      <c r="A98" s="739"/>
      <c r="B98" s="658" t="s">
        <v>671</v>
      </c>
      <c r="C98" s="435"/>
      <c r="D98" s="18"/>
      <c r="E98" s="552"/>
      <c r="F98" s="84" t="s">
        <v>4</v>
      </c>
      <c r="G98" s="514">
        <f>'Total-Summary'!C24</f>
        <v>0</v>
      </c>
      <c r="H98" s="553" t="s">
        <v>378</v>
      </c>
      <c r="I98" s="554"/>
      <c r="J98" s="42"/>
      <c r="K98" s="31" t="s">
        <v>7</v>
      </c>
      <c r="L98" s="31" t="s">
        <v>276</v>
      </c>
      <c r="M98" s="555">
        <f>IF($C$98*'AVG HVAC impact'!E47&gt;Benchmarking!B$16*0.1,Benchmarking!B$16*0.1,$C$98*'AVG HVAC impact'!E47)</f>
        <v>0</v>
      </c>
      <c r="N98" s="555">
        <f>$C$98*'AVG HVAC impact'!C47</f>
        <v>0</v>
      </c>
      <c r="O98" s="555">
        <f>IF($C$98*'AVG HVAC impact'!F47&gt;(Benchmarking!B20+Benchmarking!B23*0.925+Benchmarking!B26*1.385)*0.1,(Benchmarking!B20+Benchmarking!B23*0.925+Benchmarking!B26*1.385)*0.1,$C$98*'AVG HVAC impact'!F47)</f>
        <v>0</v>
      </c>
      <c r="P98" s="551"/>
      <c r="Q98" s="584"/>
      <c r="R98" s="518" t="s">
        <v>314</v>
      </c>
      <c r="S98" s="546">
        <f>N100</f>
        <v>0</v>
      </c>
      <c r="T98" s="536" t="s">
        <v>378</v>
      </c>
      <c r="U98" s="537"/>
      <c r="V98" s="18"/>
      <c r="W98" s="28" t="s">
        <v>29</v>
      </c>
      <c r="X98" s="264">
        <v>2013</v>
      </c>
      <c r="Y98" s="264">
        <f>X98+1</f>
        <v>2014</v>
      </c>
      <c r="Z98" s="264">
        <f t="shared" ref="Z98:AI98" si="250">Y98+1</f>
        <v>2015</v>
      </c>
      <c r="AA98" s="264">
        <f t="shared" si="250"/>
        <v>2016</v>
      </c>
      <c r="AB98" s="264">
        <f t="shared" si="250"/>
        <v>2017</v>
      </c>
      <c r="AC98" s="264">
        <f t="shared" si="250"/>
        <v>2018</v>
      </c>
      <c r="AD98" s="264">
        <f t="shared" si="250"/>
        <v>2019</v>
      </c>
      <c r="AE98" s="264">
        <f t="shared" si="250"/>
        <v>2020</v>
      </c>
      <c r="AF98" s="264">
        <f t="shared" si="250"/>
        <v>2021</v>
      </c>
      <c r="AG98" s="264">
        <f t="shared" si="250"/>
        <v>2022</v>
      </c>
      <c r="AH98" s="264">
        <f t="shared" si="250"/>
        <v>2023</v>
      </c>
      <c r="AI98" s="264">
        <f t="shared" si="250"/>
        <v>2024</v>
      </c>
      <c r="AJ98" s="63"/>
      <c r="AK98" s="264">
        <v>2013</v>
      </c>
      <c r="AL98" s="264">
        <f>AK98+1</f>
        <v>2014</v>
      </c>
      <c r="AM98" s="264">
        <f t="shared" ref="AM98" si="251">AL98+1</f>
        <v>2015</v>
      </c>
      <c r="AN98" s="264">
        <f t="shared" ref="AN98" si="252">AM98+1</f>
        <v>2016</v>
      </c>
      <c r="AO98" s="264">
        <f t="shared" ref="AO98" si="253">AN98+1</f>
        <v>2017</v>
      </c>
      <c r="AP98" s="264">
        <f t="shared" ref="AP98" si="254">AO98+1</f>
        <v>2018</v>
      </c>
      <c r="AQ98" s="264">
        <f t="shared" ref="AQ98" si="255">AP98+1</f>
        <v>2019</v>
      </c>
      <c r="AR98" s="264">
        <f t="shared" ref="AR98" si="256">AQ98+1</f>
        <v>2020</v>
      </c>
      <c r="AS98" s="264">
        <f t="shared" ref="AS98" si="257">AR98+1</f>
        <v>2021</v>
      </c>
      <c r="AT98" s="264">
        <f t="shared" ref="AT98" si="258">AS98+1</f>
        <v>2022</v>
      </c>
      <c r="AU98" s="264">
        <f t="shared" ref="AU98" si="259">AT98+1</f>
        <v>2023</v>
      </c>
      <c r="AV98" s="264">
        <f t="shared" ref="AV98" si="260">AU98+1</f>
        <v>2024</v>
      </c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</row>
    <row r="99" spans="1:66" s="128" customFormat="1" x14ac:dyDescent="0.25">
      <c r="A99" s="700"/>
      <c r="B99" s="659" t="s">
        <v>235</v>
      </c>
      <c r="C99" s="436"/>
      <c r="D99" s="18"/>
      <c r="E99" s="161"/>
      <c r="F99" s="41" t="s">
        <v>5</v>
      </c>
      <c r="G99" s="514">
        <f>'Total-Summary'!D24</f>
        <v>0</v>
      </c>
      <c r="H99" s="164" t="s">
        <v>12</v>
      </c>
      <c r="I99" s="165"/>
      <c r="J99" s="42"/>
      <c r="K99" s="31" t="s">
        <v>8</v>
      </c>
      <c r="L99" s="31" t="s">
        <v>277</v>
      </c>
      <c r="M99" s="559">
        <v>0</v>
      </c>
      <c r="N99" s="555">
        <v>0</v>
      </c>
      <c r="O99" s="555">
        <v>0</v>
      </c>
      <c r="P99" s="551"/>
      <c r="Q99" s="560"/>
      <c r="R99" s="518" t="s">
        <v>5</v>
      </c>
      <c r="S99" s="590">
        <f>M100</f>
        <v>0</v>
      </c>
      <c r="T99" s="534" t="s">
        <v>6</v>
      </c>
      <c r="U99" s="537"/>
      <c r="V99" s="18"/>
      <c r="W99" s="70" t="s">
        <v>30</v>
      </c>
      <c r="X99" s="60">
        <v>0</v>
      </c>
      <c r="Y99" s="286">
        <f>S102</f>
        <v>0</v>
      </c>
      <c r="Z99" s="60">
        <f t="shared" ref="Z99:AI99" si="261">Y99*(1+$M15)</f>
        <v>0</v>
      </c>
      <c r="AA99" s="60">
        <f t="shared" si="261"/>
        <v>0</v>
      </c>
      <c r="AB99" s="60">
        <f t="shared" si="261"/>
        <v>0</v>
      </c>
      <c r="AC99" s="60">
        <f t="shared" si="261"/>
        <v>0</v>
      </c>
      <c r="AD99" s="60">
        <f t="shared" si="261"/>
        <v>0</v>
      </c>
      <c r="AE99" s="60">
        <f t="shared" si="261"/>
        <v>0</v>
      </c>
      <c r="AF99" s="60">
        <f t="shared" si="261"/>
        <v>0</v>
      </c>
      <c r="AG99" s="60">
        <f t="shared" si="261"/>
        <v>0</v>
      </c>
      <c r="AH99" s="60">
        <f t="shared" si="261"/>
        <v>0</v>
      </c>
      <c r="AI99" s="60">
        <f t="shared" si="261"/>
        <v>0</v>
      </c>
      <c r="AJ99" s="63"/>
      <c r="AK99" s="60">
        <v>0</v>
      </c>
      <c r="AL99" s="286">
        <f>'Total-Summary'!H24</f>
        <v>0</v>
      </c>
      <c r="AM99" s="60">
        <f t="shared" ref="AM99:AV99" si="262">AL99*(1+$M15)</f>
        <v>0</v>
      </c>
      <c r="AN99" s="60">
        <f t="shared" si="262"/>
        <v>0</v>
      </c>
      <c r="AO99" s="60">
        <f t="shared" si="262"/>
        <v>0</v>
      </c>
      <c r="AP99" s="60">
        <f t="shared" si="262"/>
        <v>0</v>
      </c>
      <c r="AQ99" s="60">
        <f t="shared" si="262"/>
        <v>0</v>
      </c>
      <c r="AR99" s="60">
        <f t="shared" si="262"/>
        <v>0</v>
      </c>
      <c r="AS99" s="60">
        <f t="shared" si="262"/>
        <v>0</v>
      </c>
      <c r="AT99" s="60">
        <f t="shared" si="262"/>
        <v>0</v>
      </c>
      <c r="AU99" s="60">
        <f t="shared" si="262"/>
        <v>0</v>
      </c>
      <c r="AV99" s="60">
        <f t="shared" si="262"/>
        <v>0</v>
      </c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</row>
    <row r="100" spans="1:66" s="128" customFormat="1" ht="14.95" thickBot="1" x14ac:dyDescent="0.3">
      <c r="A100" s="701"/>
      <c r="B100" s="663" t="s">
        <v>236</v>
      </c>
      <c r="C100" s="437"/>
      <c r="D100" s="18"/>
      <c r="E100" s="161"/>
      <c r="F100" s="162" t="s">
        <v>5</v>
      </c>
      <c r="G100" s="514">
        <f>'Total-Summary'!E24</f>
        <v>0</v>
      </c>
      <c r="H100" s="164" t="s">
        <v>379</v>
      </c>
      <c r="I100" s="165"/>
      <c r="J100" s="42"/>
      <c r="K100" s="35"/>
      <c r="L100" s="35" t="s">
        <v>2</v>
      </c>
      <c r="M100" s="562">
        <f>M98-M99</f>
        <v>0</v>
      </c>
      <c r="N100" s="562">
        <f>N98-N99</f>
        <v>0</v>
      </c>
      <c r="O100" s="562">
        <f>O98-O99</f>
        <v>0</v>
      </c>
      <c r="P100" s="551"/>
      <c r="Q100" s="566"/>
      <c r="R100" s="518" t="s">
        <v>5</v>
      </c>
      <c r="S100" s="547">
        <f>IF(Benchmarking!B$20=0,0,O100)</f>
        <v>0</v>
      </c>
      <c r="T100" s="534" t="s">
        <v>379</v>
      </c>
      <c r="U100" s="537"/>
      <c r="V100" s="18"/>
      <c r="W100" s="28" t="s">
        <v>31</v>
      </c>
      <c r="X100" s="264"/>
      <c r="Y100" s="286">
        <f>IF(C98=0,0,$M$17*$C99)</f>
        <v>0</v>
      </c>
      <c r="Z100" s="60">
        <f t="shared" ref="Z100:AI100" si="263">Y100*(1+$M$13)</f>
        <v>0</v>
      </c>
      <c r="AA100" s="60">
        <f t="shared" si="263"/>
        <v>0</v>
      </c>
      <c r="AB100" s="60">
        <f t="shared" si="263"/>
        <v>0</v>
      </c>
      <c r="AC100" s="60">
        <f t="shared" si="263"/>
        <v>0</v>
      </c>
      <c r="AD100" s="60">
        <f t="shared" si="263"/>
        <v>0</v>
      </c>
      <c r="AE100" s="60">
        <f t="shared" si="263"/>
        <v>0</v>
      </c>
      <c r="AF100" s="60">
        <f t="shared" si="263"/>
        <v>0</v>
      </c>
      <c r="AG100" s="60">
        <f t="shared" si="263"/>
        <v>0</v>
      </c>
      <c r="AH100" s="60">
        <f t="shared" si="263"/>
        <v>0</v>
      </c>
      <c r="AI100" s="60">
        <f t="shared" si="263"/>
        <v>0</v>
      </c>
      <c r="AJ100" s="63"/>
      <c r="AK100" s="63"/>
      <c r="AL100" s="65"/>
      <c r="AM100" s="65"/>
      <c r="AN100" s="65"/>
      <c r="AO100" s="63"/>
      <c r="AP100" s="63"/>
      <c r="AQ100" s="63"/>
      <c r="AR100" s="63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</row>
    <row r="101" spans="1:66" s="128" customFormat="1" x14ac:dyDescent="0.25">
      <c r="A101" s="668"/>
      <c r="B101" s="672"/>
      <c r="C101" s="9"/>
      <c r="D101" s="74"/>
      <c r="E101" s="168"/>
      <c r="F101" s="166" t="s">
        <v>14</v>
      </c>
      <c r="G101" s="547">
        <f>IF('Total-Summary'!F24&lt;&gt;0,'Total-Summary'!F24,'Total-Summary'!G24)</f>
        <v>0</v>
      </c>
      <c r="H101" s="164" t="s">
        <v>48</v>
      </c>
      <c r="I101" s="167" t="str">
        <f>IF(Benchmarking!$E$25=0,"Fuel Oil","Propane")</f>
        <v>Fuel Oil</v>
      </c>
      <c r="J101" s="588"/>
      <c r="K101" s="551"/>
      <c r="L101" s="551"/>
      <c r="M101" s="551"/>
      <c r="N101" s="551"/>
      <c r="O101" s="551"/>
      <c r="P101" s="551"/>
      <c r="Q101" s="560"/>
      <c r="R101" s="518" t="s">
        <v>14</v>
      </c>
      <c r="S101" s="547">
        <f>IF(Benchmarking!E$24&gt;0,0,IF(Benchmarking!E$25&gt;0,O100/0.925,O100/1.385))</f>
        <v>0</v>
      </c>
      <c r="T101" s="534" t="s">
        <v>48</v>
      </c>
      <c r="U101" s="537" t="str">
        <f>IF(Benchmarking!E$24&gt;0,"NA",IF(Benchmarking!E$25&gt;0,"Propane","Fuel Oil"))</f>
        <v>Fuel Oil</v>
      </c>
      <c r="V101" s="18"/>
      <c r="W101" s="28" t="s">
        <v>32</v>
      </c>
      <c r="X101" s="264"/>
      <c r="Y101" s="260">
        <v>0</v>
      </c>
      <c r="Z101" s="260">
        <v>0</v>
      </c>
      <c r="AA101" s="260">
        <v>0</v>
      </c>
      <c r="AB101" s="260">
        <v>0</v>
      </c>
      <c r="AC101" s="260">
        <v>0</v>
      </c>
      <c r="AD101" s="260">
        <v>0</v>
      </c>
      <c r="AE101" s="260">
        <v>0</v>
      </c>
      <c r="AF101" s="260">
        <v>0</v>
      </c>
      <c r="AG101" s="260">
        <v>0</v>
      </c>
      <c r="AH101" s="260">
        <v>0</v>
      </c>
      <c r="AI101" s="260">
        <v>0</v>
      </c>
      <c r="AJ101" s="63"/>
      <c r="AK101" s="63"/>
      <c r="AL101" s="289"/>
      <c r="AM101" s="289"/>
      <c r="AN101" s="289"/>
      <c r="AO101" s="63"/>
      <c r="AP101" s="63"/>
      <c r="AQ101" s="63"/>
      <c r="AR101" s="63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</row>
    <row r="102" spans="1:66" s="128" customFormat="1" x14ac:dyDescent="0.25">
      <c r="A102" s="668"/>
      <c r="B102" s="710"/>
      <c r="C102" s="12"/>
      <c r="D102" s="18"/>
      <c r="E102" s="168"/>
      <c r="F102" s="89" t="s">
        <v>14</v>
      </c>
      <c r="G102" s="155">
        <f>'Total-Summary'!H24</f>
        <v>0</v>
      </c>
      <c r="H102" s="79" t="s">
        <v>15</v>
      </c>
      <c r="I102" s="165"/>
      <c r="J102" s="551"/>
      <c r="K102" s="551"/>
      <c r="L102" s="204"/>
      <c r="M102" s="589"/>
      <c r="N102" s="575"/>
      <c r="O102" s="551"/>
      <c r="P102" s="551"/>
      <c r="Q102" s="560"/>
      <c r="R102" s="533" t="s">
        <v>14</v>
      </c>
      <c r="S102" s="544">
        <f>IF(S99=0,0,S99*(0.8*Benchmarking!E$23)+Benchmarking!E$24*S100+IF(Benchmarking!B$26&gt;0,Benchmarking!E$26*S101,Benchmarking!E$25*S101))</f>
        <v>0</v>
      </c>
      <c r="T102" s="534" t="s">
        <v>15</v>
      </c>
      <c r="U102" s="568"/>
      <c r="V102" s="18"/>
      <c r="W102" s="28" t="s">
        <v>33</v>
      </c>
      <c r="X102" s="283"/>
      <c r="Y102" s="287">
        <f t="shared" ref="Y102:AI102" si="264">Y99+Y100-Y101</f>
        <v>0</v>
      </c>
      <c r="Z102" s="61">
        <f t="shared" si="264"/>
        <v>0</v>
      </c>
      <c r="AA102" s="61">
        <f t="shared" si="264"/>
        <v>0</v>
      </c>
      <c r="AB102" s="61">
        <f t="shared" si="264"/>
        <v>0</v>
      </c>
      <c r="AC102" s="61">
        <f t="shared" si="264"/>
        <v>0</v>
      </c>
      <c r="AD102" s="61">
        <f t="shared" si="264"/>
        <v>0</v>
      </c>
      <c r="AE102" s="61">
        <f t="shared" si="264"/>
        <v>0</v>
      </c>
      <c r="AF102" s="61">
        <f t="shared" si="264"/>
        <v>0</v>
      </c>
      <c r="AG102" s="61">
        <f t="shared" si="264"/>
        <v>0</v>
      </c>
      <c r="AH102" s="61">
        <f t="shared" si="264"/>
        <v>0</v>
      </c>
      <c r="AI102" s="61">
        <f t="shared" si="264"/>
        <v>0</v>
      </c>
      <c r="AJ102" s="63"/>
      <c r="AK102" s="63" t="s">
        <v>461</v>
      </c>
      <c r="AL102" s="66">
        <f>AL99+Y100-Y101</f>
        <v>0</v>
      </c>
      <c r="AM102" s="66">
        <f t="shared" ref="AM102:AV102" si="265">AM99+Z100-Z101</f>
        <v>0</v>
      </c>
      <c r="AN102" s="66">
        <f t="shared" si="265"/>
        <v>0</v>
      </c>
      <c r="AO102" s="66">
        <f t="shared" si="265"/>
        <v>0</v>
      </c>
      <c r="AP102" s="66">
        <f t="shared" si="265"/>
        <v>0</v>
      </c>
      <c r="AQ102" s="66">
        <f t="shared" si="265"/>
        <v>0</v>
      </c>
      <c r="AR102" s="66">
        <f t="shared" si="265"/>
        <v>0</v>
      </c>
      <c r="AS102" s="66">
        <f t="shared" si="265"/>
        <v>0</v>
      </c>
      <c r="AT102" s="66">
        <f t="shared" si="265"/>
        <v>0</v>
      </c>
      <c r="AU102" s="66">
        <f t="shared" si="265"/>
        <v>0</v>
      </c>
      <c r="AV102" s="66">
        <f t="shared" si="265"/>
        <v>0</v>
      </c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</row>
    <row r="103" spans="1:66" s="128" customFormat="1" x14ac:dyDescent="0.25">
      <c r="A103" s="668"/>
      <c r="B103" s="710"/>
      <c r="C103" s="12"/>
      <c r="D103" s="18"/>
      <c r="E103" s="161"/>
      <c r="F103" s="89" t="s">
        <v>16</v>
      </c>
      <c r="G103" s="80">
        <f>IF(C99=0,0,(C99-C100)/G102)</f>
        <v>0</v>
      </c>
      <c r="H103" s="79" t="s">
        <v>17</v>
      </c>
      <c r="I103" s="569"/>
      <c r="J103" s="551"/>
      <c r="K103" s="551"/>
      <c r="L103" s="204"/>
      <c r="M103" s="587"/>
      <c r="N103" s="551"/>
      <c r="O103" s="551"/>
      <c r="P103" s="551"/>
      <c r="Q103" s="560"/>
      <c r="R103" s="533" t="s">
        <v>16</v>
      </c>
      <c r="S103" s="534">
        <f>IF(C98=0,0,(C99-C100)/S102)</f>
        <v>0</v>
      </c>
      <c r="T103" s="534" t="s">
        <v>17</v>
      </c>
      <c r="U103" s="568"/>
      <c r="V103" s="18"/>
      <c r="W103" s="46" t="s">
        <v>115</v>
      </c>
      <c r="X103" s="282"/>
      <c r="Y103" s="285">
        <f>NPV($M$14,Y102:AI102)</f>
        <v>0</v>
      </c>
      <c r="Z103" s="282"/>
      <c r="AA103" s="282"/>
      <c r="AB103" s="282"/>
      <c r="AC103" s="282"/>
      <c r="AD103" s="282"/>
      <c r="AE103" s="282"/>
      <c r="AF103" s="282"/>
      <c r="AG103" s="282"/>
      <c r="AH103" s="282"/>
      <c r="AI103" s="282"/>
      <c r="AJ103" s="63"/>
      <c r="AK103" s="18"/>
      <c r="AL103" s="18"/>
      <c r="AM103" s="18"/>
      <c r="AN103" s="63"/>
      <c r="AO103" s="63"/>
      <c r="AP103" s="63"/>
      <c r="AQ103" s="63"/>
      <c r="AR103" s="63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</row>
    <row r="104" spans="1:66" ht="14.95" thickBot="1" x14ac:dyDescent="0.3">
      <c r="A104" s="668"/>
      <c r="B104" s="636"/>
      <c r="E104" s="169"/>
      <c r="F104" s="571" t="s">
        <v>257</v>
      </c>
      <c r="G104" s="170">
        <f>IF($C99=0,0,IF($C100&gt;0.95*$C99,$Y104/($C99-($C99*0.95)+1-$C99*$M$16),$Y104/($C99-$C100-$C99*$M$16)))</f>
        <v>0</v>
      </c>
      <c r="H104" s="171"/>
      <c r="I104" s="172"/>
      <c r="J104" s="551"/>
      <c r="K104" s="551"/>
      <c r="L104" s="551"/>
      <c r="M104" s="551"/>
      <c r="N104" s="551"/>
      <c r="O104" s="551"/>
      <c r="P104" s="551"/>
      <c r="Q104" s="593"/>
      <c r="R104" s="535" t="s">
        <v>257</v>
      </c>
      <c r="S104" s="573">
        <f>IF($C99=0,0,IF($C100&gt;0.95*$C99,$Y103/($C99-($C99*0.95)+1-$C99*$M$16),$Y103/($C99-$C100-$C99*$M$16)))</f>
        <v>0</v>
      </c>
      <c r="T104" s="550"/>
      <c r="U104" s="574"/>
      <c r="W104" s="310" t="s">
        <v>454</v>
      </c>
      <c r="X104" s="310"/>
      <c r="Y104" s="312">
        <f>NPV(M14,AL102:AV102)</f>
        <v>0</v>
      </c>
    </row>
    <row r="105" spans="1:66" s="128" customFormat="1" x14ac:dyDescent="0.25">
      <c r="A105" s="668"/>
      <c r="B105" s="636"/>
      <c r="C105" s="9"/>
      <c r="D105" s="74"/>
      <c r="E105" s="594"/>
      <c r="F105" s="89"/>
      <c r="G105" s="592"/>
      <c r="H105" s="164"/>
      <c r="I105" s="164"/>
      <c r="J105" s="551"/>
      <c r="K105" s="551"/>
      <c r="L105" s="551"/>
      <c r="M105" s="551"/>
      <c r="N105" s="551"/>
      <c r="O105" s="551"/>
      <c r="P105" s="551"/>
      <c r="Q105" s="576"/>
      <c r="R105" s="576"/>
      <c r="S105" s="576"/>
      <c r="T105" s="576"/>
      <c r="U105" s="576"/>
      <c r="V105" s="18"/>
      <c r="W105" s="18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</row>
    <row r="106" spans="1:66" s="128" customFormat="1" x14ac:dyDescent="0.25">
      <c r="A106" s="668"/>
      <c r="B106" s="636"/>
      <c r="C106" s="9"/>
      <c r="D106" s="74"/>
      <c r="E106" s="594"/>
      <c r="F106" s="89"/>
      <c r="G106" s="592"/>
      <c r="H106" s="164"/>
      <c r="I106" s="164"/>
      <c r="J106" s="551"/>
      <c r="K106" s="551"/>
      <c r="L106" s="551"/>
      <c r="M106" s="551"/>
      <c r="N106" s="551"/>
      <c r="O106" s="551"/>
      <c r="P106" s="551"/>
      <c r="Q106" s="576"/>
      <c r="R106" s="576"/>
      <c r="S106" s="576"/>
      <c r="T106" s="576"/>
      <c r="U106" s="576"/>
      <c r="V106" s="18"/>
      <c r="W106" s="18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</row>
    <row r="107" spans="1:66" s="128" customFormat="1" ht="19.7" thickBot="1" x14ac:dyDescent="0.4">
      <c r="A107" s="668"/>
      <c r="B107" s="636"/>
      <c r="C107" s="9"/>
      <c r="D107" s="18"/>
      <c r="E107" s="575"/>
      <c r="F107" s="575"/>
      <c r="G107" s="575"/>
      <c r="H107" s="575"/>
      <c r="I107" s="551"/>
      <c r="J107" s="551"/>
      <c r="K107" s="42" t="s">
        <v>113</v>
      </c>
      <c r="L107" s="551"/>
      <c r="M107" s="551"/>
      <c r="N107" s="551"/>
      <c r="O107" s="551"/>
      <c r="P107" s="551"/>
      <c r="Q107" s="576"/>
      <c r="R107" s="576"/>
      <c r="S107" s="576"/>
      <c r="T107" s="576"/>
      <c r="U107" s="576"/>
      <c r="V107" s="18"/>
      <c r="W107" s="23" t="s">
        <v>107</v>
      </c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349" t="s">
        <v>460</v>
      </c>
      <c r="AP107" s="63"/>
      <c r="AQ107" s="63"/>
      <c r="AR107" s="63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</row>
    <row r="108" spans="1:66" s="128" customFormat="1" ht="29.9" customHeight="1" thickBot="1" x14ac:dyDescent="0.35">
      <c r="A108" s="743" t="s">
        <v>298</v>
      </c>
      <c r="B108" s="654" t="str">
        <f>B20</f>
        <v>Replace old motor with premium efficiency motor</v>
      </c>
      <c r="C108" s="83" t="s">
        <v>51</v>
      </c>
      <c r="D108" s="18"/>
      <c r="E108" s="805" t="s">
        <v>458</v>
      </c>
      <c r="F108" s="806"/>
      <c r="G108" s="806"/>
      <c r="H108" s="806"/>
      <c r="I108" s="807"/>
      <c r="J108" s="551"/>
      <c r="K108" s="24"/>
      <c r="L108" s="24" t="str">
        <f>A108</f>
        <v>ECM 17</v>
      </c>
      <c r="M108" s="25" t="s">
        <v>246</v>
      </c>
      <c r="N108" s="25" t="s">
        <v>247</v>
      </c>
      <c r="O108" s="25" t="s">
        <v>248</v>
      </c>
      <c r="P108" s="551"/>
      <c r="Q108" s="814" t="s">
        <v>74</v>
      </c>
      <c r="R108" s="815"/>
      <c r="S108" s="815"/>
      <c r="T108" s="815"/>
      <c r="U108" s="816"/>
      <c r="V108" s="18"/>
      <c r="W108" s="28" t="s">
        <v>29</v>
      </c>
      <c r="X108" s="264">
        <v>0</v>
      </c>
      <c r="Y108" s="29">
        <v>1</v>
      </c>
      <c r="Z108" s="29">
        <v>2</v>
      </c>
      <c r="AA108" s="29">
        <v>3</v>
      </c>
      <c r="AB108" s="29">
        <v>4</v>
      </c>
      <c r="AC108" s="29">
        <v>5</v>
      </c>
      <c r="AD108" s="29">
        <v>6</v>
      </c>
      <c r="AE108" s="29">
        <v>7</v>
      </c>
      <c r="AF108" s="29">
        <v>8</v>
      </c>
      <c r="AG108" s="29">
        <v>9</v>
      </c>
      <c r="AH108" s="29">
        <v>10</v>
      </c>
      <c r="AI108" s="29">
        <v>11</v>
      </c>
      <c r="AJ108" s="29">
        <v>12</v>
      </c>
      <c r="AK108" s="29">
        <v>13</v>
      </c>
      <c r="AL108" s="29">
        <v>14</v>
      </c>
      <c r="AM108" s="29">
        <v>15</v>
      </c>
      <c r="AN108" s="63"/>
      <c r="AO108" s="264">
        <v>0</v>
      </c>
      <c r="AP108" s="29">
        <v>1</v>
      </c>
      <c r="AQ108" s="29">
        <v>2</v>
      </c>
      <c r="AR108" s="29">
        <v>3</v>
      </c>
      <c r="AS108" s="29">
        <v>4</v>
      </c>
      <c r="AT108" s="29">
        <v>5</v>
      </c>
      <c r="AU108" s="29">
        <v>6</v>
      </c>
      <c r="AV108" s="29">
        <v>7</v>
      </c>
      <c r="AW108" s="29">
        <v>8</v>
      </c>
      <c r="AX108" s="29">
        <v>9</v>
      </c>
      <c r="AY108" s="29">
        <v>10</v>
      </c>
      <c r="AZ108" s="29">
        <v>11</v>
      </c>
      <c r="BA108" s="29">
        <v>12</v>
      </c>
      <c r="BB108" s="29">
        <v>13</v>
      </c>
      <c r="BC108" s="29">
        <v>14</v>
      </c>
      <c r="BD108" s="29">
        <v>15</v>
      </c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</row>
    <row r="109" spans="1:66" s="128" customFormat="1" x14ac:dyDescent="0.25">
      <c r="A109" s="657"/>
      <c r="B109" s="658" t="s">
        <v>394</v>
      </c>
      <c r="C109" s="438"/>
      <c r="D109" s="18"/>
      <c r="E109" s="552"/>
      <c r="F109" s="84" t="s">
        <v>4</v>
      </c>
      <c r="G109" s="514">
        <f>'Total-Summary'!C25</f>
        <v>0</v>
      </c>
      <c r="H109" s="553" t="s">
        <v>378</v>
      </c>
      <c r="I109" s="554"/>
      <c r="J109" s="551"/>
      <c r="K109" s="31" t="s">
        <v>7</v>
      </c>
      <c r="L109" s="31" t="s">
        <v>274</v>
      </c>
      <c r="M109" s="559">
        <f>($C$109*'AVG HVAC impact'!B$45)</f>
        <v>0</v>
      </c>
      <c r="N109" s="556">
        <f>($C$109*'AVG HVAC impact'!C$45)</f>
        <v>0</v>
      </c>
      <c r="O109" s="555">
        <f>($C$109*'AVG HVAC impact'!D$45)</f>
        <v>0</v>
      </c>
      <c r="P109" s="551"/>
      <c r="Q109" s="595"/>
      <c r="R109" s="513" t="s">
        <v>314</v>
      </c>
      <c r="S109" s="545">
        <f>N111</f>
        <v>0</v>
      </c>
      <c r="T109" s="536" t="s">
        <v>378</v>
      </c>
      <c r="U109" s="583"/>
      <c r="V109" s="18"/>
      <c r="W109" s="28" t="s">
        <v>29</v>
      </c>
      <c r="X109" s="264">
        <v>2013</v>
      </c>
      <c r="Y109" s="264">
        <f>X109+1</f>
        <v>2014</v>
      </c>
      <c r="Z109" s="264">
        <f t="shared" ref="Z109:AM109" si="266">Y109+1</f>
        <v>2015</v>
      </c>
      <c r="AA109" s="264">
        <f t="shared" si="266"/>
        <v>2016</v>
      </c>
      <c r="AB109" s="264">
        <f t="shared" si="266"/>
        <v>2017</v>
      </c>
      <c r="AC109" s="264">
        <f t="shared" si="266"/>
        <v>2018</v>
      </c>
      <c r="AD109" s="264">
        <f t="shared" si="266"/>
        <v>2019</v>
      </c>
      <c r="AE109" s="264">
        <f t="shared" si="266"/>
        <v>2020</v>
      </c>
      <c r="AF109" s="264">
        <f t="shared" si="266"/>
        <v>2021</v>
      </c>
      <c r="AG109" s="264">
        <f t="shared" si="266"/>
        <v>2022</v>
      </c>
      <c r="AH109" s="264">
        <f t="shared" si="266"/>
        <v>2023</v>
      </c>
      <c r="AI109" s="264">
        <f t="shared" si="266"/>
        <v>2024</v>
      </c>
      <c r="AJ109" s="264">
        <f t="shared" si="266"/>
        <v>2025</v>
      </c>
      <c r="AK109" s="264">
        <f t="shared" si="266"/>
        <v>2026</v>
      </c>
      <c r="AL109" s="264">
        <f t="shared" si="266"/>
        <v>2027</v>
      </c>
      <c r="AM109" s="264">
        <f t="shared" si="266"/>
        <v>2028</v>
      </c>
      <c r="AN109" s="63"/>
      <c r="AO109" s="264">
        <v>2013</v>
      </c>
      <c r="AP109" s="264">
        <f>AO109+1</f>
        <v>2014</v>
      </c>
      <c r="AQ109" s="264">
        <f t="shared" ref="AQ109" si="267">AP109+1</f>
        <v>2015</v>
      </c>
      <c r="AR109" s="264">
        <f t="shared" ref="AR109" si="268">AQ109+1</f>
        <v>2016</v>
      </c>
      <c r="AS109" s="264">
        <f t="shared" ref="AS109" si="269">AR109+1</f>
        <v>2017</v>
      </c>
      <c r="AT109" s="264">
        <f t="shared" ref="AT109" si="270">AS109+1</f>
        <v>2018</v>
      </c>
      <c r="AU109" s="264">
        <f t="shared" ref="AU109" si="271">AT109+1</f>
        <v>2019</v>
      </c>
      <c r="AV109" s="264">
        <f t="shared" ref="AV109" si="272">AU109+1</f>
        <v>2020</v>
      </c>
      <c r="AW109" s="264">
        <f t="shared" ref="AW109" si="273">AV109+1</f>
        <v>2021</v>
      </c>
      <c r="AX109" s="264">
        <f t="shared" ref="AX109" si="274">AW109+1</f>
        <v>2022</v>
      </c>
      <c r="AY109" s="264">
        <f t="shared" ref="AY109" si="275">AX109+1</f>
        <v>2023</v>
      </c>
      <c r="AZ109" s="264">
        <f t="shared" ref="AZ109" si="276">AY109+1</f>
        <v>2024</v>
      </c>
      <c r="BA109" s="264">
        <f t="shared" ref="BA109" si="277">AZ109+1</f>
        <v>2025</v>
      </c>
      <c r="BB109" s="264">
        <f t="shared" ref="BB109" si="278">BA109+1</f>
        <v>2026</v>
      </c>
      <c r="BC109" s="264">
        <f t="shared" ref="BC109" si="279">BB109+1</f>
        <v>2027</v>
      </c>
      <c r="BD109" s="264">
        <f t="shared" ref="BD109" si="280">BC109+1</f>
        <v>2028</v>
      </c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</row>
    <row r="110" spans="1:66" s="128" customFormat="1" x14ac:dyDescent="0.25">
      <c r="A110" s="700"/>
      <c r="B110" s="659" t="s">
        <v>235</v>
      </c>
      <c r="C110" s="439"/>
      <c r="D110" s="18"/>
      <c r="E110" s="161"/>
      <c r="F110" s="41" t="s">
        <v>5</v>
      </c>
      <c r="G110" s="514">
        <f>'Total-Summary'!D25</f>
        <v>0</v>
      </c>
      <c r="H110" s="164" t="s">
        <v>12</v>
      </c>
      <c r="I110" s="165"/>
      <c r="J110" s="551"/>
      <c r="K110" s="31" t="s">
        <v>8</v>
      </c>
      <c r="L110" s="596" t="s">
        <v>275</v>
      </c>
      <c r="M110" s="559">
        <v>0</v>
      </c>
      <c r="N110" s="556">
        <v>0</v>
      </c>
      <c r="O110" s="556">
        <v>0</v>
      </c>
      <c r="P110" s="551"/>
      <c r="Q110" s="566"/>
      <c r="R110" s="518" t="s">
        <v>5</v>
      </c>
      <c r="S110" s="514">
        <f>M111</f>
        <v>0</v>
      </c>
      <c r="T110" s="534" t="s">
        <v>6</v>
      </c>
      <c r="U110" s="568"/>
      <c r="V110" s="18"/>
      <c r="W110" s="70" t="s">
        <v>30</v>
      </c>
      <c r="X110" s="60"/>
      <c r="Y110" s="60">
        <f>S113</f>
        <v>0</v>
      </c>
      <c r="Z110" s="60">
        <f t="shared" ref="Z110:AM110" si="281">Y110*(1+$M$15)</f>
        <v>0</v>
      </c>
      <c r="AA110" s="60">
        <f t="shared" si="281"/>
        <v>0</v>
      </c>
      <c r="AB110" s="60">
        <f t="shared" si="281"/>
        <v>0</v>
      </c>
      <c r="AC110" s="60">
        <f t="shared" si="281"/>
        <v>0</v>
      </c>
      <c r="AD110" s="60">
        <f t="shared" si="281"/>
        <v>0</v>
      </c>
      <c r="AE110" s="60">
        <f t="shared" si="281"/>
        <v>0</v>
      </c>
      <c r="AF110" s="60">
        <f t="shared" si="281"/>
        <v>0</v>
      </c>
      <c r="AG110" s="60">
        <f t="shared" si="281"/>
        <v>0</v>
      </c>
      <c r="AH110" s="60">
        <f t="shared" si="281"/>
        <v>0</v>
      </c>
      <c r="AI110" s="60">
        <f t="shared" si="281"/>
        <v>0</v>
      </c>
      <c r="AJ110" s="60">
        <f t="shared" si="281"/>
        <v>0</v>
      </c>
      <c r="AK110" s="60">
        <f t="shared" si="281"/>
        <v>0</v>
      </c>
      <c r="AL110" s="60">
        <f t="shared" si="281"/>
        <v>0</v>
      </c>
      <c r="AM110" s="60">
        <f t="shared" si="281"/>
        <v>0</v>
      </c>
      <c r="AN110" s="63"/>
      <c r="AO110" s="60"/>
      <c r="AP110" s="60">
        <f>'Total-Summary'!H25</f>
        <v>0</v>
      </c>
      <c r="AQ110" s="60">
        <f t="shared" ref="AQ110" si="282">AP110*(1+$M$15)</f>
        <v>0</v>
      </c>
      <c r="AR110" s="60">
        <f t="shared" ref="AR110" si="283">AQ110*(1+$M$15)</f>
        <v>0</v>
      </c>
      <c r="AS110" s="60">
        <f t="shared" ref="AS110" si="284">AR110*(1+$M$15)</f>
        <v>0</v>
      </c>
      <c r="AT110" s="60">
        <f t="shared" ref="AT110" si="285">AS110*(1+$M$15)</f>
        <v>0</v>
      </c>
      <c r="AU110" s="60">
        <f t="shared" ref="AU110" si="286">AT110*(1+$M$15)</f>
        <v>0</v>
      </c>
      <c r="AV110" s="60">
        <f t="shared" ref="AV110" si="287">AU110*(1+$M$15)</f>
        <v>0</v>
      </c>
      <c r="AW110" s="60">
        <f t="shared" ref="AW110" si="288">AV110*(1+$M$15)</f>
        <v>0</v>
      </c>
      <c r="AX110" s="60">
        <f t="shared" ref="AX110" si="289">AW110*(1+$M$15)</f>
        <v>0</v>
      </c>
      <c r="AY110" s="60">
        <f t="shared" ref="AY110" si="290">AX110*(1+$M$15)</f>
        <v>0</v>
      </c>
      <c r="AZ110" s="60">
        <f t="shared" ref="AZ110" si="291">AY110*(1+$M$15)</f>
        <v>0</v>
      </c>
      <c r="BA110" s="60">
        <f t="shared" ref="BA110" si="292">AZ110*(1+$M$15)</f>
        <v>0</v>
      </c>
      <c r="BB110" s="60">
        <f t="shared" ref="BB110" si="293">BA110*(1+$M$15)</f>
        <v>0</v>
      </c>
      <c r="BC110" s="60">
        <f t="shared" ref="BC110" si="294">BB110*(1+$M$15)</f>
        <v>0</v>
      </c>
      <c r="BD110" s="60">
        <f t="shared" ref="BD110" si="295">BC110*(1+$M$15)</f>
        <v>0</v>
      </c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</row>
    <row r="111" spans="1:66" s="128" customFormat="1" ht="14.95" thickBot="1" x14ac:dyDescent="0.3">
      <c r="A111" s="701"/>
      <c r="B111" s="663" t="s">
        <v>236</v>
      </c>
      <c r="C111" s="440"/>
      <c r="D111" s="18"/>
      <c r="E111" s="161"/>
      <c r="F111" s="162" t="s">
        <v>5</v>
      </c>
      <c r="G111" s="514">
        <f>'Total-Summary'!E25</f>
        <v>0</v>
      </c>
      <c r="H111" s="164" t="s">
        <v>379</v>
      </c>
      <c r="I111" s="165"/>
      <c r="J111" s="551"/>
      <c r="K111" s="35"/>
      <c r="L111" s="35" t="s">
        <v>2</v>
      </c>
      <c r="M111" s="563">
        <f t="shared" ref="M111:N111" si="296">M109-M110</f>
        <v>0</v>
      </c>
      <c r="N111" s="563">
        <f t="shared" si="296"/>
        <v>0</v>
      </c>
      <c r="O111" s="562">
        <f>O109-O110</f>
        <v>0</v>
      </c>
      <c r="P111" s="551"/>
      <c r="Q111" s="560"/>
      <c r="R111" s="533" t="s">
        <v>5</v>
      </c>
      <c r="S111" s="547">
        <f>IF(Benchmarking!B$20=0,0,O111)</f>
        <v>0</v>
      </c>
      <c r="T111" s="534" t="s">
        <v>379</v>
      </c>
      <c r="U111" s="538"/>
      <c r="V111" s="18"/>
      <c r="W111" s="28" t="s">
        <v>31</v>
      </c>
      <c r="X111" s="264"/>
      <c r="Y111" s="286">
        <f>IF(C109=0,0,$M$17*$C110)</f>
        <v>0</v>
      </c>
      <c r="Z111" s="60">
        <f t="shared" ref="Z111:AM111" si="297">Y111*(1+$M$13)</f>
        <v>0</v>
      </c>
      <c r="AA111" s="60">
        <f t="shared" si="297"/>
        <v>0</v>
      </c>
      <c r="AB111" s="60">
        <f t="shared" si="297"/>
        <v>0</v>
      </c>
      <c r="AC111" s="60">
        <f t="shared" si="297"/>
        <v>0</v>
      </c>
      <c r="AD111" s="60">
        <f t="shared" si="297"/>
        <v>0</v>
      </c>
      <c r="AE111" s="60">
        <f t="shared" si="297"/>
        <v>0</v>
      </c>
      <c r="AF111" s="60">
        <f t="shared" si="297"/>
        <v>0</v>
      </c>
      <c r="AG111" s="60">
        <f t="shared" si="297"/>
        <v>0</v>
      </c>
      <c r="AH111" s="60">
        <f t="shared" si="297"/>
        <v>0</v>
      </c>
      <c r="AI111" s="60">
        <f t="shared" si="297"/>
        <v>0</v>
      </c>
      <c r="AJ111" s="60">
        <f t="shared" si="297"/>
        <v>0</v>
      </c>
      <c r="AK111" s="60">
        <f t="shared" si="297"/>
        <v>0</v>
      </c>
      <c r="AL111" s="60">
        <f t="shared" si="297"/>
        <v>0</v>
      </c>
      <c r="AM111" s="60">
        <f t="shared" si="297"/>
        <v>0</v>
      </c>
      <c r="AN111" s="63"/>
      <c r="AO111" s="63"/>
      <c r="AP111" s="63"/>
      <c r="AQ111" s="63"/>
      <c r="AR111" s="63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</row>
    <row r="112" spans="1:66" s="128" customFormat="1" x14ac:dyDescent="0.25">
      <c r="A112" s="668"/>
      <c r="B112" s="710"/>
      <c r="C112" s="9"/>
      <c r="D112" s="18"/>
      <c r="E112" s="168"/>
      <c r="F112" s="166" t="s">
        <v>14</v>
      </c>
      <c r="G112" s="547">
        <f>IF('Total-Summary'!F25&lt;&gt;0,'Total-Summary'!F25,'Total-Summary'!G25)</f>
        <v>0</v>
      </c>
      <c r="H112" s="164" t="s">
        <v>48</v>
      </c>
      <c r="I112" s="167" t="str">
        <f>IF(Benchmarking!$E$25=0,"Fuel Oil","Propane")</f>
        <v>Fuel Oil</v>
      </c>
      <c r="J112" s="551"/>
      <c r="K112" s="551"/>
      <c r="L112" s="551"/>
      <c r="M112" s="551"/>
      <c r="N112" s="551"/>
      <c r="O112" s="551"/>
      <c r="P112" s="551"/>
      <c r="Q112" s="560"/>
      <c r="R112" s="518" t="s">
        <v>14</v>
      </c>
      <c r="S112" s="547">
        <f>IF(Benchmarking!E$24&gt;0,0,IF(Benchmarking!E$25&gt;0,O111/0.925,O111/1.385))</f>
        <v>0</v>
      </c>
      <c r="T112" s="534" t="s">
        <v>48</v>
      </c>
      <c r="U112" s="537" t="str">
        <f>IF(Benchmarking!E$24&gt;0,"NA",IF(Benchmarking!E$25&gt;0,"Propane","Fuel Oil"))</f>
        <v>Fuel Oil</v>
      </c>
      <c r="V112" s="18"/>
      <c r="W112" s="28" t="s">
        <v>32</v>
      </c>
      <c r="X112" s="264"/>
      <c r="Y112" s="260">
        <v>0</v>
      </c>
      <c r="Z112" s="260">
        <v>0</v>
      </c>
      <c r="AA112" s="260">
        <v>0</v>
      </c>
      <c r="AB112" s="260">
        <v>0</v>
      </c>
      <c r="AC112" s="260">
        <v>0</v>
      </c>
      <c r="AD112" s="260">
        <v>0</v>
      </c>
      <c r="AE112" s="260">
        <v>0</v>
      </c>
      <c r="AF112" s="260">
        <v>0</v>
      </c>
      <c r="AG112" s="260">
        <v>0</v>
      </c>
      <c r="AH112" s="260">
        <v>0</v>
      </c>
      <c r="AI112" s="260">
        <v>0</v>
      </c>
      <c r="AJ112" s="260">
        <v>0</v>
      </c>
      <c r="AK112" s="260">
        <v>0</v>
      </c>
      <c r="AL112" s="260">
        <v>0</v>
      </c>
      <c r="AM112" s="260">
        <v>0</v>
      </c>
      <c r="AN112" s="63"/>
      <c r="AO112" s="63"/>
      <c r="AP112" s="63"/>
      <c r="AQ112" s="63"/>
      <c r="AR112" s="63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</row>
    <row r="113" spans="1:66" s="128" customFormat="1" x14ac:dyDescent="0.25">
      <c r="A113" s="668"/>
      <c r="B113" s="636"/>
      <c r="C113" s="9"/>
      <c r="D113" s="18"/>
      <c r="E113" s="168"/>
      <c r="F113" s="89" t="s">
        <v>14</v>
      </c>
      <c r="G113" s="155">
        <f>'Total-Summary'!H25</f>
        <v>0</v>
      </c>
      <c r="H113" s="79" t="s">
        <v>15</v>
      </c>
      <c r="I113" s="165"/>
      <c r="J113" s="551"/>
      <c r="K113" s="551"/>
      <c r="L113" s="42"/>
      <c r="M113" s="551"/>
      <c r="N113" s="551"/>
      <c r="O113" s="551"/>
      <c r="P113" s="551"/>
      <c r="Q113" s="560"/>
      <c r="R113" s="533" t="s">
        <v>14</v>
      </c>
      <c r="S113" s="544">
        <f>IF(S110=0,0,S110*(Benchmarking!E$23)+Benchmarking!E$24*S111+IF(Benchmarking!B$26&gt;0,Benchmarking!E$26*S112,Benchmarking!E$25*S112))</f>
        <v>0</v>
      </c>
      <c r="T113" s="534" t="s">
        <v>15</v>
      </c>
      <c r="U113" s="568"/>
      <c r="V113" s="18"/>
      <c r="W113" s="28" t="s">
        <v>33</v>
      </c>
      <c r="X113" s="283"/>
      <c r="Y113" s="61">
        <f t="shared" ref="Y113:AM113" si="298">Y110+Y111-Y112</f>
        <v>0</v>
      </c>
      <c r="Z113" s="61">
        <f t="shared" si="298"/>
        <v>0</v>
      </c>
      <c r="AA113" s="61">
        <f t="shared" si="298"/>
        <v>0</v>
      </c>
      <c r="AB113" s="61">
        <f t="shared" si="298"/>
        <v>0</v>
      </c>
      <c r="AC113" s="61">
        <f t="shared" si="298"/>
        <v>0</v>
      </c>
      <c r="AD113" s="61">
        <f t="shared" si="298"/>
        <v>0</v>
      </c>
      <c r="AE113" s="61">
        <f t="shared" si="298"/>
        <v>0</v>
      </c>
      <c r="AF113" s="61">
        <f t="shared" si="298"/>
        <v>0</v>
      </c>
      <c r="AG113" s="61">
        <f t="shared" si="298"/>
        <v>0</v>
      </c>
      <c r="AH113" s="61">
        <f t="shared" si="298"/>
        <v>0</v>
      </c>
      <c r="AI113" s="61">
        <f t="shared" si="298"/>
        <v>0</v>
      </c>
      <c r="AJ113" s="61">
        <f t="shared" si="298"/>
        <v>0</v>
      </c>
      <c r="AK113" s="61">
        <f t="shared" si="298"/>
        <v>0</v>
      </c>
      <c r="AL113" s="61">
        <f t="shared" si="298"/>
        <v>0</v>
      </c>
      <c r="AM113" s="61">
        <f t="shared" si="298"/>
        <v>0</v>
      </c>
      <c r="AN113" s="63"/>
      <c r="AO113" s="63" t="s">
        <v>461</v>
      </c>
      <c r="AP113" s="343">
        <f>AP110+Y111-Y112</f>
        <v>0</v>
      </c>
      <c r="AQ113" s="343">
        <f t="shared" ref="AQ113:BD113" si="299">AQ110+Z111-Z112</f>
        <v>0</v>
      </c>
      <c r="AR113" s="343">
        <f t="shared" si="299"/>
        <v>0</v>
      </c>
      <c r="AS113" s="343">
        <f t="shared" si="299"/>
        <v>0</v>
      </c>
      <c r="AT113" s="343">
        <f t="shared" si="299"/>
        <v>0</v>
      </c>
      <c r="AU113" s="343">
        <f t="shared" si="299"/>
        <v>0</v>
      </c>
      <c r="AV113" s="343">
        <f t="shared" si="299"/>
        <v>0</v>
      </c>
      <c r="AW113" s="343">
        <f t="shared" si="299"/>
        <v>0</v>
      </c>
      <c r="AX113" s="343">
        <f t="shared" si="299"/>
        <v>0</v>
      </c>
      <c r="AY113" s="343">
        <f t="shared" si="299"/>
        <v>0</v>
      </c>
      <c r="AZ113" s="343">
        <f t="shared" si="299"/>
        <v>0</v>
      </c>
      <c r="BA113" s="343">
        <f t="shared" si="299"/>
        <v>0</v>
      </c>
      <c r="BB113" s="343">
        <f t="shared" si="299"/>
        <v>0</v>
      </c>
      <c r="BC113" s="343">
        <f t="shared" si="299"/>
        <v>0</v>
      </c>
      <c r="BD113" s="343">
        <f t="shared" si="299"/>
        <v>0</v>
      </c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</row>
    <row r="114" spans="1:66" s="128" customFormat="1" x14ac:dyDescent="0.25">
      <c r="A114" s="668"/>
      <c r="B114" s="636"/>
      <c r="C114" s="9"/>
      <c r="D114" s="18"/>
      <c r="E114" s="161"/>
      <c r="F114" s="89" t="s">
        <v>16</v>
      </c>
      <c r="G114" s="80">
        <f>IF(C110=0,0,(C110-C111)/G113)</f>
        <v>0</v>
      </c>
      <c r="H114" s="79" t="s">
        <v>17</v>
      </c>
      <c r="I114" s="569"/>
      <c r="J114" s="551"/>
      <c r="K114" s="551"/>
      <c r="L114" s="42"/>
      <c r="M114" s="551"/>
      <c r="N114" s="551"/>
      <c r="O114" s="551"/>
      <c r="P114" s="551"/>
      <c r="Q114" s="560"/>
      <c r="R114" s="533" t="s">
        <v>16</v>
      </c>
      <c r="S114" s="534">
        <f>IF(C109=0,0,(C110-C111)/S113)</f>
        <v>0</v>
      </c>
      <c r="T114" s="534" t="s">
        <v>17</v>
      </c>
      <c r="U114" s="568"/>
      <c r="V114" s="18"/>
      <c r="W114" s="46" t="s">
        <v>115</v>
      </c>
      <c r="X114" s="282"/>
      <c r="Y114" s="285">
        <f>NPV($M$14,Y113:AM113)</f>
        <v>0</v>
      </c>
      <c r="Z114" s="282"/>
      <c r="AA114" s="282"/>
      <c r="AB114" s="282"/>
      <c r="AC114" s="282"/>
      <c r="AD114" s="282"/>
      <c r="AE114" s="282"/>
      <c r="AF114" s="282"/>
      <c r="AG114" s="282"/>
      <c r="AH114" s="282"/>
      <c r="AI114" s="282"/>
      <c r="AJ114" s="282"/>
      <c r="AK114" s="282"/>
      <c r="AL114" s="282"/>
      <c r="AM114" s="282"/>
      <c r="AN114" s="63"/>
      <c r="AO114" s="18"/>
      <c r="AP114" s="18"/>
      <c r="AQ114" s="18"/>
      <c r="AR114" s="63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</row>
    <row r="115" spans="1:66" ht="14.95" thickBot="1" x14ac:dyDescent="0.3">
      <c r="A115" s="668"/>
      <c r="B115" s="710"/>
      <c r="C115" s="12"/>
      <c r="D115" s="18"/>
      <c r="E115" s="169"/>
      <c r="F115" s="571" t="s">
        <v>257</v>
      </c>
      <c r="G115" s="170">
        <f>IF($C110=0,0,IF($C111&gt;0.95*$C110,$Y115/($C110-($C110*0.95)+1-$C110*$M$16),$Y115/($C110-$C111-$C110*$M$16)))</f>
        <v>0</v>
      </c>
      <c r="H115" s="171"/>
      <c r="I115" s="172"/>
      <c r="J115" s="551"/>
      <c r="K115" s="551"/>
      <c r="L115" s="551"/>
      <c r="M115" s="551"/>
      <c r="N115" s="551"/>
      <c r="O115" s="551"/>
      <c r="P115" s="551"/>
      <c r="Q115" s="572"/>
      <c r="R115" s="535" t="s">
        <v>257</v>
      </c>
      <c r="S115" s="573">
        <f>IF($C110=0,0,IF($C111&gt;0.95*$C110,$Y114/($C110-($C110*0.95)+1-$C110*$M$16),$Y114/($C110-$C111-$C110*$M$16)))</f>
        <v>0</v>
      </c>
      <c r="T115" s="550"/>
      <c r="U115" s="574"/>
      <c r="W115" s="310" t="s">
        <v>454</v>
      </c>
      <c r="X115" s="310"/>
      <c r="Y115" s="312">
        <f>NPV(M14,AP113:BD113)</f>
        <v>0</v>
      </c>
    </row>
    <row r="116" spans="1:66" s="128" customFormat="1" x14ac:dyDescent="0.25">
      <c r="A116" s="668"/>
      <c r="B116" s="710"/>
      <c r="C116" s="12"/>
      <c r="D116" s="18"/>
      <c r="E116" s="580"/>
      <c r="F116" s="89"/>
      <c r="G116" s="592"/>
      <c r="H116" s="164"/>
      <c r="I116" s="164"/>
      <c r="J116" s="551"/>
      <c r="K116" s="551"/>
      <c r="L116" s="551"/>
      <c r="M116" s="551"/>
      <c r="N116" s="551"/>
      <c r="O116" s="551"/>
      <c r="P116" s="551"/>
      <c r="Q116" s="576"/>
      <c r="R116" s="576"/>
      <c r="S116" s="576"/>
      <c r="T116" s="576"/>
      <c r="U116" s="576"/>
      <c r="V116" s="18"/>
      <c r="W116" s="18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</row>
    <row r="117" spans="1:66" s="128" customFormat="1" x14ac:dyDescent="0.25">
      <c r="A117" s="668"/>
      <c r="B117" s="710"/>
      <c r="C117" s="12"/>
      <c r="D117" s="18"/>
      <c r="E117" s="580"/>
      <c r="F117" s="89"/>
      <c r="G117" s="592"/>
      <c r="H117" s="164"/>
      <c r="I117" s="164"/>
      <c r="J117" s="551"/>
      <c r="K117" s="551"/>
      <c r="L117" s="551"/>
      <c r="M117" s="551"/>
      <c r="N117" s="551"/>
      <c r="O117" s="551"/>
      <c r="P117" s="551"/>
      <c r="Q117" s="576"/>
      <c r="R117" s="576"/>
      <c r="S117" s="576"/>
      <c r="T117" s="576"/>
      <c r="U117" s="576"/>
      <c r="V117" s="18"/>
      <c r="W117" s="18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</row>
    <row r="118" spans="1:66" ht="19.7" thickBot="1" x14ac:dyDescent="0.4">
      <c r="A118" s="668"/>
      <c r="B118" s="710"/>
      <c r="C118" s="62"/>
      <c r="D118" s="18"/>
      <c r="E118" s="597"/>
      <c r="F118" s="597"/>
      <c r="G118" s="597"/>
      <c r="H118" s="597"/>
      <c r="I118" s="551"/>
      <c r="J118" s="551"/>
      <c r="K118" s="42" t="s">
        <v>113</v>
      </c>
      <c r="L118" s="551"/>
      <c r="M118" s="551"/>
      <c r="N118" s="551"/>
      <c r="O118" s="551"/>
      <c r="P118" s="551"/>
      <c r="Q118" s="576"/>
      <c r="R118" s="576"/>
      <c r="S118" s="576"/>
      <c r="T118" s="576"/>
      <c r="U118" s="576"/>
      <c r="W118" s="23" t="s">
        <v>108</v>
      </c>
      <c r="AT118" s="349" t="s">
        <v>460</v>
      </c>
    </row>
    <row r="119" spans="1:66" ht="30.75" customHeight="1" thickBot="1" x14ac:dyDescent="0.35">
      <c r="A119" s="673" t="s">
        <v>299</v>
      </c>
      <c r="B119" s="654" t="str">
        <f>B21</f>
        <v>Replace storage water heater with gas-fired tankless water heater</v>
      </c>
      <c r="C119" s="83" t="s">
        <v>51</v>
      </c>
      <c r="D119" s="18"/>
      <c r="E119" s="805" t="s">
        <v>458</v>
      </c>
      <c r="F119" s="806"/>
      <c r="G119" s="806"/>
      <c r="H119" s="806"/>
      <c r="I119" s="807"/>
      <c r="J119" s="551"/>
      <c r="K119" s="24"/>
      <c r="L119" s="52" t="str">
        <f>A119</f>
        <v>ECM 18</v>
      </c>
      <c r="M119" s="25" t="s">
        <v>246</v>
      </c>
      <c r="N119" s="25" t="s">
        <v>247</v>
      </c>
      <c r="O119" s="25" t="s">
        <v>248</v>
      </c>
      <c r="P119" s="551"/>
      <c r="Q119" s="814" t="s">
        <v>74</v>
      </c>
      <c r="R119" s="815"/>
      <c r="S119" s="815"/>
      <c r="T119" s="815"/>
      <c r="U119" s="816"/>
      <c r="W119" s="28" t="s">
        <v>29</v>
      </c>
      <c r="X119" s="264">
        <v>0</v>
      </c>
      <c r="Y119" s="29">
        <v>1</v>
      </c>
      <c r="Z119" s="29">
        <v>2</v>
      </c>
      <c r="AA119" s="29">
        <v>3</v>
      </c>
      <c r="AB119" s="29">
        <v>4</v>
      </c>
      <c r="AC119" s="29">
        <v>5</v>
      </c>
      <c r="AD119" s="29">
        <v>6</v>
      </c>
      <c r="AE119" s="29">
        <v>7</v>
      </c>
      <c r="AF119" s="29">
        <v>8</v>
      </c>
      <c r="AG119" s="29">
        <v>9</v>
      </c>
      <c r="AH119" s="29">
        <v>10</v>
      </c>
      <c r="AI119" s="29">
        <v>11</v>
      </c>
      <c r="AJ119" s="29">
        <v>12</v>
      </c>
      <c r="AK119" s="29">
        <v>13</v>
      </c>
      <c r="AL119" s="29">
        <v>14</v>
      </c>
      <c r="AM119" s="29">
        <v>15</v>
      </c>
      <c r="AN119" s="29">
        <v>16</v>
      </c>
      <c r="AO119" s="29">
        <v>17</v>
      </c>
      <c r="AP119" s="29">
        <v>18</v>
      </c>
      <c r="AQ119" s="29">
        <v>19</v>
      </c>
      <c r="AR119" s="29">
        <v>20</v>
      </c>
      <c r="AT119" s="264">
        <v>0</v>
      </c>
      <c r="AU119" s="29">
        <v>1</v>
      </c>
      <c r="AV119" s="29">
        <v>2</v>
      </c>
      <c r="AW119" s="29">
        <v>3</v>
      </c>
      <c r="AX119" s="29">
        <v>4</v>
      </c>
      <c r="AY119" s="29">
        <v>5</v>
      </c>
      <c r="AZ119" s="29">
        <v>6</v>
      </c>
      <c r="BA119" s="29">
        <v>7</v>
      </c>
      <c r="BB119" s="29">
        <v>8</v>
      </c>
      <c r="BC119" s="29">
        <v>9</v>
      </c>
      <c r="BD119" s="29">
        <v>10</v>
      </c>
      <c r="BE119" s="29">
        <v>11</v>
      </c>
      <c r="BF119" s="29">
        <v>12</v>
      </c>
      <c r="BG119" s="29">
        <v>13</v>
      </c>
      <c r="BH119" s="29">
        <v>14</v>
      </c>
      <c r="BI119" s="29">
        <v>15</v>
      </c>
      <c r="BJ119" s="29">
        <v>16</v>
      </c>
      <c r="BK119" s="29">
        <v>17</v>
      </c>
      <c r="BL119" s="29">
        <v>18</v>
      </c>
      <c r="BM119" s="29">
        <v>19</v>
      </c>
      <c r="BN119" s="29">
        <v>20</v>
      </c>
    </row>
    <row r="120" spans="1:66" x14ac:dyDescent="0.25">
      <c r="A120" s="739"/>
      <c r="B120" s="658" t="s">
        <v>311</v>
      </c>
      <c r="C120" s="442"/>
      <c r="D120" s="18"/>
      <c r="E120" s="552"/>
      <c r="F120" s="84" t="s">
        <v>4</v>
      </c>
      <c r="G120" s="514">
        <f>'Total-Summary'!C26</f>
        <v>0</v>
      </c>
      <c r="H120" s="553" t="s">
        <v>378</v>
      </c>
      <c r="I120" s="554"/>
      <c r="J120" s="551"/>
      <c r="K120" s="31" t="s">
        <v>7</v>
      </c>
      <c r="L120" s="31" t="s">
        <v>312</v>
      </c>
      <c r="M120" s="598">
        <v>0</v>
      </c>
      <c r="N120" s="555">
        <v>0</v>
      </c>
      <c r="O120" s="599">
        <f>C121*'AVG HVAC impact'!D43*75/225</f>
        <v>0</v>
      </c>
      <c r="P120" s="551"/>
      <c r="Q120" s="582"/>
      <c r="R120" s="513" t="s">
        <v>314</v>
      </c>
      <c r="S120" s="545">
        <f>M122</f>
        <v>0</v>
      </c>
      <c r="T120" s="536" t="s">
        <v>378</v>
      </c>
      <c r="U120" s="583"/>
      <c r="W120" s="28" t="s">
        <v>29</v>
      </c>
      <c r="X120" s="264">
        <v>2013</v>
      </c>
      <c r="Y120" s="264">
        <f>X120+1</f>
        <v>2014</v>
      </c>
      <c r="Z120" s="264">
        <f t="shared" ref="Z120:AR120" si="300">Y120+1</f>
        <v>2015</v>
      </c>
      <c r="AA120" s="264">
        <f t="shared" si="300"/>
        <v>2016</v>
      </c>
      <c r="AB120" s="264">
        <f t="shared" si="300"/>
        <v>2017</v>
      </c>
      <c r="AC120" s="264">
        <f t="shared" si="300"/>
        <v>2018</v>
      </c>
      <c r="AD120" s="264">
        <f t="shared" si="300"/>
        <v>2019</v>
      </c>
      <c r="AE120" s="264">
        <f t="shared" si="300"/>
        <v>2020</v>
      </c>
      <c r="AF120" s="264">
        <f t="shared" si="300"/>
        <v>2021</v>
      </c>
      <c r="AG120" s="264">
        <f t="shared" si="300"/>
        <v>2022</v>
      </c>
      <c r="AH120" s="264">
        <f t="shared" si="300"/>
        <v>2023</v>
      </c>
      <c r="AI120" s="264">
        <f t="shared" si="300"/>
        <v>2024</v>
      </c>
      <c r="AJ120" s="264">
        <f t="shared" si="300"/>
        <v>2025</v>
      </c>
      <c r="AK120" s="264">
        <f t="shared" si="300"/>
        <v>2026</v>
      </c>
      <c r="AL120" s="264">
        <f t="shared" si="300"/>
        <v>2027</v>
      </c>
      <c r="AM120" s="264">
        <f t="shared" si="300"/>
        <v>2028</v>
      </c>
      <c r="AN120" s="264">
        <f t="shared" si="300"/>
        <v>2029</v>
      </c>
      <c r="AO120" s="264">
        <f t="shared" si="300"/>
        <v>2030</v>
      </c>
      <c r="AP120" s="264">
        <f t="shared" si="300"/>
        <v>2031</v>
      </c>
      <c r="AQ120" s="264">
        <f t="shared" si="300"/>
        <v>2032</v>
      </c>
      <c r="AR120" s="264">
        <f t="shared" si="300"/>
        <v>2033</v>
      </c>
      <c r="AT120" s="264">
        <v>2013</v>
      </c>
      <c r="AU120" s="264">
        <f>AT120+1</f>
        <v>2014</v>
      </c>
      <c r="AV120" s="264">
        <f t="shared" ref="AV120" si="301">AU120+1</f>
        <v>2015</v>
      </c>
      <c r="AW120" s="264">
        <f t="shared" ref="AW120" si="302">AV120+1</f>
        <v>2016</v>
      </c>
      <c r="AX120" s="264">
        <f t="shared" ref="AX120" si="303">AW120+1</f>
        <v>2017</v>
      </c>
      <c r="AY120" s="264">
        <f t="shared" ref="AY120" si="304">AX120+1</f>
        <v>2018</v>
      </c>
      <c r="AZ120" s="264">
        <f t="shared" ref="AZ120" si="305">AY120+1</f>
        <v>2019</v>
      </c>
      <c r="BA120" s="264">
        <f t="shared" ref="BA120" si="306">AZ120+1</f>
        <v>2020</v>
      </c>
      <c r="BB120" s="264">
        <f t="shared" ref="BB120" si="307">BA120+1</f>
        <v>2021</v>
      </c>
      <c r="BC120" s="264">
        <f t="shared" ref="BC120" si="308">BB120+1</f>
        <v>2022</v>
      </c>
      <c r="BD120" s="264">
        <f t="shared" ref="BD120" si="309">BC120+1</f>
        <v>2023</v>
      </c>
      <c r="BE120" s="264">
        <f t="shared" ref="BE120" si="310">BD120+1</f>
        <v>2024</v>
      </c>
      <c r="BF120" s="264">
        <f t="shared" ref="BF120" si="311">BE120+1</f>
        <v>2025</v>
      </c>
      <c r="BG120" s="264">
        <f t="shared" ref="BG120" si="312">BF120+1</f>
        <v>2026</v>
      </c>
      <c r="BH120" s="264">
        <f t="shared" ref="BH120" si="313">BG120+1</f>
        <v>2027</v>
      </c>
      <c r="BI120" s="264">
        <f t="shared" ref="BI120" si="314">BH120+1</f>
        <v>2028</v>
      </c>
      <c r="BJ120" s="264">
        <f t="shared" ref="BJ120" si="315">BI120+1</f>
        <v>2029</v>
      </c>
      <c r="BK120" s="264">
        <f t="shared" ref="BK120" si="316">BJ120+1</f>
        <v>2030</v>
      </c>
      <c r="BL120" s="264">
        <f t="shared" ref="BL120" si="317">BK120+1</f>
        <v>2031</v>
      </c>
      <c r="BM120" s="264">
        <f t="shared" ref="BM120" si="318">BL120+1</f>
        <v>2032</v>
      </c>
      <c r="BN120" s="264">
        <f t="shared" ref="BN120" si="319">BM120+1</f>
        <v>2033</v>
      </c>
    </row>
    <row r="121" spans="1:66" x14ac:dyDescent="0.25">
      <c r="A121" s="700"/>
      <c r="B121" s="659" t="s">
        <v>435</v>
      </c>
      <c r="C121" s="441"/>
      <c r="D121" s="18"/>
      <c r="E121" s="161"/>
      <c r="F121" s="41" t="s">
        <v>5</v>
      </c>
      <c r="G121" s="514">
        <f>'Total-Summary'!D26</f>
        <v>0</v>
      </c>
      <c r="H121" s="164" t="s">
        <v>12</v>
      </c>
      <c r="I121" s="165"/>
      <c r="J121" s="551"/>
      <c r="K121" s="31" t="s">
        <v>8</v>
      </c>
      <c r="L121" s="31" t="s">
        <v>313</v>
      </c>
      <c r="M121" s="405">
        <v>0</v>
      </c>
      <c r="N121" s="559">
        <v>0</v>
      </c>
      <c r="O121" s="600">
        <v>0</v>
      </c>
      <c r="P121" s="551"/>
      <c r="Q121" s="566"/>
      <c r="R121" s="518" t="s">
        <v>5</v>
      </c>
      <c r="S121" s="546">
        <f>N122</f>
        <v>0</v>
      </c>
      <c r="T121" s="534" t="s">
        <v>6</v>
      </c>
      <c r="U121" s="568"/>
      <c r="W121" s="70" t="s">
        <v>30</v>
      </c>
      <c r="X121" s="60"/>
      <c r="Y121" s="60">
        <f>S124</f>
        <v>0</v>
      </c>
      <c r="Z121" s="60">
        <f t="shared" ref="Z121:AM121" si="320">Y121*(1+$M$15)</f>
        <v>0</v>
      </c>
      <c r="AA121" s="60">
        <f t="shared" si="320"/>
        <v>0</v>
      </c>
      <c r="AB121" s="60">
        <f t="shared" si="320"/>
        <v>0</v>
      </c>
      <c r="AC121" s="60">
        <f t="shared" si="320"/>
        <v>0</v>
      </c>
      <c r="AD121" s="60">
        <f t="shared" si="320"/>
        <v>0</v>
      </c>
      <c r="AE121" s="60">
        <f t="shared" si="320"/>
        <v>0</v>
      </c>
      <c r="AF121" s="60">
        <f t="shared" si="320"/>
        <v>0</v>
      </c>
      <c r="AG121" s="60">
        <f t="shared" si="320"/>
        <v>0</v>
      </c>
      <c r="AH121" s="60">
        <f t="shared" si="320"/>
        <v>0</v>
      </c>
      <c r="AI121" s="60">
        <f t="shared" si="320"/>
        <v>0</v>
      </c>
      <c r="AJ121" s="60">
        <f t="shared" si="320"/>
        <v>0</v>
      </c>
      <c r="AK121" s="60">
        <f t="shared" si="320"/>
        <v>0</v>
      </c>
      <c r="AL121" s="60">
        <f t="shared" si="320"/>
        <v>0</v>
      </c>
      <c r="AM121" s="60">
        <f t="shared" si="320"/>
        <v>0</v>
      </c>
      <c r="AN121" s="60">
        <f t="shared" ref="AN121" si="321">AM121*(1+$M$15)</f>
        <v>0</v>
      </c>
      <c r="AO121" s="60">
        <f t="shared" ref="AO121" si="322">AN121*(1+$M$15)</f>
        <v>0</v>
      </c>
      <c r="AP121" s="60">
        <f t="shared" ref="AP121" si="323">AO121*(1+$M$15)</f>
        <v>0</v>
      </c>
      <c r="AQ121" s="60">
        <f t="shared" ref="AQ121" si="324">AP121*(1+$M$15)</f>
        <v>0</v>
      </c>
      <c r="AR121" s="60">
        <f t="shared" ref="AR121" si="325">AQ121*(1+$M$15)</f>
        <v>0</v>
      </c>
      <c r="AT121" s="60"/>
      <c r="AU121" s="60">
        <f>'Total-Summary'!H26</f>
        <v>0</v>
      </c>
      <c r="AV121" s="60">
        <f t="shared" ref="AV121" si="326">AU121*(1+$M$15)</f>
        <v>0</v>
      </c>
      <c r="AW121" s="60">
        <f t="shared" ref="AW121" si="327">AV121*(1+$M$15)</f>
        <v>0</v>
      </c>
      <c r="AX121" s="60">
        <f t="shared" ref="AX121" si="328">AW121*(1+$M$15)</f>
        <v>0</v>
      </c>
      <c r="AY121" s="60">
        <f t="shared" ref="AY121" si="329">AX121*(1+$M$15)</f>
        <v>0</v>
      </c>
      <c r="AZ121" s="60">
        <f t="shared" ref="AZ121" si="330">AY121*(1+$M$15)</f>
        <v>0</v>
      </c>
      <c r="BA121" s="60">
        <f t="shared" ref="BA121" si="331">AZ121*(1+$M$15)</f>
        <v>0</v>
      </c>
      <c r="BB121" s="60">
        <f t="shared" ref="BB121" si="332">BA121*(1+$M$15)</f>
        <v>0</v>
      </c>
      <c r="BC121" s="60">
        <f t="shared" ref="BC121" si="333">BB121*(1+$M$15)</f>
        <v>0</v>
      </c>
      <c r="BD121" s="60">
        <f t="shared" ref="BD121" si="334">BC121*(1+$M$15)</f>
        <v>0</v>
      </c>
      <c r="BE121" s="60">
        <f t="shared" ref="BE121" si="335">BD121*(1+$M$15)</f>
        <v>0</v>
      </c>
      <c r="BF121" s="60">
        <f t="shared" ref="BF121" si="336">BE121*(1+$M$15)</f>
        <v>0</v>
      </c>
      <c r="BG121" s="60">
        <f t="shared" ref="BG121" si="337">BF121*(1+$M$15)</f>
        <v>0</v>
      </c>
      <c r="BH121" s="60">
        <f t="shared" ref="BH121" si="338">BG121*(1+$M$15)</f>
        <v>0</v>
      </c>
      <c r="BI121" s="60">
        <f t="shared" ref="BI121" si="339">BH121*(1+$M$15)</f>
        <v>0</v>
      </c>
      <c r="BJ121" s="60">
        <f t="shared" ref="BJ121" si="340">BI121*(1+$M$15)</f>
        <v>0</v>
      </c>
      <c r="BK121" s="60">
        <f t="shared" ref="BK121" si="341">BJ121*(1+$M$15)</f>
        <v>0</v>
      </c>
      <c r="BL121" s="60">
        <f t="shared" ref="BL121" si="342">BK121*(1+$M$15)</f>
        <v>0</v>
      </c>
      <c r="BM121" s="60">
        <f t="shared" ref="BM121" si="343">BL121*(1+$M$15)</f>
        <v>0</v>
      </c>
      <c r="BN121" s="60">
        <f t="shared" ref="BN121" si="344">BM121*(1+$M$15)</f>
        <v>0</v>
      </c>
    </row>
    <row r="122" spans="1:66" ht="14.95" thickBot="1" x14ac:dyDescent="0.3">
      <c r="A122" s="700"/>
      <c r="B122" s="659" t="s">
        <v>235</v>
      </c>
      <c r="C122" s="443"/>
      <c r="D122" s="18"/>
      <c r="E122" s="161"/>
      <c r="F122" s="162" t="s">
        <v>5</v>
      </c>
      <c r="G122" s="514">
        <f>'Total-Summary'!E26</f>
        <v>0</v>
      </c>
      <c r="H122" s="164" t="s">
        <v>379</v>
      </c>
      <c r="I122" s="165"/>
      <c r="J122" s="551"/>
      <c r="K122" s="35"/>
      <c r="L122" s="35" t="s">
        <v>2</v>
      </c>
      <c r="M122" s="601"/>
      <c r="N122" s="562">
        <f>N120-N121</f>
        <v>0</v>
      </c>
      <c r="O122" s="562">
        <f>O120-O121</f>
        <v>0</v>
      </c>
      <c r="P122" s="551"/>
      <c r="Q122" s="560"/>
      <c r="R122" s="518" t="s">
        <v>5</v>
      </c>
      <c r="S122" s="547">
        <f>IF(Benchmarking!B$20=0,0,O122)</f>
        <v>0</v>
      </c>
      <c r="T122" s="534" t="s">
        <v>379</v>
      </c>
      <c r="U122" s="568"/>
      <c r="W122" s="28" t="s">
        <v>31</v>
      </c>
      <c r="X122" s="264"/>
      <c r="Y122" s="286">
        <f>IF(C120=0,0,$M$17*$C122)</f>
        <v>0</v>
      </c>
      <c r="Z122" s="60">
        <f t="shared" ref="Z122:AM122" si="345">Y122*(1+$M$13)</f>
        <v>0</v>
      </c>
      <c r="AA122" s="60">
        <f t="shared" si="345"/>
        <v>0</v>
      </c>
      <c r="AB122" s="60">
        <f t="shared" si="345"/>
        <v>0</v>
      </c>
      <c r="AC122" s="60">
        <f t="shared" si="345"/>
        <v>0</v>
      </c>
      <c r="AD122" s="60">
        <f t="shared" si="345"/>
        <v>0</v>
      </c>
      <c r="AE122" s="60">
        <f t="shared" si="345"/>
        <v>0</v>
      </c>
      <c r="AF122" s="60">
        <f t="shared" si="345"/>
        <v>0</v>
      </c>
      <c r="AG122" s="60">
        <f t="shared" si="345"/>
        <v>0</v>
      </c>
      <c r="AH122" s="60">
        <f t="shared" si="345"/>
        <v>0</v>
      </c>
      <c r="AI122" s="60">
        <f t="shared" si="345"/>
        <v>0</v>
      </c>
      <c r="AJ122" s="60">
        <f t="shared" si="345"/>
        <v>0</v>
      </c>
      <c r="AK122" s="60">
        <f t="shared" si="345"/>
        <v>0</v>
      </c>
      <c r="AL122" s="60">
        <f t="shared" si="345"/>
        <v>0</v>
      </c>
      <c r="AM122" s="60">
        <f t="shared" si="345"/>
        <v>0</v>
      </c>
      <c r="AN122" s="60">
        <f t="shared" ref="AN122" si="346">AM122*(1+$M$13)</f>
        <v>0</v>
      </c>
      <c r="AO122" s="60">
        <f t="shared" ref="AO122" si="347">AN122*(1+$M$13)</f>
        <v>0</v>
      </c>
      <c r="AP122" s="60">
        <f t="shared" ref="AP122" si="348">AO122*(1+$M$13)</f>
        <v>0</v>
      </c>
      <c r="AQ122" s="60">
        <f t="shared" ref="AQ122" si="349">AP122*(1+$M$13)</f>
        <v>0</v>
      </c>
      <c r="AR122" s="60">
        <f t="shared" ref="AR122" si="350">AQ122*(1+$M$13)</f>
        <v>0</v>
      </c>
    </row>
    <row r="123" spans="1:66" ht="14.95" thickBot="1" x14ac:dyDescent="0.3">
      <c r="A123" s="701"/>
      <c r="B123" s="663" t="s">
        <v>236</v>
      </c>
      <c r="C123" s="444"/>
      <c r="D123" s="18"/>
      <c r="E123" s="168"/>
      <c r="F123" s="166" t="s">
        <v>14</v>
      </c>
      <c r="G123" s="547">
        <f>IF('Total-Summary'!F26&lt;&gt;0,'Total-Summary'!F26,'Total-Summary'!G26)</f>
        <v>0</v>
      </c>
      <c r="H123" s="164" t="s">
        <v>48</v>
      </c>
      <c r="I123" s="167" t="str">
        <f>IF(Benchmarking!$E$25=0,"Fuel Oil","Propane")</f>
        <v>Fuel Oil</v>
      </c>
      <c r="J123" s="551"/>
      <c r="K123" s="551"/>
      <c r="L123" s="551"/>
      <c r="M123" s="551"/>
      <c r="N123" s="551"/>
      <c r="O123" s="551"/>
      <c r="P123" s="551"/>
      <c r="Q123" s="560"/>
      <c r="R123" s="518" t="s">
        <v>14</v>
      </c>
      <c r="S123" s="547">
        <f>IF(Benchmarking!E$24&gt;0,0,IF(Benchmarking!E$25&gt;0,O122/0.925,O122/1.385))</f>
        <v>0</v>
      </c>
      <c r="T123" s="534" t="s">
        <v>48</v>
      </c>
      <c r="U123" s="537" t="str">
        <f>IF(Benchmarking!E$24&gt;0,"NA",IF(Benchmarking!E$25&gt;0,"Propane","Fuel Oil"))</f>
        <v>Fuel Oil</v>
      </c>
      <c r="W123" s="28" t="s">
        <v>32</v>
      </c>
      <c r="X123" s="264"/>
      <c r="Y123" s="260">
        <v>0</v>
      </c>
      <c r="Z123" s="260">
        <v>0</v>
      </c>
      <c r="AA123" s="260">
        <v>0</v>
      </c>
      <c r="AB123" s="260">
        <v>0</v>
      </c>
      <c r="AC123" s="260">
        <v>0</v>
      </c>
      <c r="AD123" s="260">
        <v>0</v>
      </c>
      <c r="AE123" s="260">
        <v>0</v>
      </c>
      <c r="AF123" s="260">
        <v>0</v>
      </c>
      <c r="AG123" s="260">
        <v>0</v>
      </c>
      <c r="AH123" s="260">
        <v>0</v>
      </c>
      <c r="AI123" s="260">
        <v>0</v>
      </c>
      <c r="AJ123" s="260">
        <v>0</v>
      </c>
      <c r="AK123" s="260">
        <v>0</v>
      </c>
      <c r="AL123" s="260">
        <v>0</v>
      </c>
      <c r="AM123" s="260">
        <v>0</v>
      </c>
      <c r="AN123" s="260">
        <v>0</v>
      </c>
      <c r="AO123" s="260">
        <v>0</v>
      </c>
      <c r="AP123" s="260">
        <v>0</v>
      </c>
      <c r="AQ123" s="260">
        <v>0</v>
      </c>
      <c r="AR123" s="260">
        <v>0</v>
      </c>
    </row>
    <row r="124" spans="1:66" x14ac:dyDescent="0.25">
      <c r="A124" s="668"/>
      <c r="B124" s="710"/>
      <c r="D124" s="18"/>
      <c r="E124" s="168"/>
      <c r="F124" s="89" t="s">
        <v>14</v>
      </c>
      <c r="G124" s="78">
        <f>'Total-Summary'!H26</f>
        <v>0</v>
      </c>
      <c r="H124" s="79" t="s">
        <v>15</v>
      </c>
      <c r="I124" s="165"/>
      <c r="J124" s="551"/>
      <c r="K124" s="551"/>
      <c r="L124" s="551"/>
      <c r="M124" s="551"/>
      <c r="N124" s="551"/>
      <c r="O124" s="551"/>
      <c r="P124" s="551"/>
      <c r="Q124" s="560"/>
      <c r="R124" s="533" t="s">
        <v>14</v>
      </c>
      <c r="S124" s="544">
        <f>IF(C122=0,0,S121*(Benchmarking!E$23)+Benchmarking!E$24*S122+IF(Benchmarking!B$26&gt;0,Benchmarking!E$26*S123,Benchmarking!E$25*S123))</f>
        <v>0</v>
      </c>
      <c r="T124" s="534" t="s">
        <v>15</v>
      </c>
      <c r="U124" s="568"/>
      <c r="W124" s="28" t="s">
        <v>33</v>
      </c>
      <c r="X124" s="283"/>
      <c r="Y124" s="61">
        <f>Y121+Y122-Y123</f>
        <v>0</v>
      </c>
      <c r="Z124" s="61">
        <f t="shared" ref="Z124:AM124" si="351">Z121+Z122-Z123</f>
        <v>0</v>
      </c>
      <c r="AA124" s="61">
        <f t="shared" si="351"/>
        <v>0</v>
      </c>
      <c r="AB124" s="61">
        <f t="shared" si="351"/>
        <v>0</v>
      </c>
      <c r="AC124" s="61">
        <f t="shared" si="351"/>
        <v>0</v>
      </c>
      <c r="AD124" s="61">
        <f t="shared" si="351"/>
        <v>0</v>
      </c>
      <c r="AE124" s="61">
        <f t="shared" si="351"/>
        <v>0</v>
      </c>
      <c r="AF124" s="61">
        <f t="shared" si="351"/>
        <v>0</v>
      </c>
      <c r="AG124" s="61">
        <f t="shared" si="351"/>
        <v>0</v>
      </c>
      <c r="AH124" s="61">
        <f t="shared" si="351"/>
        <v>0</v>
      </c>
      <c r="AI124" s="61">
        <f t="shared" si="351"/>
        <v>0</v>
      </c>
      <c r="AJ124" s="61">
        <f t="shared" si="351"/>
        <v>0</v>
      </c>
      <c r="AK124" s="61">
        <f t="shared" si="351"/>
        <v>0</v>
      </c>
      <c r="AL124" s="61">
        <f t="shared" si="351"/>
        <v>0</v>
      </c>
      <c r="AM124" s="61">
        <f t="shared" si="351"/>
        <v>0</v>
      </c>
      <c r="AN124" s="61">
        <f t="shared" ref="AN124:AR124" si="352">AN121+AN122-AN123</f>
        <v>0</v>
      </c>
      <c r="AO124" s="61">
        <f t="shared" si="352"/>
        <v>0</v>
      </c>
      <c r="AP124" s="61">
        <f t="shared" si="352"/>
        <v>0</v>
      </c>
      <c r="AQ124" s="61">
        <f t="shared" si="352"/>
        <v>0</v>
      </c>
      <c r="AR124" s="61">
        <f t="shared" si="352"/>
        <v>0</v>
      </c>
      <c r="AT124" s="63" t="s">
        <v>461</v>
      </c>
      <c r="AU124" s="729">
        <f>AU121+Y122-Y123</f>
        <v>0</v>
      </c>
      <c r="AV124" s="729">
        <f t="shared" ref="AV124:BN124" si="353">AV121+Z122-Z123</f>
        <v>0</v>
      </c>
      <c r="AW124" s="729">
        <f t="shared" si="353"/>
        <v>0</v>
      </c>
      <c r="AX124" s="729">
        <f t="shared" si="353"/>
        <v>0</v>
      </c>
      <c r="AY124" s="729">
        <f t="shared" si="353"/>
        <v>0</v>
      </c>
      <c r="AZ124" s="729">
        <f t="shared" si="353"/>
        <v>0</v>
      </c>
      <c r="BA124" s="729">
        <f t="shared" si="353"/>
        <v>0</v>
      </c>
      <c r="BB124" s="729">
        <f t="shared" si="353"/>
        <v>0</v>
      </c>
      <c r="BC124" s="729">
        <f t="shared" si="353"/>
        <v>0</v>
      </c>
      <c r="BD124" s="729">
        <f t="shared" si="353"/>
        <v>0</v>
      </c>
      <c r="BE124" s="729">
        <f t="shared" si="353"/>
        <v>0</v>
      </c>
      <c r="BF124" s="729">
        <f t="shared" si="353"/>
        <v>0</v>
      </c>
      <c r="BG124" s="729">
        <f t="shared" si="353"/>
        <v>0</v>
      </c>
      <c r="BH124" s="729">
        <f t="shared" si="353"/>
        <v>0</v>
      </c>
      <c r="BI124" s="729">
        <f t="shared" si="353"/>
        <v>0</v>
      </c>
      <c r="BJ124" s="729">
        <f t="shared" si="353"/>
        <v>0</v>
      </c>
      <c r="BK124" s="729">
        <f t="shared" si="353"/>
        <v>0</v>
      </c>
      <c r="BL124" s="729">
        <f t="shared" si="353"/>
        <v>0</v>
      </c>
      <c r="BM124" s="729">
        <f t="shared" si="353"/>
        <v>0</v>
      </c>
      <c r="BN124" s="729">
        <f t="shared" si="353"/>
        <v>0</v>
      </c>
    </row>
    <row r="125" spans="1:66" x14ac:dyDescent="0.25">
      <c r="A125" s="668"/>
      <c r="B125" s="636"/>
      <c r="E125" s="161"/>
      <c r="F125" s="89" t="s">
        <v>16</v>
      </c>
      <c r="G125" s="80">
        <f>IF(C122=0,0,(C122-C123)/G124)</f>
        <v>0</v>
      </c>
      <c r="H125" s="79" t="s">
        <v>17</v>
      </c>
      <c r="I125" s="569"/>
      <c r="J125" s="551"/>
      <c r="K125" s="551"/>
      <c r="L125" s="204"/>
      <c r="M125" s="589"/>
      <c r="N125" s="575"/>
      <c r="O125" s="551"/>
      <c r="P125" s="551"/>
      <c r="Q125" s="560"/>
      <c r="R125" s="533" t="s">
        <v>16</v>
      </c>
      <c r="S125" s="534">
        <f>IF(C120=0,0,(C122-C123)/S124)</f>
        <v>0</v>
      </c>
      <c r="T125" s="534" t="s">
        <v>17</v>
      </c>
      <c r="U125" s="568"/>
      <c r="W125" s="46" t="s">
        <v>115</v>
      </c>
      <c r="X125" s="282"/>
      <c r="Y125" s="285">
        <f>NPV($M$14,Y124:AR124)</f>
        <v>0</v>
      </c>
      <c r="Z125" s="282"/>
      <c r="AA125" s="282"/>
      <c r="AB125" s="282"/>
      <c r="AC125" s="282"/>
      <c r="AD125" s="282"/>
      <c r="AE125" s="282"/>
      <c r="AF125" s="282"/>
      <c r="AG125" s="282"/>
      <c r="AH125" s="282"/>
      <c r="AI125" s="282"/>
      <c r="AJ125" s="282"/>
      <c r="AK125" s="282"/>
      <c r="AL125" s="282"/>
      <c r="AM125" s="282"/>
    </row>
    <row r="126" spans="1:66" ht="14.95" thickBot="1" x14ac:dyDescent="0.3">
      <c r="A126" s="668"/>
      <c r="B126" s="636"/>
      <c r="E126" s="169"/>
      <c r="F126" s="571" t="s">
        <v>257</v>
      </c>
      <c r="G126" s="170">
        <f>IF($C122=0,0,IF($C123&gt;0.95*$C122,$Y126/($C122-($C122*0.95)+1-$C122*$M$16),$Y126/($C122-$C123-$C122*$M$16)))</f>
        <v>0</v>
      </c>
      <c r="H126" s="171"/>
      <c r="I126" s="172"/>
      <c r="J126" s="551"/>
      <c r="K126" s="551"/>
      <c r="L126" s="204"/>
      <c r="M126" s="587"/>
      <c r="N126" s="551"/>
      <c r="O126" s="551"/>
      <c r="P126" s="551"/>
      <c r="Q126" s="593"/>
      <c r="R126" s="535" t="s">
        <v>257</v>
      </c>
      <c r="S126" s="573">
        <f>IF($C122=0,0,IF($C123&gt;0.95*$C122,$Y125/($C122-($C122*0.95)+1-$C122*$M$16),$Y125/($C122-$C123-$C122*$M$16)))</f>
        <v>0</v>
      </c>
      <c r="T126" s="549"/>
      <c r="U126" s="574"/>
      <c r="W126" s="310" t="s">
        <v>454</v>
      </c>
      <c r="X126" s="310"/>
      <c r="Y126" s="312">
        <f>NPV(M14,AU124:BN124)</f>
        <v>0</v>
      </c>
    </row>
    <row r="127" spans="1:66" x14ac:dyDescent="0.25">
      <c r="A127" s="668"/>
      <c r="B127" s="710"/>
      <c r="D127" s="18"/>
      <c r="E127" s="116"/>
      <c r="F127" s="116"/>
      <c r="G127" s="116"/>
      <c r="H127" s="116"/>
    </row>
    <row r="128" spans="1:66" ht="16.5" customHeight="1" x14ac:dyDescent="0.25">
      <c r="A128" s="2"/>
      <c r="B128" s="1"/>
      <c r="D128" s="116"/>
      <c r="E128" s="116"/>
      <c r="F128" s="116"/>
      <c r="G128" s="116"/>
      <c r="H128" s="116"/>
    </row>
    <row r="129" spans="1:1" x14ac:dyDescent="0.25">
      <c r="A129" s="2"/>
    </row>
  </sheetData>
  <sheetProtection algorithmName="SHA-512" hashValue="aafYOJVnqIQDHKpyAdlszxPh0ofv2dVSgkok9aCm1WjJ2o0j4/LrI/QoA13jwiswGUp6HzHCIp45vOLj7VILXQ==" saltValue="xuV9UTr5rU7AXbbbityi1g==" spinCount="100000" sheet="1" objects="1" scenarios="1"/>
  <customSheetViews>
    <customSheetView guid="{570718A7-A7FA-4CAF-BE18-A3F9233610F9}" scale="89" topLeftCell="A52">
      <selection activeCell="H76" sqref="H75:H77"/>
      <pageMargins left="0.7" right="0.7" top="0.75" bottom="0.75" header="0.3" footer="0.3"/>
      <pageSetup orientation="portrait" r:id="rId1"/>
    </customSheetView>
  </customSheetViews>
  <dataValidations count="40">
    <dataValidation type="list" allowBlank="1" showInputMessage="1" showErrorMessage="1" sqref="Q122">
      <formula1>"100,75,50,40"</formula1>
    </dataValidation>
    <dataValidation type="list" allowBlank="1" showInputMessage="1" showErrorMessage="1" sqref="Q121">
      <formula1>"Electric,Gas-fired"</formula1>
    </dataValidation>
    <dataValidation type="list" allowBlank="1" showInputMessage="1" showErrorMessage="1" sqref="Q98 Q76">
      <formula1>"Manual thermostat,Twist Timer"</formula1>
    </dataValidation>
    <dataValidation type="list" allowBlank="1" showInputMessage="1" showErrorMessage="1" sqref="Q100 Q78">
      <formula1>"5, 4, 3.5,3,2.5,2"</formula1>
    </dataValidation>
    <dataValidation type="list" allowBlank="1" showInputMessage="1" showErrorMessage="1" sqref="Q87">
      <formula1>"No control,Two way valve,Inlet vane,Other"</formula1>
    </dataValidation>
    <dataValidation type="list" allowBlank="1" showInputMessage="1" showErrorMessage="1" sqref="Q68 Q58 Q27 Q42 E27 E42 E58 E68 E79 E90 E101 E112 E123">
      <formula1>"Yes,No"</formula1>
    </dataValidation>
    <dataValidation type="list" allowBlank="1" showInputMessage="1" showErrorMessage="1" sqref="Q66 Q56">
      <formula1>"Gas-fired heater,propane-fired heater,oil-fired heater"</formula1>
    </dataValidation>
    <dataValidation allowBlank="1" showInputMessage="1" showErrorMessage="1" promptTitle="ECM 12" prompt="Please enter the total installation cost (i.e. material and labor) for this measure." sqref="C49"/>
    <dataValidation allowBlank="1" showInputMessage="1" showErrorMessage="1" promptTitle="ECM 12" prompt="Please enter the utility rebate for this measure, if known." sqref="C50:C51"/>
    <dataValidation allowBlank="1" showInputMessage="1" showErrorMessage="1" promptTitle="ECM 12" prompt="Please enter the quantity of heat pumps to be replaced with SEER 13 units." sqref="C42"/>
    <dataValidation allowBlank="1" showInputMessage="1" showErrorMessage="1" promptTitle="ECM 12" prompt="Please enter the quantity of heat pumps to be replaced with SEER 14 units." sqref="C43"/>
    <dataValidation allowBlank="1" showInputMessage="1" showErrorMessage="1" promptTitle="ECM 12" prompt="Please enter the quantity of heat pumps to be replaced with SEER 15 units." sqref="C44"/>
    <dataValidation allowBlank="1" showInputMessage="1" showErrorMessage="1" promptTitle="ECM 12" prompt="Please enter the total AC tonnage to be replaced with SEER 13." sqref="C45"/>
    <dataValidation allowBlank="1" showInputMessage="1" showErrorMessage="1" promptTitle="ECM 12" prompt="Please enter the total AC tonnage to be replaced with SEER 14." sqref="C46"/>
    <dataValidation allowBlank="1" showInputMessage="1" showErrorMessage="1" promptTitle="ECM 12" prompt="Please enter the total AC tonnage to be replaced with SEER 15." sqref="C47"/>
    <dataValidation type="list" allowBlank="1" showInputMessage="1" showErrorMessage="1" promptTitle="ECM 12" prompt="Please select the utility (or nearest utility) area the unit is installed in." sqref="C48">
      <formula1>"PGE,SCE&amp;SCG,SDGE"</formula1>
    </dataValidation>
    <dataValidation allowBlank="1" showInputMessage="1" showErrorMessage="1" promptTitle="ECM 11" prompt="Please enter the quantity of airconditioners to be replaced with SEER 13 units." sqref="C27"/>
    <dataValidation allowBlank="1" showInputMessage="1" showErrorMessage="1" promptTitle="ECM 11" prompt="Please enter the quantity of airconditioners to be replaced with SEER 14 units." sqref="C28"/>
    <dataValidation allowBlank="1" showInputMessage="1" showErrorMessage="1" promptTitle="ECM 11" prompt="Please enter the total AC tonnage to be replaced with SEER 13." sqref="C29"/>
    <dataValidation allowBlank="1" showInputMessage="1" showErrorMessage="1" promptTitle="ECM 11" prompt="Please enter the total AC tonnage to be replaced with SEER 14." sqref="C30"/>
    <dataValidation type="list" allowBlank="1" showInputMessage="1" showErrorMessage="1" promptTitle="ECM 11" prompt="Please select the utility (or nearest utility) area the unit is installed in." sqref="C31">
      <formula1>"PGE,SCE&amp;SCG,SDGE"</formula1>
    </dataValidation>
    <dataValidation allowBlank="1" showInputMessage="1" showErrorMessage="1" promptTitle="ECM 11" prompt="Please enter the total installation cost (i.e. material and labor) for this measure." sqref="C32"/>
    <dataValidation allowBlank="1" showInputMessage="1" showErrorMessage="1" promptTitle="ECM 11" prompt="Please enter the utility rebate for this measure, if known." sqref="C33:C34"/>
    <dataValidation allowBlank="1" showInputMessage="1" showErrorMessage="1" promptTitle="ECM 14" prompt="Please enter the total installation cost (i.e. material and labor) for this measure." sqref="C77"/>
    <dataValidation allowBlank="1" showInputMessage="1" showErrorMessage="1" promptTitle="ECM 14" prompt="Please enter the utility rebate for this measure, if known." sqref="C78"/>
    <dataValidation allowBlank="1" showInputMessage="1" showErrorMessage="1" promptTitle="ECM 14" prompt="Please enter the tons of total airconditioners for which ducts will be sealred." sqref="C76"/>
    <dataValidation type="list" allowBlank="1" showInputMessage="1" showErrorMessage="1" promptTitle="ECM 13B" prompt="Please select the utility (or nearest utility) area the unit is installed in." sqref="C69">
      <formula1>"PGE,SCE&amp;SCG,SDGE"</formula1>
    </dataValidation>
    <dataValidation allowBlank="1" showInputMessage="1" showErrorMessage="1" promptTitle="ECM 13B" prompt="Please enter the total installation cost (i.e. material and labor) for this measure." sqref="C70"/>
    <dataValidation allowBlank="1" showInputMessage="1" showErrorMessage="1" promptTitle="ECM 13B" prompt="Please enter the utility rebate for this measure, if known." sqref="C71"/>
    <dataValidation allowBlank="1" showInputMessage="1" showErrorMessage="1" promptTitle="ECM 13B" prompt="Please enter the quantity of furnaces to be replaced with AFUE 92-94 units." sqref="C65"/>
    <dataValidation allowBlank="1" showInputMessage="1" showErrorMessage="1" promptTitle="ECM 13B" prompt="Please enter the quantity of furnaces to be replaced with AFUE 95-97 units." sqref="C66"/>
    <dataValidation allowBlank="1" showInputMessage="1" showErrorMessage="1" promptTitle="ECM 13B" prompt="Please enter the total kBtu/hr from all units to be replaced with AFUE92-94 units." sqref="C67"/>
    <dataValidation allowBlank="1" showInputMessage="1" showErrorMessage="1" promptTitle="ECM 13B" prompt="Please enter the total kBtu/hr from all units to be replaced with AFUE95-97 units." sqref="C68"/>
    <dataValidation allowBlank="1" showInputMessage="1" showErrorMessage="1" promptTitle="ECM 13A" prompt="Please enter the total installation cost (i.e. material and labor) for this measure." sqref="C60"/>
    <dataValidation allowBlank="1" showInputMessage="1" showErrorMessage="1" promptTitle="ECM 13A" prompt="Please enter the utility rebate for this measure, if known." sqref="C61"/>
    <dataValidation type="list" allowBlank="1" showInputMessage="1" showErrorMessage="1" promptTitle="ECM 13A" prompt="Please select the utility (or nearest utility) area the unit is installed in." sqref="C59">
      <formula1>"PGE,SCE&amp;SCG,SDGE"</formula1>
    </dataValidation>
    <dataValidation allowBlank="1" showInputMessage="1" showErrorMessage="1" promptTitle="ECM 13A" prompt="Please enter the quantity of boilers to be replaced with AFUE 92-94 units." sqref="C55"/>
    <dataValidation allowBlank="1" showInputMessage="1" showErrorMessage="1" promptTitle="ECM 13A" prompt="Please enter the quantity of boilers to be replaced with AFUE 95-97 units." sqref="C56"/>
    <dataValidation allowBlank="1" showInputMessage="1" showErrorMessage="1" promptTitle="ECM 13A" prompt="Please enter the total kBtu/hr from all units to be replaced with AFUE92-94 units." sqref="C57"/>
    <dataValidation allowBlank="1" showInputMessage="1" showErrorMessage="1" promptTitle="ECM 13A" prompt="Please enter the total kBtu/hr from all units to be replaced with AFUE95-97 units." sqref="C58"/>
  </dataValidations>
  <pageMargins left="0.7" right="0.45" top="0.75" bottom="0.75" header="0.3" footer="0.3"/>
  <pageSetup scale="8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85" zoomScaleNormal="85" workbookViewId="0"/>
  </sheetViews>
  <sheetFormatPr defaultRowHeight="14.3" x14ac:dyDescent="0.25"/>
  <cols>
    <col min="1" max="1" width="12" style="18" customWidth="1"/>
    <col min="2" max="2" width="66.375" style="18" customWidth="1"/>
    <col min="3" max="3" width="12.875" style="9" customWidth="1"/>
    <col min="4" max="4" width="9.125" style="18"/>
    <col min="5" max="5" width="12.25" style="18" customWidth="1"/>
    <col min="6" max="6" width="14.625" style="18" customWidth="1"/>
    <col min="7" max="7" width="12.625" style="18" customWidth="1"/>
    <col min="8" max="8" width="14.625" style="18" customWidth="1"/>
    <col min="9" max="9" width="8" style="18" customWidth="1"/>
    <col min="10" max="10" width="4.375" style="18" customWidth="1"/>
    <col min="11" max="11" width="9.125" style="18"/>
    <col min="12" max="12" width="15.75" style="18" customWidth="1"/>
    <col min="13" max="13" width="9.625" style="18" customWidth="1"/>
    <col min="14" max="14" width="9.125" style="18"/>
    <col min="15" max="15" width="13.75" style="18" customWidth="1"/>
    <col min="16" max="16" width="12.25" style="18" customWidth="1"/>
    <col min="17" max="17" width="7.125" style="18" customWidth="1"/>
    <col min="18" max="18" width="15.75" style="18" customWidth="1"/>
    <col min="19" max="19" width="8.25" style="18" customWidth="1"/>
    <col min="20" max="20" width="14.375" style="18" customWidth="1"/>
    <col min="21" max="21" width="14.25" style="18" customWidth="1"/>
    <col min="22" max="22" width="9.125" style="18" customWidth="1"/>
    <col min="23" max="23" width="7.625" style="18" customWidth="1"/>
    <col min="24" max="24" width="18.375" style="18" customWidth="1"/>
    <col min="25" max="25" width="10.75" style="18" customWidth="1"/>
    <col min="26" max="26" width="12.125" style="18" customWidth="1"/>
    <col min="27" max="27" width="10.75" style="18" customWidth="1"/>
    <col min="28" max="28" width="10" style="18" customWidth="1"/>
    <col min="29" max="29" width="9.875" style="18" customWidth="1"/>
    <col min="30" max="30" width="10" style="18" customWidth="1"/>
    <col min="31" max="37" width="9.125" style="18"/>
  </cols>
  <sheetData>
    <row r="1" spans="1:37" ht="19.55" thickBot="1" x14ac:dyDescent="0.35">
      <c r="B1" s="135" t="s">
        <v>20</v>
      </c>
      <c r="C1" s="9" t="str">
        <f>Benchmarking!C1</f>
        <v>Version 8.1</v>
      </c>
    </row>
    <row r="2" spans="1:37" ht="19.55" thickBot="1" x14ac:dyDescent="0.35">
      <c r="A2" s="713" t="s">
        <v>350</v>
      </c>
      <c r="B2" s="714"/>
    </row>
    <row r="3" spans="1:37" ht="30.1" thickBot="1" x14ac:dyDescent="0.3">
      <c r="A3" s="715" t="s">
        <v>351</v>
      </c>
      <c r="B3" s="716">
        <f>Benchmarking!B3</f>
        <v>0</v>
      </c>
    </row>
    <row r="4" spans="1:37" ht="27.7" customHeight="1" thickBot="1" x14ac:dyDescent="0.3">
      <c r="A4" s="717" t="s">
        <v>352</v>
      </c>
      <c r="B4" s="718">
        <f>Benchmarking!B4</f>
        <v>0</v>
      </c>
    </row>
    <row r="5" spans="1:37" ht="30.1" thickBot="1" x14ac:dyDescent="0.3">
      <c r="A5" s="719" t="s">
        <v>353</v>
      </c>
      <c r="B5" s="720">
        <f>Benchmarking!B5</f>
        <v>0</v>
      </c>
    </row>
    <row r="7" spans="1:37" ht="14.95" x14ac:dyDescent="0.25">
      <c r="B7" s="42" t="s">
        <v>364</v>
      </c>
    </row>
    <row r="8" spans="1:37" ht="14.95" x14ac:dyDescent="0.25">
      <c r="B8" s="42" t="s">
        <v>23</v>
      </c>
    </row>
    <row r="9" spans="1:37" ht="14.95" x14ac:dyDescent="0.25">
      <c r="B9" s="721" t="s">
        <v>490</v>
      </c>
    </row>
    <row r="10" spans="1:37" ht="14.95" x14ac:dyDescent="0.25">
      <c r="B10" s="721" t="s">
        <v>491</v>
      </c>
    </row>
    <row r="11" spans="1:37" s="128" customFormat="1" ht="14.95" x14ac:dyDescent="0.25">
      <c r="A11" s="18"/>
      <c r="B11" s="18"/>
      <c r="C11" s="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4.95" x14ac:dyDescent="0.25">
      <c r="A12" s="209" t="s">
        <v>291</v>
      </c>
      <c r="B12" s="42" t="s">
        <v>54</v>
      </c>
      <c r="C12" s="9" t="s">
        <v>102</v>
      </c>
    </row>
    <row r="13" spans="1:37" ht="14.95" x14ac:dyDescent="0.25">
      <c r="A13" s="209" t="s">
        <v>292</v>
      </c>
      <c r="B13" s="42" t="s">
        <v>57</v>
      </c>
      <c r="C13" s="9" t="s">
        <v>116</v>
      </c>
      <c r="L13" s="19" t="s">
        <v>27</v>
      </c>
      <c r="M13" s="21">
        <v>0.02</v>
      </c>
    </row>
    <row r="14" spans="1:37" ht="14.95" x14ac:dyDescent="0.25">
      <c r="L14" s="19" t="s">
        <v>25</v>
      </c>
      <c r="M14" s="21">
        <f>M13+0.03</f>
        <v>0.05</v>
      </c>
    </row>
    <row r="15" spans="1:37" ht="14.95" x14ac:dyDescent="0.25">
      <c r="L15" s="19" t="s">
        <v>26</v>
      </c>
      <c r="M15" s="21">
        <v>0.04</v>
      </c>
    </row>
    <row r="16" spans="1:37" ht="14.95" x14ac:dyDescent="0.25">
      <c r="L16" s="22" t="s">
        <v>28</v>
      </c>
      <c r="M16" s="21">
        <v>0.05</v>
      </c>
    </row>
    <row r="17" spans="1:37" ht="14.95" x14ac:dyDescent="0.25">
      <c r="L17" s="19" t="s">
        <v>24</v>
      </c>
      <c r="M17" s="21">
        <v>0.03</v>
      </c>
    </row>
    <row r="18" spans="1:37" s="128" customFormat="1" ht="14.95" x14ac:dyDescent="0.25">
      <c r="A18" s="18"/>
      <c r="B18" s="18"/>
      <c r="C18" s="9"/>
      <c r="D18" s="18"/>
      <c r="E18" s="18"/>
      <c r="F18" s="18"/>
      <c r="G18" s="18"/>
      <c r="H18" s="18"/>
      <c r="I18" s="18"/>
      <c r="J18" s="18"/>
      <c r="K18" s="18"/>
      <c r="L18" s="238"/>
      <c r="M18" s="71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19.7" thickBot="1" x14ac:dyDescent="0.4">
      <c r="K19" s="135" t="s">
        <v>113</v>
      </c>
      <c r="X19" s="23" t="s">
        <v>111</v>
      </c>
      <c r="AE19" s="349" t="s">
        <v>460</v>
      </c>
    </row>
    <row r="20" spans="1:37" ht="52" customHeight="1" thickBot="1" x14ac:dyDescent="0.3">
      <c r="A20" s="722" t="s">
        <v>291</v>
      </c>
      <c r="B20" s="723" t="str">
        <f>B12</f>
        <v xml:space="preserve">Install smart strip/PC management to control computers/printers </v>
      </c>
      <c r="C20" s="11" t="s">
        <v>51</v>
      </c>
      <c r="D20" s="107"/>
      <c r="E20" s="808" t="s">
        <v>458</v>
      </c>
      <c r="F20" s="809"/>
      <c r="G20" s="809"/>
      <c r="H20" s="809"/>
      <c r="I20" s="810"/>
      <c r="J20" s="107"/>
      <c r="K20" s="24"/>
      <c r="L20" s="52" t="str">
        <f>A20</f>
        <v>ECM 19</v>
      </c>
      <c r="M20" s="25" t="s">
        <v>3</v>
      </c>
      <c r="N20" s="26" t="s">
        <v>1</v>
      </c>
      <c r="O20" s="27" t="s">
        <v>366</v>
      </c>
      <c r="P20" s="27" t="s">
        <v>288</v>
      </c>
      <c r="R20" s="821" t="s">
        <v>74</v>
      </c>
      <c r="S20" s="822"/>
      <c r="T20" s="822"/>
      <c r="U20" s="822"/>
      <c r="V20" s="823"/>
      <c r="X20" s="28" t="s">
        <v>29</v>
      </c>
      <c r="Y20" s="28">
        <v>0</v>
      </c>
      <c r="Z20" s="29">
        <v>1</v>
      </c>
      <c r="AA20" s="29">
        <v>2</v>
      </c>
      <c r="AB20" s="29">
        <v>3</v>
      </c>
      <c r="AC20" s="29">
        <v>4</v>
      </c>
      <c r="AD20" s="30"/>
      <c r="AE20" s="28">
        <v>0</v>
      </c>
      <c r="AF20" s="29">
        <v>1</v>
      </c>
      <c r="AG20" s="29">
        <v>2</v>
      </c>
      <c r="AH20" s="29">
        <v>3</v>
      </c>
      <c r="AI20" s="29">
        <v>4</v>
      </c>
    </row>
    <row r="21" spans="1:37" x14ac:dyDescent="0.25">
      <c r="A21" s="724" t="s">
        <v>290</v>
      </c>
      <c r="B21" s="725" t="s">
        <v>383</v>
      </c>
      <c r="C21" s="447"/>
      <c r="D21" s="74"/>
      <c r="E21" s="160"/>
      <c r="F21" s="84" t="s">
        <v>314</v>
      </c>
      <c r="G21" s="352">
        <f>'Total-Summary'!C27</f>
        <v>0</v>
      </c>
      <c r="H21" s="85" t="s">
        <v>378</v>
      </c>
      <c r="I21" s="86"/>
      <c r="J21" s="74"/>
      <c r="K21" s="31" t="s">
        <v>7</v>
      </c>
      <c r="L21" s="31" t="s">
        <v>50</v>
      </c>
      <c r="M21" s="28">
        <f>C21*0.12</f>
        <v>0</v>
      </c>
      <c r="N21" s="28">
        <f>11*220</f>
        <v>2420</v>
      </c>
      <c r="O21" s="32">
        <f>M21*N21</f>
        <v>0</v>
      </c>
      <c r="P21" s="32">
        <v>0</v>
      </c>
      <c r="R21" s="160"/>
      <c r="S21" s="84" t="s">
        <v>314</v>
      </c>
      <c r="T21" s="492">
        <f>M23</f>
        <v>0</v>
      </c>
      <c r="U21" s="85" t="s">
        <v>378</v>
      </c>
      <c r="V21" s="86"/>
      <c r="X21" s="28" t="s">
        <v>29</v>
      </c>
      <c r="Y21" s="28">
        <v>2013</v>
      </c>
      <c r="Z21" s="28">
        <f>Y21+1</f>
        <v>2014</v>
      </c>
      <c r="AA21" s="28">
        <f t="shared" ref="AA21:AC21" si="0">Z21+1</f>
        <v>2015</v>
      </c>
      <c r="AB21" s="28">
        <f t="shared" si="0"/>
        <v>2016</v>
      </c>
      <c r="AC21" s="28">
        <f t="shared" si="0"/>
        <v>2017</v>
      </c>
      <c r="AD21" s="33"/>
      <c r="AE21" s="28">
        <v>2013</v>
      </c>
      <c r="AF21" s="28">
        <f>AE21+1</f>
        <v>2014</v>
      </c>
      <c r="AG21" s="28">
        <f t="shared" ref="AG21" si="1">AF21+1</f>
        <v>2015</v>
      </c>
      <c r="AH21" s="28">
        <f t="shared" ref="AH21" si="2">AG21+1</f>
        <v>2016</v>
      </c>
      <c r="AI21" s="28">
        <f t="shared" ref="AI21" si="3">AH21+1</f>
        <v>2017</v>
      </c>
    </row>
    <row r="22" spans="1:37" ht="14.95" x14ac:dyDescent="0.25">
      <c r="A22" s="691"/>
      <c r="B22" s="96" t="s">
        <v>21</v>
      </c>
      <c r="C22" s="448"/>
      <c r="D22" s="74"/>
      <c r="E22" s="161"/>
      <c r="F22" s="41" t="s">
        <v>5</v>
      </c>
      <c r="G22" s="353">
        <f>'Total-Summary'!D27</f>
        <v>0</v>
      </c>
      <c r="H22" s="79" t="s">
        <v>6</v>
      </c>
      <c r="I22" s="88"/>
      <c r="J22" s="74"/>
      <c r="K22" s="31" t="s">
        <v>8</v>
      </c>
      <c r="L22" s="31">
        <f>C22</f>
        <v>0</v>
      </c>
      <c r="M22" s="28">
        <f>C21*0.12</f>
        <v>0</v>
      </c>
      <c r="N22" s="28">
        <f>N21*0.5</f>
        <v>1210</v>
      </c>
      <c r="O22" s="32">
        <f>N22*M22</f>
        <v>0</v>
      </c>
      <c r="P22" s="377">
        <f>-(O21-O22)*3413/100000</f>
        <v>0</v>
      </c>
      <c r="R22" s="161"/>
      <c r="S22" s="41" t="s">
        <v>5</v>
      </c>
      <c r="T22" s="493">
        <f>O23</f>
        <v>0</v>
      </c>
      <c r="U22" s="79" t="s">
        <v>6</v>
      </c>
      <c r="V22" s="88"/>
      <c r="X22" s="70" t="s">
        <v>30</v>
      </c>
      <c r="Y22" s="70">
        <v>0</v>
      </c>
      <c r="Z22" s="314">
        <f>T25</f>
        <v>0</v>
      </c>
      <c r="AA22" s="70">
        <f>Z22*(1+$M$15)</f>
        <v>0</v>
      </c>
      <c r="AB22" s="70">
        <f>AA22*(1+$M$15)</f>
        <v>0</v>
      </c>
      <c r="AC22" s="70">
        <f>AB22*(1+$M$15)</f>
        <v>0</v>
      </c>
      <c r="AD22" s="34"/>
      <c r="AE22" s="70">
        <v>0</v>
      </c>
      <c r="AF22" s="314">
        <f>'Total-Summary'!H27</f>
        <v>0</v>
      </c>
      <c r="AG22" s="70">
        <f>AF22*(1+$M$15)</f>
        <v>0</v>
      </c>
      <c r="AH22" s="70">
        <f>AG22*(1+$M$15)</f>
        <v>0</v>
      </c>
      <c r="AI22" s="70">
        <f>AH22*(1+$M$15)</f>
        <v>0</v>
      </c>
    </row>
    <row r="23" spans="1:37" ht="15.8" thickBot="1" x14ac:dyDescent="0.3">
      <c r="A23" s="691"/>
      <c r="B23" s="96" t="s">
        <v>235</v>
      </c>
      <c r="C23" s="445"/>
      <c r="D23" s="74"/>
      <c r="E23" s="173"/>
      <c r="F23" s="162" t="s">
        <v>5</v>
      </c>
      <c r="G23" s="353">
        <f>'Total-Summary'!E27</f>
        <v>0</v>
      </c>
      <c r="H23" s="33" t="s">
        <v>379</v>
      </c>
      <c r="I23" s="165"/>
      <c r="J23" s="74"/>
      <c r="K23" s="35"/>
      <c r="L23" s="35" t="s">
        <v>2</v>
      </c>
      <c r="M23" s="36">
        <f>M21-M22</f>
        <v>0</v>
      </c>
      <c r="N23" s="38">
        <f>N21-N22</f>
        <v>1210</v>
      </c>
      <c r="O23" s="38">
        <f>(O21-O22)*'AVG lighting impact'!B10</f>
        <v>0</v>
      </c>
      <c r="P23" s="38">
        <f>P22-P21</f>
        <v>0</v>
      </c>
      <c r="R23" s="173"/>
      <c r="S23" s="162" t="s">
        <v>5</v>
      </c>
      <c r="T23" s="494">
        <f>IF(Benchmarking!B20=0,0,P23)</f>
        <v>0</v>
      </c>
      <c r="U23" s="33" t="s">
        <v>379</v>
      </c>
      <c r="V23" s="165"/>
      <c r="X23" s="28" t="s">
        <v>31</v>
      </c>
      <c r="Y23" s="28"/>
      <c r="Z23" s="314">
        <f>C23*$M$17</f>
        <v>0</v>
      </c>
      <c r="AA23" s="70">
        <f>Z23*(1+$M$13)</f>
        <v>0</v>
      </c>
      <c r="AB23" s="70">
        <f>AA23*(1+$M$13)</f>
        <v>0</v>
      </c>
      <c r="AC23" s="70">
        <f>AB23*(1+$M$13)</f>
        <v>0</v>
      </c>
      <c r="AD23" s="34"/>
    </row>
    <row r="24" spans="1:37" ht="15.8" thickBot="1" x14ac:dyDescent="0.3">
      <c r="A24" s="693"/>
      <c r="B24" s="726" t="s">
        <v>236</v>
      </c>
      <c r="C24" s="446"/>
      <c r="D24" s="106"/>
      <c r="E24" s="173"/>
      <c r="F24" s="166" t="s">
        <v>14</v>
      </c>
      <c r="G24" s="163">
        <f>IF(C21=0,0,IF(ABS(T24)&gt;(Benchmarking!B$26+Benchmarking!B$23)*0.5*0.1,-(Benchmarking!B$23+Benchmarking!B$26)*0.5*0.1,T24))</f>
        <v>0</v>
      </c>
      <c r="H24" s="164" t="s">
        <v>48</v>
      </c>
      <c r="I24" s="167" t="str">
        <f>IF(Benchmarking!$E$24&gt;0,"NA",IF(Benchmarking!$E$25&gt;0,"Propane","Fuel Oil"))</f>
        <v>Fuel Oil</v>
      </c>
      <c r="J24" s="106"/>
      <c r="R24" s="173"/>
      <c r="S24" s="166" t="s">
        <v>14</v>
      </c>
      <c r="T24" s="494">
        <f>IF(Benchmarking!E$24&gt;0,0,IF(Benchmarking!E$25&gt;0,P23/0.925,P23/1.385))</f>
        <v>0</v>
      </c>
      <c r="U24" s="164" t="s">
        <v>48</v>
      </c>
      <c r="V24" s="167" t="str">
        <f>IF(Benchmarking!E$24&gt;0,"NA",IF(Benchmarking!E$25&gt;0,"Propane","Fuel Oil"))</f>
        <v>Fuel Oil</v>
      </c>
      <c r="X24" s="28" t="s">
        <v>32</v>
      </c>
      <c r="Y24" s="28"/>
      <c r="Z24" s="39">
        <v>0</v>
      </c>
      <c r="AA24" s="39">
        <v>0</v>
      </c>
      <c r="AB24" s="39">
        <v>0</v>
      </c>
      <c r="AC24" s="39">
        <v>0</v>
      </c>
      <c r="AD24" s="40"/>
    </row>
    <row r="25" spans="1:37" ht="14.95" x14ac:dyDescent="0.25">
      <c r="A25" s="107"/>
      <c r="D25" s="74"/>
      <c r="E25" s="161"/>
      <c r="F25" s="89" t="s">
        <v>14</v>
      </c>
      <c r="G25" s="379">
        <f>'Total-Summary'!H27</f>
        <v>0</v>
      </c>
      <c r="H25" s="79" t="s">
        <v>15</v>
      </c>
      <c r="I25" s="165"/>
      <c r="J25" s="74"/>
      <c r="L25" s="204"/>
      <c r="M25" s="205"/>
      <c r="N25" s="74"/>
      <c r="O25" s="42"/>
      <c r="R25" s="161"/>
      <c r="S25" s="89" t="s">
        <v>14</v>
      </c>
      <c r="T25" s="497">
        <f>IF($T22=0,0,$T22*(Benchmarking!$E$23*0.8)+Benchmarking!$E$24*$T23+IF(Benchmarking!$B$23=0,Benchmarking!$E$26*$T24,$T24*Benchmarking!$E$25))</f>
        <v>0</v>
      </c>
      <c r="U25" s="79" t="s">
        <v>15</v>
      </c>
      <c r="V25" s="165"/>
      <c r="X25" s="28" t="s">
        <v>33</v>
      </c>
      <c r="Y25" s="43"/>
      <c r="Z25" s="44">
        <f>Z22+Z23-Z24</f>
        <v>0</v>
      </c>
      <c r="AA25" s="44">
        <f>AA22+AA23-AA24</f>
        <v>0</v>
      </c>
      <c r="AB25" s="44">
        <f>AB22+AB23-AB24</f>
        <v>0</v>
      </c>
      <c r="AC25" s="44">
        <f>AC22+AC23-AC24</f>
        <v>0</v>
      </c>
      <c r="AD25" s="45"/>
      <c r="AE25" s="18" t="s">
        <v>461</v>
      </c>
      <c r="AF25" s="729">
        <f>AF22+Z23-Z24</f>
        <v>0</v>
      </c>
      <c r="AG25" s="729">
        <f t="shared" ref="AG25:AI25" si="4">AG22+AA23-AA24</f>
        <v>0</v>
      </c>
      <c r="AH25" s="729">
        <f t="shared" si="4"/>
        <v>0</v>
      </c>
      <c r="AI25" s="729">
        <f t="shared" si="4"/>
        <v>0</v>
      </c>
    </row>
    <row r="26" spans="1:37" ht="14.95" x14ac:dyDescent="0.25">
      <c r="A26" s="107"/>
      <c r="E26" s="168"/>
      <c r="F26" s="89" t="s">
        <v>16</v>
      </c>
      <c r="G26" s="301">
        <f>IF(C23=0,0,(C23-C24)/G25)</f>
        <v>0</v>
      </c>
      <c r="H26" s="79" t="s">
        <v>17</v>
      </c>
      <c r="I26" s="167"/>
      <c r="J26" s="74"/>
      <c r="O26" s="42"/>
      <c r="R26" s="168"/>
      <c r="S26" s="89" t="s">
        <v>16</v>
      </c>
      <c r="T26" s="495">
        <f>IF(C21=0,0,(C23-C24)/T25)</f>
        <v>0</v>
      </c>
      <c r="U26" s="79" t="s">
        <v>17</v>
      </c>
      <c r="V26" s="167"/>
      <c r="X26" s="46" t="s">
        <v>115</v>
      </c>
      <c r="Y26" s="46"/>
      <c r="Z26" s="47">
        <f>NPV($M$14,Z25:AC25)</f>
        <v>0</v>
      </c>
      <c r="AA26" s="46"/>
      <c r="AB26" s="46"/>
      <c r="AC26" s="46"/>
    </row>
    <row r="27" spans="1:37" ht="15.8" thickBot="1" x14ac:dyDescent="0.3">
      <c r="A27" s="107"/>
      <c r="D27" s="74"/>
      <c r="E27" s="169"/>
      <c r="F27" s="90" t="s">
        <v>257</v>
      </c>
      <c r="G27" s="170">
        <f>IF($C23=0,0,IF($C24&gt;$C23*0.95,$Z27/($C23-($C23*0.95)+1-$C23*$M$16),$Z27/($C23-$C24-$C23*$M$16)))</f>
        <v>0</v>
      </c>
      <c r="H27" s="171"/>
      <c r="I27" s="172"/>
      <c r="J27" s="74"/>
      <c r="O27" s="42"/>
      <c r="R27" s="169"/>
      <c r="S27" s="90" t="s">
        <v>257</v>
      </c>
      <c r="T27" s="496">
        <f>IF($C23=0,0,IF($C24&gt;$C23*0.95,$Z26/($C23-($C23*0.95)+1-$C23*$M$16),$Z26/($C23-$C24-$C23*$M$16)))</f>
        <v>0</v>
      </c>
      <c r="U27" s="171"/>
      <c r="V27" s="172"/>
      <c r="X27" s="310" t="s">
        <v>454</v>
      </c>
      <c r="Y27" s="310"/>
      <c r="Z27" s="312">
        <f>NPV(M14,AF25:AI25)</f>
        <v>0</v>
      </c>
    </row>
    <row r="28" spans="1:37" ht="14.95" x14ac:dyDescent="0.25">
      <c r="A28" s="107"/>
      <c r="D28" s="74"/>
      <c r="J28" s="74"/>
      <c r="O28" s="42"/>
      <c r="R28" s="74"/>
      <c r="S28" s="74"/>
      <c r="T28" s="74"/>
      <c r="U28" s="74"/>
      <c r="V28" s="74"/>
    </row>
    <row r="29" spans="1:37" ht="14.95" x14ac:dyDescent="0.25">
      <c r="A29" s="107"/>
    </row>
    <row r="30" spans="1:37" ht="23.95" customHeight="1" thickBot="1" x14ac:dyDescent="0.4">
      <c r="A30" s="107"/>
      <c r="D30" s="74"/>
      <c r="J30" s="74"/>
      <c r="K30" s="135" t="s">
        <v>113</v>
      </c>
      <c r="R30" s="74"/>
      <c r="S30" s="74"/>
      <c r="T30" s="74"/>
      <c r="U30" s="74"/>
      <c r="V30" s="74"/>
      <c r="X30" s="23" t="s">
        <v>112</v>
      </c>
      <c r="AF30" s="349" t="s">
        <v>460</v>
      </c>
    </row>
    <row r="31" spans="1:37" ht="52" customHeight="1" thickBot="1" x14ac:dyDescent="0.35">
      <c r="A31" s="727" t="s">
        <v>292</v>
      </c>
      <c r="B31" s="728" t="str">
        <f>B13</f>
        <v>Install vending machine occupancy control</v>
      </c>
      <c r="C31" s="11" t="s">
        <v>51</v>
      </c>
      <c r="D31" s="110"/>
      <c r="E31" s="808" t="s">
        <v>458</v>
      </c>
      <c r="F31" s="809"/>
      <c r="G31" s="809"/>
      <c r="H31" s="809"/>
      <c r="I31" s="810"/>
      <c r="J31" s="110"/>
      <c r="K31" s="24"/>
      <c r="L31" s="52" t="str">
        <f>A31</f>
        <v>ECM 20</v>
      </c>
      <c r="M31" s="25" t="s">
        <v>3</v>
      </c>
      <c r="N31" s="26" t="s">
        <v>22</v>
      </c>
      <c r="O31" s="27" t="s">
        <v>366</v>
      </c>
      <c r="P31" s="27" t="s">
        <v>288</v>
      </c>
      <c r="R31" s="796" t="s">
        <v>74</v>
      </c>
      <c r="S31" s="797"/>
      <c r="T31" s="797"/>
      <c r="U31" s="797"/>
      <c r="V31" s="798"/>
      <c r="X31" s="28" t="s">
        <v>29</v>
      </c>
      <c r="Y31" s="28">
        <v>0</v>
      </c>
      <c r="Z31" s="29">
        <v>1</v>
      </c>
      <c r="AA31" s="29">
        <v>2</v>
      </c>
      <c r="AB31" s="29">
        <v>3</v>
      </c>
      <c r="AC31" s="29">
        <v>4</v>
      </c>
      <c r="AD31" s="29">
        <v>5</v>
      </c>
      <c r="AF31" s="28">
        <v>0</v>
      </c>
      <c r="AG31" s="29">
        <v>1</v>
      </c>
      <c r="AH31" s="29">
        <v>2</v>
      </c>
      <c r="AI31" s="29">
        <v>3</v>
      </c>
      <c r="AJ31" s="29">
        <v>4</v>
      </c>
      <c r="AK31" s="29">
        <v>5</v>
      </c>
    </row>
    <row r="32" spans="1:37" x14ac:dyDescent="0.25">
      <c r="A32" s="724" t="s">
        <v>289</v>
      </c>
      <c r="B32" s="96" t="s">
        <v>398</v>
      </c>
      <c r="C32" s="452"/>
      <c r="D32" s="110"/>
      <c r="E32" s="160"/>
      <c r="F32" s="84" t="s">
        <v>314</v>
      </c>
      <c r="G32" s="352">
        <f>'Total-Summary'!C28</f>
        <v>0</v>
      </c>
      <c r="H32" s="85" t="s">
        <v>378</v>
      </c>
      <c r="I32" s="86"/>
      <c r="J32" s="110"/>
      <c r="K32" s="31" t="s">
        <v>7</v>
      </c>
      <c r="L32" s="31" t="s">
        <v>50</v>
      </c>
      <c r="M32" s="28">
        <f>(C32*400*0.9+C33*75)/1000</f>
        <v>0</v>
      </c>
      <c r="N32" s="50">
        <v>0</v>
      </c>
      <c r="O32" s="376">
        <f>M32*8760</f>
        <v>0</v>
      </c>
      <c r="P32" s="376">
        <v>0</v>
      </c>
      <c r="R32" s="111"/>
      <c r="S32" s="84" t="s">
        <v>314</v>
      </c>
      <c r="T32" s="492">
        <f>M34</f>
        <v>0</v>
      </c>
      <c r="U32" s="85" t="s">
        <v>378</v>
      </c>
      <c r="V32" s="86"/>
      <c r="X32" s="28" t="s">
        <v>29</v>
      </c>
      <c r="Y32" s="28">
        <v>2013</v>
      </c>
      <c r="Z32" s="28">
        <f>Y32+1</f>
        <v>2014</v>
      </c>
      <c r="AA32" s="28">
        <f t="shared" ref="AA32:AD32" si="5">Z32+1</f>
        <v>2015</v>
      </c>
      <c r="AB32" s="28">
        <f t="shared" si="5"/>
        <v>2016</v>
      </c>
      <c r="AC32" s="28">
        <f t="shared" si="5"/>
        <v>2017</v>
      </c>
      <c r="AD32" s="28">
        <f t="shared" si="5"/>
        <v>2018</v>
      </c>
      <c r="AF32" s="28">
        <v>2013</v>
      </c>
      <c r="AG32" s="28">
        <f>AF32+1</f>
        <v>2014</v>
      </c>
      <c r="AH32" s="28">
        <f t="shared" ref="AH32" si="6">AG32+1</f>
        <v>2015</v>
      </c>
      <c r="AI32" s="28">
        <f t="shared" ref="AI32" si="7">AH32+1</f>
        <v>2016</v>
      </c>
      <c r="AJ32" s="28">
        <f t="shared" ref="AJ32" si="8">AI32+1</f>
        <v>2017</v>
      </c>
      <c r="AK32" s="28">
        <f t="shared" ref="AK32" si="9">AJ32+1</f>
        <v>2018</v>
      </c>
    </row>
    <row r="33" spans="1:37" ht="14.95" x14ac:dyDescent="0.25">
      <c r="A33" s="691"/>
      <c r="B33" s="96" t="s">
        <v>399</v>
      </c>
      <c r="C33" s="449"/>
      <c r="D33" s="74"/>
      <c r="E33" s="161"/>
      <c r="F33" s="41" t="s">
        <v>5</v>
      </c>
      <c r="G33" s="353">
        <f>'Total-Summary'!D28</f>
        <v>0</v>
      </c>
      <c r="H33" s="79" t="s">
        <v>6</v>
      </c>
      <c r="I33" s="88"/>
      <c r="J33" s="74"/>
      <c r="K33" s="31" t="s">
        <v>8</v>
      </c>
      <c r="L33" s="31" t="s">
        <v>287</v>
      </c>
      <c r="M33" s="28">
        <f>M32</f>
        <v>0</v>
      </c>
      <c r="N33" s="50">
        <v>0.42</v>
      </c>
      <c r="O33" s="376">
        <f>O32*(1-N33)</f>
        <v>0</v>
      </c>
      <c r="P33" s="376">
        <f>-(O32-O33)*3413/100000</f>
        <v>0</v>
      </c>
      <c r="R33" s="100"/>
      <c r="S33" s="41" t="s">
        <v>5</v>
      </c>
      <c r="T33" s="493">
        <f>O34</f>
        <v>0</v>
      </c>
      <c r="U33" s="79" t="s">
        <v>6</v>
      </c>
      <c r="V33" s="88"/>
      <c r="X33" s="70" t="s">
        <v>30</v>
      </c>
      <c r="Y33" s="70">
        <v>0</v>
      </c>
      <c r="Z33" s="70">
        <f>T36</f>
        <v>0</v>
      </c>
      <c r="AA33" s="70">
        <f>Z33*(1+$M$15)</f>
        <v>0</v>
      </c>
      <c r="AB33" s="70">
        <f>AA33*(1+$M$15)</f>
        <v>0</v>
      </c>
      <c r="AC33" s="70">
        <f>AB33*(1+$M$15)</f>
        <v>0</v>
      </c>
      <c r="AD33" s="70">
        <f>AC33*(1+$M$15)</f>
        <v>0</v>
      </c>
      <c r="AF33" s="70">
        <v>0</v>
      </c>
      <c r="AG33" s="70">
        <f>'Total-Summary'!H28</f>
        <v>0</v>
      </c>
      <c r="AH33" s="70">
        <f>AG33*(1+$M$15)</f>
        <v>0</v>
      </c>
      <c r="AI33" s="70">
        <f>AH33*(1+$M$15)</f>
        <v>0</v>
      </c>
      <c r="AJ33" s="70">
        <f>AI33*(1+$M$15)</f>
        <v>0</v>
      </c>
      <c r="AK33" s="70">
        <f>AJ33*(1+$M$15)</f>
        <v>0</v>
      </c>
    </row>
    <row r="34" spans="1:37" ht="14.95" thickBot="1" x14ac:dyDescent="0.3">
      <c r="A34" s="691"/>
      <c r="B34" s="96" t="s">
        <v>235</v>
      </c>
      <c r="C34" s="450"/>
      <c r="D34" s="106"/>
      <c r="E34" s="173"/>
      <c r="F34" s="162" t="s">
        <v>5</v>
      </c>
      <c r="G34" s="353">
        <f>'Total-Summary'!E28</f>
        <v>0</v>
      </c>
      <c r="H34" s="33" t="s">
        <v>379</v>
      </c>
      <c r="I34" s="165"/>
      <c r="J34" s="106"/>
      <c r="K34" s="35"/>
      <c r="L34" s="35" t="s">
        <v>2</v>
      </c>
      <c r="M34" s="36">
        <v>0</v>
      </c>
      <c r="N34" s="37"/>
      <c r="O34" s="378">
        <f>(O32-O33)*'AVG lighting impact'!B10</f>
        <v>0</v>
      </c>
      <c r="P34" s="378">
        <f>P33-P32</f>
        <v>0</v>
      </c>
      <c r="R34" s="104"/>
      <c r="S34" s="162" t="s">
        <v>5</v>
      </c>
      <c r="T34" s="494">
        <f>IF(Benchmarking!B20=0,0,P34)</f>
        <v>0</v>
      </c>
      <c r="U34" s="33" t="s">
        <v>379</v>
      </c>
      <c r="V34" s="165"/>
      <c r="X34" s="28" t="s">
        <v>31</v>
      </c>
      <c r="Y34" s="28"/>
      <c r="Z34" s="70">
        <f>C34*$M$17</f>
        <v>0</v>
      </c>
      <c r="AA34" s="70">
        <f>Z34*(1+$M$13)</f>
        <v>0</v>
      </c>
      <c r="AB34" s="70">
        <f>AA34*(1+$M$13)</f>
        <v>0</v>
      </c>
      <c r="AC34" s="70">
        <f>AB34*(1+$M$13)</f>
        <v>0</v>
      </c>
      <c r="AD34" s="70">
        <f>AC34*(1+$M$13)</f>
        <v>0</v>
      </c>
    </row>
    <row r="35" spans="1:37" ht="14.95" thickBot="1" x14ac:dyDescent="0.3">
      <c r="A35" s="693"/>
      <c r="B35" s="726" t="s">
        <v>236</v>
      </c>
      <c r="C35" s="451"/>
      <c r="D35" s="106"/>
      <c r="E35" s="173"/>
      <c r="F35" s="166" t="s">
        <v>14</v>
      </c>
      <c r="G35" s="163">
        <f>IF(C34=0,0,IF(ABS(T35)&gt;(Benchmarking!B$26+Benchmarking!B$23)*0.5*0.1,-(Benchmarking!B$23+Benchmarking!B$26)*0.5*0.1,T35))</f>
        <v>0</v>
      </c>
      <c r="H35" s="164" t="s">
        <v>48</v>
      </c>
      <c r="I35" s="167" t="str">
        <f>IF(Benchmarking!$E$24&gt;0,"NA",IF(Benchmarking!$E$25&gt;0,"Propane","Fuel Oil"))</f>
        <v>Fuel Oil</v>
      </c>
      <c r="J35" s="106"/>
      <c r="R35" s="104"/>
      <c r="S35" s="166" t="s">
        <v>14</v>
      </c>
      <c r="T35" s="494">
        <f>IF(Benchmarking!E$24&gt;0,0,IF(Benchmarking!E$25&gt;0,P34/0.925,P34/1.385))</f>
        <v>0</v>
      </c>
      <c r="U35" s="164" t="s">
        <v>48</v>
      </c>
      <c r="V35" s="167" t="str">
        <f>IF(Benchmarking!E$24&gt;0,"NA",IF(Benchmarking!E$25&gt;0,"Propane","Fuel Oil"))</f>
        <v>Fuel Oil</v>
      </c>
      <c r="X35" s="28" t="s">
        <v>32</v>
      </c>
      <c r="Y35" s="28"/>
      <c r="Z35" s="39">
        <v>0</v>
      </c>
      <c r="AA35" s="39">
        <v>0</v>
      </c>
      <c r="AB35" s="39">
        <v>0</v>
      </c>
      <c r="AC35" s="39">
        <v>0</v>
      </c>
      <c r="AD35" s="39">
        <v>0</v>
      </c>
    </row>
    <row r="36" spans="1:37" x14ac:dyDescent="0.25">
      <c r="A36" s="107"/>
      <c r="E36" s="161"/>
      <c r="F36" s="89" t="s">
        <v>14</v>
      </c>
      <c r="G36" s="372">
        <f>'Total-Summary'!H28</f>
        <v>0</v>
      </c>
      <c r="H36" s="79" t="s">
        <v>15</v>
      </c>
      <c r="I36" s="165"/>
      <c r="J36" s="74"/>
      <c r="L36" s="204"/>
      <c r="M36" s="206"/>
      <c r="N36" s="74"/>
      <c r="O36" s="42">
        <f>(O32-O33)*3413/100000</f>
        <v>0</v>
      </c>
      <c r="R36" s="102"/>
      <c r="S36" s="89" t="s">
        <v>14</v>
      </c>
      <c r="T36" s="497">
        <f>IF($T33=0,0,$T33*(Benchmarking!$E$23*0.8)+Benchmarking!$E$24*$T34+IF(Benchmarking!$B$23=0,Benchmarking!$E$26*$T35,$T35*Benchmarking!$E$25))</f>
        <v>0</v>
      </c>
      <c r="U36" s="79" t="s">
        <v>15</v>
      </c>
      <c r="V36" s="165"/>
      <c r="X36" s="28" t="s">
        <v>33</v>
      </c>
      <c r="Y36" s="43"/>
      <c r="Z36" s="44">
        <f>Z33+Z34-Z35</f>
        <v>0</v>
      </c>
      <c r="AA36" s="44">
        <f>AA33+AA34-AA35</f>
        <v>0</v>
      </c>
      <c r="AB36" s="44">
        <f>AB33+AB34-AB35</f>
        <v>0</v>
      </c>
      <c r="AC36" s="44">
        <f>AC33+AC34-AC35</f>
        <v>0</v>
      </c>
      <c r="AD36" s="44">
        <f>AD33+AD34-AD35</f>
        <v>0</v>
      </c>
      <c r="AF36" s="18" t="s">
        <v>461</v>
      </c>
      <c r="AG36" s="730">
        <f>AG33+Z34-Z35</f>
        <v>0</v>
      </c>
      <c r="AH36" s="730">
        <f t="shared" ref="AH36:AK36" si="10">AH33+AA34-AA35</f>
        <v>0</v>
      </c>
      <c r="AI36" s="730">
        <f t="shared" si="10"/>
        <v>0</v>
      </c>
      <c r="AJ36" s="730">
        <f t="shared" si="10"/>
        <v>0</v>
      </c>
      <c r="AK36" s="730">
        <f t="shared" si="10"/>
        <v>0</v>
      </c>
    </row>
    <row r="37" spans="1:37" x14ac:dyDescent="0.25">
      <c r="A37" s="107"/>
      <c r="E37" s="168"/>
      <c r="F37" s="89" t="s">
        <v>16</v>
      </c>
      <c r="G37" s="301">
        <f>IF(C34=0,0,(C34-C35)/G36)</f>
        <v>0</v>
      </c>
      <c r="H37" s="79" t="s">
        <v>17</v>
      </c>
      <c r="I37" s="167"/>
      <c r="O37" s="42"/>
      <c r="R37" s="102"/>
      <c r="S37" s="89" t="s">
        <v>16</v>
      </c>
      <c r="T37" s="495">
        <f>IF((C32+C33)=0,0,(C34-C35)/T36)</f>
        <v>0</v>
      </c>
      <c r="U37" s="79" t="s">
        <v>17</v>
      </c>
      <c r="V37" s="88"/>
      <c r="X37" s="46" t="s">
        <v>115</v>
      </c>
      <c r="Y37" s="46"/>
      <c r="Z37" s="47">
        <f>NPV($M$14,Z36:AD36)</f>
        <v>0</v>
      </c>
      <c r="AA37" s="46"/>
      <c r="AB37" s="46"/>
      <c r="AC37" s="46"/>
      <c r="AD37" s="46"/>
    </row>
    <row r="38" spans="1:37" ht="14.95" thickBot="1" x14ac:dyDescent="0.3">
      <c r="A38" s="107"/>
      <c r="E38" s="169"/>
      <c r="F38" s="90" t="s">
        <v>257</v>
      </c>
      <c r="G38" s="170">
        <f>IF($C34=0,0,IF($C35&gt;$C34*0.95,$Z38/($C34-($C34*0.95)+1-$C34*$M$16),$Z38/($C34-$C35-$C34*$M$16)))</f>
        <v>0</v>
      </c>
      <c r="H38" s="171"/>
      <c r="I38" s="172"/>
      <c r="O38" s="42"/>
      <c r="R38" s="109"/>
      <c r="S38" s="90" t="s">
        <v>257</v>
      </c>
      <c r="T38" s="496">
        <f>IF($C34=0,0,IF($C35&gt;$C34*0.95,$Z37/($C34-($C34*0.95)+1-$C34*$M$16),$Z37/($C34-$C35-$C34*$M$16)))</f>
        <v>0</v>
      </c>
      <c r="U38" s="82"/>
      <c r="V38" s="91"/>
      <c r="X38" s="310" t="s">
        <v>454</v>
      </c>
      <c r="Y38" s="310"/>
      <c r="Z38" s="312">
        <f>NPV(M14,AG36:AK36)</f>
        <v>0</v>
      </c>
    </row>
    <row r="39" spans="1:37" x14ac:dyDescent="0.25">
      <c r="A39" s="107"/>
      <c r="O39" s="42"/>
    </row>
    <row r="40" spans="1:37" x14ac:dyDescent="0.25">
      <c r="A40" s="107"/>
    </row>
    <row r="41" spans="1:37" x14ac:dyDescent="0.25">
      <c r="A41" s="107"/>
    </row>
  </sheetData>
  <sheetProtection algorithmName="SHA-512" hashValue="zqmtnH78XBoPWL8opTjWp7TXIVT9+Fx3MahF5h9bDSbD8TRGzhYbvZs/+aJMcgPQWFUC22VfVP9zQ5lMgNrsgg==" saltValue="8r3dVUI8/xjZhcJwi7z6hA==" spinCount="100000" sheet="1" objects="1" scenarios="1"/>
  <customSheetViews>
    <customSheetView guid="{570718A7-A7FA-4CAF-BE18-A3F9233610F9}">
      <pageMargins left="0.7" right="0.7" top="0.75" bottom="0.75" header="0.3" footer="0.3"/>
    </customSheetView>
  </customSheetViews>
  <dataValidations count="8">
    <dataValidation allowBlank="1" showInputMessage="1" showErrorMessage="1" promptTitle="ECM 20" prompt="Please enter the total installation cost (i.e. material and labor) for this measure." sqref="C34"/>
    <dataValidation allowBlank="1" showInputMessage="1" showErrorMessage="1" promptTitle="ECM 20" prompt="Please enter the utility rebate for this measure, if known." sqref="C35"/>
    <dataValidation allowBlank="1" showInputMessage="1" showErrorMessage="1" promptTitle="ECM 20" prompt="Please enter the number of beverage machines that will have vending mizers installed." sqref="C32"/>
    <dataValidation allowBlank="1" showInputMessage="1" showErrorMessage="1" promptTitle="ECM 20" prompt="Please enter the number snack machines that will have vending mizers installed." sqref="C33"/>
    <dataValidation type="list" allowBlank="1" showInputMessage="1" showErrorMessage="1" promptTitle="ECM 19" prompt="Please select the type of device that will control the computers and printers." sqref="C22">
      <formula1>"Computer software,Smart strip"</formula1>
    </dataValidation>
    <dataValidation allowBlank="1" showInputMessage="1" showErrorMessage="1" promptTitle="ECM 19" prompt="Please enter the quantity of smart strips or PC power management tools to be installed." sqref="C21"/>
    <dataValidation allowBlank="1" showInputMessage="1" showErrorMessage="1" promptTitle="ECM 19" prompt="Please enter the total installation cost (i.e. material and labor) for this measure." sqref="C23"/>
    <dataValidation allowBlank="1" showInputMessage="1" showErrorMessage="1" promptTitle="ECM 19" prompt="Please enter the utility rebate for this measure, if known." sqref="C24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"/>
  <sheetViews>
    <sheetView zoomScale="70" zoomScaleNormal="70" workbookViewId="0"/>
  </sheetViews>
  <sheetFormatPr defaultRowHeight="14.3" x14ac:dyDescent="0.25"/>
  <cols>
    <col min="1" max="1" width="9.375" style="636" customWidth="1"/>
    <col min="2" max="2" width="56.875" style="636" customWidth="1"/>
    <col min="3" max="3" width="13.375" customWidth="1"/>
    <col min="4" max="4" width="10.75" style="18" customWidth="1"/>
    <col min="5" max="5" width="9.125" style="18"/>
    <col min="6" max="6" width="13.375" style="18" customWidth="1"/>
    <col min="7" max="7" width="13.25" style="18" customWidth="1"/>
    <col min="8" max="8" width="14" style="18" customWidth="1"/>
    <col min="9" max="9" width="16.25" style="18" customWidth="1"/>
    <col min="10" max="10" width="9.125" style="18"/>
    <col min="11" max="11" width="12.625" style="18" bestFit="1" customWidth="1"/>
    <col min="12" max="12" width="15.75" style="18" customWidth="1"/>
    <col min="13" max="14" width="10.75" style="18" customWidth="1"/>
    <col min="15" max="15" width="11.875" style="18" customWidth="1"/>
    <col min="16" max="16" width="5.625" style="18" customWidth="1"/>
    <col min="17" max="17" width="11.25" style="18" customWidth="1"/>
    <col min="18" max="18" width="30.625" style="18" bestFit="1" customWidth="1"/>
    <col min="19" max="19" width="17.875" style="18" customWidth="1"/>
    <col min="20" max="20" width="20.375" style="18" customWidth="1"/>
    <col min="21" max="21" width="17.75" style="18" customWidth="1"/>
    <col min="22" max="22" width="9.125" style="18"/>
    <col min="23" max="23" width="28.75" style="18" bestFit="1" customWidth="1"/>
    <col min="24" max="24" width="9.125" style="18"/>
    <col min="25" max="25" width="13.25" style="18" customWidth="1"/>
    <col min="26" max="27" width="10.375" style="18" bestFit="1" customWidth="1"/>
    <col min="28" max="29" width="10.75" style="18" bestFit="1" customWidth="1"/>
    <col min="30" max="30" width="10.375" style="18" bestFit="1" customWidth="1"/>
    <col min="31" max="33" width="10.75" style="18" bestFit="1" customWidth="1"/>
    <col min="34" max="37" width="10.375" style="18" bestFit="1" customWidth="1"/>
    <col min="38" max="38" width="10.75" style="18" bestFit="1" customWidth="1"/>
    <col min="39" max="39" width="10.375" style="18" bestFit="1" customWidth="1"/>
    <col min="40" max="41" width="10.75" style="18" bestFit="1" customWidth="1"/>
    <col min="42" max="42" width="10.375" style="18" bestFit="1" customWidth="1"/>
    <col min="43" max="44" width="10.75" style="18" bestFit="1" customWidth="1"/>
    <col min="45" max="45" width="9.125" style="18"/>
    <col min="46" max="46" width="16.25" style="18" bestFit="1" customWidth="1"/>
    <col min="47" max="66" width="9.125" style="18"/>
  </cols>
  <sheetData>
    <row r="1" spans="1:66" ht="19.55" thickBot="1" x14ac:dyDescent="0.35">
      <c r="B1" s="637" t="s">
        <v>648</v>
      </c>
    </row>
    <row r="2" spans="1:66" ht="19.55" thickBot="1" x14ac:dyDescent="0.35">
      <c r="A2" s="638" t="s">
        <v>350</v>
      </c>
      <c r="B2" s="639"/>
      <c r="L2" s="19" t="s">
        <v>27</v>
      </c>
      <c r="M2" s="21">
        <v>0.02</v>
      </c>
    </row>
    <row r="3" spans="1:66" ht="30.1" thickBot="1" x14ac:dyDescent="0.3">
      <c r="A3" s="640" t="s">
        <v>351</v>
      </c>
      <c r="B3" s="641">
        <f>Benchmarking!B3</f>
        <v>0</v>
      </c>
      <c r="L3" s="19" t="s">
        <v>25</v>
      </c>
      <c r="M3" s="21">
        <f>M2+0.03</f>
        <v>0.05</v>
      </c>
    </row>
    <row r="4" spans="1:66" s="636" customFormat="1" ht="44.35" thickBot="1" x14ac:dyDescent="0.3">
      <c r="A4" s="642" t="s">
        <v>352</v>
      </c>
      <c r="B4" s="643">
        <f>Benchmarking!B4</f>
        <v>0</v>
      </c>
      <c r="D4" s="18"/>
      <c r="E4" s="18"/>
      <c r="F4" s="18"/>
      <c r="G4" s="18"/>
      <c r="H4" s="18"/>
      <c r="I4" s="18"/>
      <c r="J4" s="18"/>
      <c r="K4" s="18"/>
      <c r="L4" s="19" t="s">
        <v>26</v>
      </c>
      <c r="M4" s="21">
        <v>0.04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spans="1:66" s="636" customFormat="1" ht="30.1" thickBot="1" x14ac:dyDescent="0.3">
      <c r="A5" s="644" t="s">
        <v>353</v>
      </c>
      <c r="B5" s="645">
        <f>Benchmarking!B5</f>
        <v>0</v>
      </c>
      <c r="D5" s="18"/>
      <c r="E5" s="18"/>
      <c r="F5" s="18"/>
      <c r="G5" s="18"/>
      <c r="H5" s="18"/>
      <c r="I5" s="18"/>
      <c r="J5" s="18"/>
      <c r="K5" s="18"/>
      <c r="L5" s="22" t="s">
        <v>28</v>
      </c>
      <c r="M5" s="21">
        <v>0.05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spans="1:66" s="636" customFormat="1" ht="14.95" x14ac:dyDescent="0.25">
      <c r="D6" s="18"/>
      <c r="E6" s="18"/>
      <c r="F6" s="18"/>
      <c r="G6" s="18"/>
      <c r="H6" s="18"/>
      <c r="I6" s="18"/>
      <c r="J6" s="18"/>
      <c r="K6" s="18"/>
      <c r="L6" s="19" t="s">
        <v>24</v>
      </c>
      <c r="M6" s="21">
        <v>0.03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s="636" customFormat="1" ht="14.95" thickBot="1" x14ac:dyDescent="0.3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spans="1:66" s="636" customFormat="1" ht="52" customHeight="1" thickBot="1" x14ac:dyDescent="0.4">
      <c r="A8" s="673" t="s">
        <v>300</v>
      </c>
      <c r="B8" s="674" t="s">
        <v>668</v>
      </c>
      <c r="C8" s="703" t="s">
        <v>51</v>
      </c>
      <c r="D8" s="705"/>
      <c r="E8" s="799" t="s">
        <v>458</v>
      </c>
      <c r="F8" s="800"/>
      <c r="G8" s="800"/>
      <c r="H8" s="800"/>
      <c r="I8" s="801"/>
      <c r="J8" s="107"/>
      <c r="K8" s="24"/>
      <c r="L8" s="52" t="str">
        <f>A8</f>
        <v>ECM 21</v>
      </c>
      <c r="M8" s="25" t="s">
        <v>246</v>
      </c>
      <c r="N8" s="25" t="s">
        <v>247</v>
      </c>
      <c r="O8" s="398" t="s">
        <v>248</v>
      </c>
      <c r="P8" s="174"/>
      <c r="Q8" s="827" t="s">
        <v>74</v>
      </c>
      <c r="R8" s="828"/>
      <c r="S8" s="828"/>
      <c r="T8" s="828"/>
      <c r="U8" s="829"/>
      <c r="V8" s="174"/>
      <c r="W8" s="232" t="s">
        <v>29</v>
      </c>
      <c r="X8" s="268">
        <v>0</v>
      </c>
      <c r="Y8" s="233">
        <v>1</v>
      </c>
      <c r="Z8" s="233">
        <v>2</v>
      </c>
      <c r="AA8" s="233">
        <v>3</v>
      </c>
      <c r="AB8" s="233">
        <v>4</v>
      </c>
      <c r="AC8" s="233">
        <v>5</v>
      </c>
      <c r="AD8" s="233">
        <v>6</v>
      </c>
      <c r="AE8" s="233">
        <v>7</v>
      </c>
      <c r="AF8" s="233">
        <v>8</v>
      </c>
      <c r="AG8" s="233">
        <v>9</v>
      </c>
      <c r="AH8" s="233">
        <v>10</v>
      </c>
      <c r="AI8" s="233">
        <v>11</v>
      </c>
      <c r="AJ8" s="233">
        <v>12</v>
      </c>
      <c r="AK8" s="233">
        <v>13</v>
      </c>
      <c r="AL8" s="234">
        <v>14</v>
      </c>
      <c r="AM8" s="266">
        <v>15</v>
      </c>
      <c r="AN8" s="266">
        <v>16</v>
      </c>
      <c r="AO8" s="266">
        <v>17</v>
      </c>
      <c r="AP8" s="266">
        <v>18</v>
      </c>
      <c r="AQ8" s="266">
        <v>19</v>
      </c>
      <c r="AR8" s="266">
        <v>20</v>
      </c>
      <c r="AS8" s="63"/>
      <c r="AT8" s="268">
        <v>0</v>
      </c>
      <c r="AU8" s="233">
        <v>1</v>
      </c>
      <c r="AV8" s="233">
        <v>2</v>
      </c>
      <c r="AW8" s="233">
        <v>3</v>
      </c>
      <c r="AX8" s="233">
        <v>4</v>
      </c>
      <c r="AY8" s="233">
        <v>5</v>
      </c>
      <c r="AZ8" s="233">
        <v>6</v>
      </c>
      <c r="BA8" s="233">
        <v>7</v>
      </c>
      <c r="BB8" s="233">
        <v>8</v>
      </c>
      <c r="BC8" s="233">
        <v>9</v>
      </c>
      <c r="BD8" s="233">
        <v>10</v>
      </c>
      <c r="BE8" s="233">
        <v>11</v>
      </c>
      <c r="BF8" s="233">
        <v>12</v>
      </c>
      <c r="BG8" s="233">
        <v>13</v>
      </c>
      <c r="BH8" s="234">
        <v>14</v>
      </c>
      <c r="BI8" s="266">
        <v>15</v>
      </c>
      <c r="BJ8" s="266">
        <v>16</v>
      </c>
      <c r="BK8" s="266">
        <v>17</v>
      </c>
      <c r="BL8" s="266">
        <v>18</v>
      </c>
      <c r="BM8" s="266">
        <v>19</v>
      </c>
      <c r="BN8" s="266">
        <v>20</v>
      </c>
    </row>
    <row r="9" spans="1:66" s="636" customFormat="1" ht="19.05" x14ac:dyDescent="0.35">
      <c r="A9" s="697"/>
      <c r="B9" s="698"/>
      <c r="C9" s="704"/>
      <c r="D9" s="115"/>
      <c r="E9" s="112"/>
      <c r="F9" s="84" t="s">
        <v>4</v>
      </c>
      <c r="G9" s="298">
        <f>'Total-Summary'!C29</f>
        <v>0</v>
      </c>
      <c r="H9" s="76" t="s">
        <v>378</v>
      </c>
      <c r="I9" s="113"/>
      <c r="J9" s="107"/>
      <c r="K9" s="31" t="s">
        <v>7</v>
      </c>
      <c r="L9" s="31" t="s">
        <v>625</v>
      </c>
      <c r="M9" s="386">
        <f>IF($C$13="PGE",$C$10/100*'Bldg Env Avg'!$N73+$C$11/100*'Bldg Env Avg'!$N78+$C$12/100*'Bldg Env Avg'!$N83,IF($C$13="SDGE",$C$10/100*'Bldg Env Avg'!$N76+$C$11/100*'Bldg Env Avg'!$N81+$C$12/100*'Bldg Env Avg'!$N86,$C$10/100*'Bldg Env Avg'!$N74+$C$11/100*'Bldg Env Avg'!$N79+$C$12/100*'Bldg Env Avg'!$N84))</f>
        <v>0</v>
      </c>
      <c r="N9" s="404">
        <f>IF($C$13="PGE",$C$10/100*'Bldg Env Avg'!$O73+$C$11/100*'Bldg Env Avg'!$O78+$C$12/100*'Bldg Env Avg'!$O83,IF($C$13="SDGE",$C$10/100*'Bldg Env Avg'!$O76+$C$11/100*'Bldg Env Avg'!$O81+$C$12/100*'Bldg Env Avg'!$O86,$C$10/100*'Bldg Env Avg'!$O74+$C$11/100*'Bldg Env Avg'!$O79+$C$12/100*'Bldg Env Avg'!$O84))</f>
        <v>0</v>
      </c>
      <c r="O9" s="401">
        <f>IF($C$13="PGE",$C$10/100*'Bldg Env Avg'!$P73+$C$11/100*'Bldg Env Avg'!$P78+$C$12/100*'Bldg Env Avg'!$P83,IF($C$13="SDGE",$C$10/100*'Bldg Env Avg'!$P76+$C$11/100*'Bldg Env Avg'!$P81+$C$12/100*'Bldg Env Avg'!$P86,$C$10/100*'Bldg Env Avg'!$P74+$C$11/100*'Bldg Env Avg'!$P79+$C$12/100*'Bldg Env Avg'!$P84))</f>
        <v>0</v>
      </c>
      <c r="P9" s="69"/>
      <c r="Q9" s="112"/>
      <c r="R9" s="84" t="s">
        <v>4</v>
      </c>
      <c r="S9" s="298">
        <f>N9</f>
        <v>0</v>
      </c>
      <c r="T9" s="366" t="s">
        <v>378</v>
      </c>
      <c r="U9" s="367"/>
      <c r="V9" s="69"/>
      <c r="W9" s="235" t="s">
        <v>29</v>
      </c>
      <c r="X9" s="264">
        <v>2013</v>
      </c>
      <c r="Y9" s="264">
        <f>X9+1</f>
        <v>2014</v>
      </c>
      <c r="Z9" s="264">
        <f t="shared" ref="Z9:AM9" si="0">Y9+1</f>
        <v>2015</v>
      </c>
      <c r="AA9" s="264">
        <f t="shared" si="0"/>
        <v>2016</v>
      </c>
      <c r="AB9" s="264">
        <f t="shared" si="0"/>
        <v>2017</v>
      </c>
      <c r="AC9" s="264">
        <f t="shared" si="0"/>
        <v>2018</v>
      </c>
      <c r="AD9" s="264">
        <f t="shared" si="0"/>
        <v>2019</v>
      </c>
      <c r="AE9" s="264">
        <f t="shared" si="0"/>
        <v>2020</v>
      </c>
      <c r="AF9" s="264">
        <f t="shared" si="0"/>
        <v>2021</v>
      </c>
      <c r="AG9" s="264">
        <f t="shared" si="0"/>
        <v>2022</v>
      </c>
      <c r="AH9" s="264">
        <f t="shared" si="0"/>
        <v>2023</v>
      </c>
      <c r="AI9" s="264">
        <f t="shared" si="0"/>
        <v>2024</v>
      </c>
      <c r="AJ9" s="264">
        <f t="shared" si="0"/>
        <v>2025</v>
      </c>
      <c r="AK9" s="264">
        <f t="shared" si="0"/>
        <v>2026</v>
      </c>
      <c r="AL9" s="269">
        <f t="shared" si="0"/>
        <v>2027</v>
      </c>
      <c r="AM9" s="270">
        <f t="shared" si="0"/>
        <v>2028</v>
      </c>
      <c r="AN9" s="270">
        <f t="shared" ref="AN9" si="1">AM9+1</f>
        <v>2029</v>
      </c>
      <c r="AO9" s="270">
        <f t="shared" ref="AO9" si="2">AN9+1</f>
        <v>2030</v>
      </c>
      <c r="AP9" s="270">
        <f t="shared" ref="AP9" si="3">AO9+1</f>
        <v>2031</v>
      </c>
      <c r="AQ9" s="270">
        <f t="shared" ref="AQ9" si="4">AP9+1</f>
        <v>2032</v>
      </c>
      <c r="AR9" s="270">
        <f t="shared" ref="AR9" si="5">AQ9+1</f>
        <v>2033</v>
      </c>
      <c r="AS9" s="63"/>
      <c r="AT9" s="264">
        <v>2013</v>
      </c>
      <c r="AU9" s="264">
        <f>AT9+1</f>
        <v>2014</v>
      </c>
      <c r="AV9" s="264">
        <f t="shared" ref="AV9:BI9" si="6">AU9+1</f>
        <v>2015</v>
      </c>
      <c r="AW9" s="264">
        <f t="shared" si="6"/>
        <v>2016</v>
      </c>
      <c r="AX9" s="264">
        <f t="shared" si="6"/>
        <v>2017</v>
      </c>
      <c r="AY9" s="264">
        <f t="shared" si="6"/>
        <v>2018</v>
      </c>
      <c r="AZ9" s="264">
        <f t="shared" si="6"/>
        <v>2019</v>
      </c>
      <c r="BA9" s="264">
        <f t="shared" si="6"/>
        <v>2020</v>
      </c>
      <c r="BB9" s="264">
        <f t="shared" si="6"/>
        <v>2021</v>
      </c>
      <c r="BC9" s="264">
        <f t="shared" si="6"/>
        <v>2022</v>
      </c>
      <c r="BD9" s="264">
        <f t="shared" si="6"/>
        <v>2023</v>
      </c>
      <c r="BE9" s="264">
        <f t="shared" si="6"/>
        <v>2024</v>
      </c>
      <c r="BF9" s="264">
        <f t="shared" si="6"/>
        <v>2025</v>
      </c>
      <c r="BG9" s="264">
        <f t="shared" si="6"/>
        <v>2026</v>
      </c>
      <c r="BH9" s="269">
        <f t="shared" si="6"/>
        <v>2027</v>
      </c>
      <c r="BI9" s="270">
        <f t="shared" si="6"/>
        <v>2028</v>
      </c>
      <c r="BJ9" s="270">
        <f t="shared" ref="BJ9" si="7">BI9+1</f>
        <v>2029</v>
      </c>
      <c r="BK9" s="270">
        <f t="shared" ref="BK9" si="8">BJ9+1</f>
        <v>2030</v>
      </c>
      <c r="BL9" s="270">
        <f t="shared" ref="BL9" si="9">BK9+1</f>
        <v>2031</v>
      </c>
      <c r="BM9" s="270">
        <f t="shared" ref="BM9" si="10">BL9+1</f>
        <v>2032</v>
      </c>
      <c r="BN9" s="270">
        <f t="shared" ref="BN9" si="11">BM9+1</f>
        <v>2033</v>
      </c>
    </row>
    <row r="10" spans="1:66" ht="15.8" x14ac:dyDescent="0.25">
      <c r="A10" s="657"/>
      <c r="B10" s="699" t="s">
        <v>627</v>
      </c>
      <c r="C10" s="453"/>
      <c r="D10" s="74"/>
      <c r="E10" s="100"/>
      <c r="F10" s="41" t="s">
        <v>5</v>
      </c>
      <c r="G10" s="179">
        <f>'Total-Summary'!D29</f>
        <v>0</v>
      </c>
      <c r="H10" s="33" t="s">
        <v>12</v>
      </c>
      <c r="I10" s="101"/>
      <c r="J10" s="74"/>
      <c r="K10" s="31" t="s">
        <v>8</v>
      </c>
      <c r="L10" s="31" t="s">
        <v>626</v>
      </c>
      <c r="M10" s="55">
        <v>0</v>
      </c>
      <c r="N10" s="55">
        <v>0</v>
      </c>
      <c r="O10" s="399">
        <v>0</v>
      </c>
      <c r="P10" s="175"/>
      <c r="Q10" s="100"/>
      <c r="R10" s="41" t="s">
        <v>5</v>
      </c>
      <c r="S10" s="179">
        <f>M9</f>
        <v>0</v>
      </c>
      <c r="T10" s="69" t="s">
        <v>12</v>
      </c>
      <c r="U10" s="101"/>
      <c r="V10" s="175"/>
      <c r="W10" s="236" t="s">
        <v>30</v>
      </c>
      <c r="X10" s="60"/>
      <c r="Y10" s="60">
        <f>S13</f>
        <v>0</v>
      </c>
      <c r="Z10" s="60">
        <f>Y10*(1+$M$4)</f>
        <v>0</v>
      </c>
      <c r="AA10" s="60">
        <f t="shared" ref="AA10:AR10" si="12">Z10*(1+$M$4)</f>
        <v>0</v>
      </c>
      <c r="AB10" s="60">
        <f t="shared" si="12"/>
        <v>0</v>
      </c>
      <c r="AC10" s="60">
        <f t="shared" si="12"/>
        <v>0</v>
      </c>
      <c r="AD10" s="60">
        <f t="shared" si="12"/>
        <v>0</v>
      </c>
      <c r="AE10" s="60">
        <f t="shared" si="12"/>
        <v>0</v>
      </c>
      <c r="AF10" s="60">
        <f t="shared" si="12"/>
        <v>0</v>
      </c>
      <c r="AG10" s="60">
        <f t="shared" si="12"/>
        <v>0</v>
      </c>
      <c r="AH10" s="60">
        <f t="shared" si="12"/>
        <v>0</v>
      </c>
      <c r="AI10" s="60">
        <f t="shared" si="12"/>
        <v>0</v>
      </c>
      <c r="AJ10" s="60">
        <f t="shared" si="12"/>
        <v>0</v>
      </c>
      <c r="AK10" s="60">
        <f t="shared" si="12"/>
        <v>0</v>
      </c>
      <c r="AL10" s="60">
        <f t="shared" si="12"/>
        <v>0</v>
      </c>
      <c r="AM10" s="60">
        <f t="shared" si="12"/>
        <v>0</v>
      </c>
      <c r="AN10" s="60">
        <f t="shared" si="12"/>
        <v>0</v>
      </c>
      <c r="AO10" s="60">
        <f t="shared" si="12"/>
        <v>0</v>
      </c>
      <c r="AP10" s="60">
        <f t="shared" si="12"/>
        <v>0</v>
      </c>
      <c r="AQ10" s="60">
        <f t="shared" si="12"/>
        <v>0</v>
      </c>
      <c r="AR10" s="60">
        <f t="shared" si="12"/>
        <v>0</v>
      </c>
      <c r="AS10" s="63"/>
      <c r="AT10" s="60"/>
      <c r="AU10" s="60">
        <f>'Total-Summary'!H29</f>
        <v>0</v>
      </c>
      <c r="AV10" s="60">
        <f>AU10*(1+$M$4)</f>
        <v>0</v>
      </c>
      <c r="AW10" s="60">
        <f t="shared" ref="AW10:BN10" si="13">AV10*(1+$M$4)</f>
        <v>0</v>
      </c>
      <c r="AX10" s="60">
        <f t="shared" si="13"/>
        <v>0</v>
      </c>
      <c r="AY10" s="60">
        <f t="shared" si="13"/>
        <v>0</v>
      </c>
      <c r="AZ10" s="60">
        <f t="shared" si="13"/>
        <v>0</v>
      </c>
      <c r="BA10" s="60">
        <f t="shared" si="13"/>
        <v>0</v>
      </c>
      <c r="BB10" s="60">
        <f t="shared" si="13"/>
        <v>0</v>
      </c>
      <c r="BC10" s="60">
        <f t="shared" si="13"/>
        <v>0</v>
      </c>
      <c r="BD10" s="60">
        <f t="shared" si="13"/>
        <v>0</v>
      </c>
      <c r="BE10" s="60">
        <f t="shared" si="13"/>
        <v>0</v>
      </c>
      <c r="BF10" s="60">
        <f t="shared" si="13"/>
        <v>0</v>
      </c>
      <c r="BG10" s="60">
        <f t="shared" si="13"/>
        <v>0</v>
      </c>
      <c r="BH10" s="60">
        <f t="shared" si="13"/>
        <v>0</v>
      </c>
      <c r="BI10" s="60">
        <f t="shared" si="13"/>
        <v>0</v>
      </c>
      <c r="BJ10" s="60">
        <f t="shared" si="13"/>
        <v>0</v>
      </c>
      <c r="BK10" s="60">
        <f t="shared" si="13"/>
        <v>0</v>
      </c>
      <c r="BL10" s="60">
        <f t="shared" si="13"/>
        <v>0</v>
      </c>
      <c r="BM10" s="60">
        <f t="shared" si="13"/>
        <v>0</v>
      </c>
      <c r="BN10" s="60">
        <f t="shared" si="13"/>
        <v>0</v>
      </c>
    </row>
    <row r="11" spans="1:66" ht="16.5" thickBot="1" x14ac:dyDescent="0.3">
      <c r="A11" s="657"/>
      <c r="B11" s="699" t="s">
        <v>628</v>
      </c>
      <c r="C11" s="453"/>
      <c r="D11" s="74"/>
      <c r="E11" s="100"/>
      <c r="F11" s="96" t="s">
        <v>5</v>
      </c>
      <c r="G11" s="179">
        <f>'Total-Summary'!E29</f>
        <v>0</v>
      </c>
      <c r="H11" s="33" t="s">
        <v>379</v>
      </c>
      <c r="I11" s="101"/>
      <c r="J11" s="74"/>
      <c r="K11" s="35"/>
      <c r="L11" s="35" t="s">
        <v>2</v>
      </c>
      <c r="M11" s="58">
        <f>M9-M10</f>
        <v>0</v>
      </c>
      <c r="N11" s="58">
        <f t="shared" ref="N11:O11" si="14">N9-N10</f>
        <v>0</v>
      </c>
      <c r="O11" s="400">
        <f t="shared" si="14"/>
        <v>0</v>
      </c>
      <c r="P11" s="175"/>
      <c r="Q11" s="100"/>
      <c r="R11" s="114" t="s">
        <v>5</v>
      </c>
      <c r="S11" s="179">
        <f>O9</f>
        <v>0</v>
      </c>
      <c r="T11" s="69" t="s">
        <v>379</v>
      </c>
      <c r="U11" s="101"/>
      <c r="V11" s="175"/>
      <c r="W11" s="235" t="s">
        <v>31</v>
      </c>
      <c r="X11" s="264"/>
      <c r="Y11" s="286">
        <f>C14*$M$6</f>
        <v>0</v>
      </c>
      <c r="Z11" s="60">
        <f>Y11*(1+$M$2)</f>
        <v>0</v>
      </c>
      <c r="AA11" s="60">
        <f t="shared" ref="AA11:AM11" si="15">Z11*(1+$M$2)</f>
        <v>0</v>
      </c>
      <c r="AB11" s="60">
        <f t="shared" si="15"/>
        <v>0</v>
      </c>
      <c r="AC11" s="60">
        <f t="shared" si="15"/>
        <v>0</v>
      </c>
      <c r="AD11" s="60">
        <f t="shared" si="15"/>
        <v>0</v>
      </c>
      <c r="AE11" s="60">
        <f t="shared" si="15"/>
        <v>0</v>
      </c>
      <c r="AF11" s="60">
        <f t="shared" si="15"/>
        <v>0</v>
      </c>
      <c r="AG11" s="60">
        <f t="shared" si="15"/>
        <v>0</v>
      </c>
      <c r="AH11" s="60">
        <f t="shared" si="15"/>
        <v>0</v>
      </c>
      <c r="AI11" s="60">
        <f t="shared" si="15"/>
        <v>0</v>
      </c>
      <c r="AJ11" s="60">
        <f t="shared" si="15"/>
        <v>0</v>
      </c>
      <c r="AK11" s="60">
        <f t="shared" si="15"/>
        <v>0</v>
      </c>
      <c r="AL11" s="60">
        <f t="shared" si="15"/>
        <v>0</v>
      </c>
      <c r="AM11" s="60">
        <f t="shared" si="15"/>
        <v>0</v>
      </c>
      <c r="AN11" s="60">
        <f t="shared" ref="AN11:AR11" si="16">AM11*(1+$M$2)</f>
        <v>0</v>
      </c>
      <c r="AO11" s="60">
        <f t="shared" si="16"/>
        <v>0</v>
      </c>
      <c r="AP11" s="60">
        <f t="shared" si="16"/>
        <v>0</v>
      </c>
      <c r="AQ11" s="60">
        <f t="shared" si="16"/>
        <v>0</v>
      </c>
      <c r="AR11" s="60">
        <f t="shared" si="16"/>
        <v>0</v>
      </c>
      <c r="AS11" s="63"/>
      <c r="AT11" s="63"/>
      <c r="AU11" s="63"/>
      <c r="AV11" s="63"/>
      <c r="AW11" s="63"/>
      <c r="AY11" s="34"/>
      <c r="AZ11" s="34"/>
      <c r="BA11" s="34"/>
      <c r="BB11" s="34"/>
      <c r="BC11" s="34"/>
    </row>
    <row r="12" spans="1:66" ht="15.8" x14ac:dyDescent="0.25">
      <c r="A12" s="657"/>
      <c r="B12" s="699" t="s">
        <v>629</v>
      </c>
      <c r="C12" s="454"/>
      <c r="D12" s="74"/>
      <c r="E12" s="102"/>
      <c r="F12" s="114" t="s">
        <v>14</v>
      </c>
      <c r="G12" s="97">
        <f>IF('Total-Summary'!F29&lt;&gt;0,'Total-Summary'!F29,'Total-Summary'!G29)</f>
        <v>0</v>
      </c>
      <c r="H12" s="33" t="s">
        <v>48</v>
      </c>
      <c r="I12" s="95" t="str">
        <f>IF(Benchmarking!$E$25=0,"Fuel Oil","Propane")</f>
        <v>Fuel Oil</v>
      </c>
      <c r="Q12" s="102"/>
      <c r="R12" s="114" t="s">
        <v>14</v>
      </c>
      <c r="S12" s="163">
        <f>IF(Benchmarking!$E$24&gt;0,0,IF(Benchmarking!$E$25&gt;0,S11/0.925,'Bldg Envelope'!S11/1.325))</f>
        <v>0</v>
      </c>
      <c r="T12" s="69" t="s">
        <v>48</v>
      </c>
      <c r="U12" s="101" t="str">
        <f>IF(Benchmarking!$E$25=0,"Fuel Oil","Propane")</f>
        <v>Fuel Oil</v>
      </c>
      <c r="W12" s="235" t="s">
        <v>32</v>
      </c>
      <c r="X12" s="264"/>
      <c r="Y12" s="260">
        <v>0</v>
      </c>
      <c r="Z12" s="260">
        <v>0</v>
      </c>
      <c r="AA12" s="260">
        <v>0</v>
      </c>
      <c r="AB12" s="260">
        <v>0</v>
      </c>
      <c r="AC12" s="260">
        <v>0</v>
      </c>
      <c r="AD12" s="260">
        <v>0</v>
      </c>
      <c r="AE12" s="260">
        <v>0</v>
      </c>
      <c r="AF12" s="260">
        <v>0</v>
      </c>
      <c r="AG12" s="260">
        <v>0</v>
      </c>
      <c r="AH12" s="260">
        <v>0</v>
      </c>
      <c r="AI12" s="260">
        <v>0</v>
      </c>
      <c r="AJ12" s="260">
        <v>0</v>
      </c>
      <c r="AK12" s="260">
        <v>0</v>
      </c>
      <c r="AL12" s="273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S12" s="63"/>
      <c r="AT12" s="63"/>
      <c r="AU12" s="63"/>
      <c r="AV12" s="63"/>
      <c r="AW12" s="63"/>
      <c r="AY12" s="40"/>
      <c r="AZ12" s="40"/>
      <c r="BA12" s="40"/>
      <c r="BB12" s="40"/>
      <c r="BC12" s="40"/>
    </row>
    <row r="13" spans="1:66" ht="30.75" thickBot="1" x14ac:dyDescent="0.3">
      <c r="A13" s="700"/>
      <c r="B13" s="699" t="s">
        <v>428</v>
      </c>
      <c r="C13" s="455"/>
      <c r="D13" s="110" t="s">
        <v>456</v>
      </c>
      <c r="E13" s="102"/>
      <c r="F13" s="89" t="s">
        <v>14</v>
      </c>
      <c r="G13" s="78">
        <f>'Total-Summary'!H29</f>
        <v>0</v>
      </c>
      <c r="H13" s="79" t="s">
        <v>15</v>
      </c>
      <c r="I13" s="101"/>
      <c r="J13" s="74"/>
      <c r="K13" s="69"/>
      <c r="L13" s="69"/>
      <c r="M13" s="69"/>
      <c r="N13" s="69"/>
      <c r="O13" s="69"/>
      <c r="Q13" s="102"/>
      <c r="R13" s="41" t="s">
        <v>14</v>
      </c>
      <c r="S13" s="540">
        <f>IF(S10=0,0,S10*0.8*Benchmarking!E$23+Benchmarking!E$24*S11+IF(Benchmarking!B$23=0,Benchmarking!E$26*S12,Benchmarking!E$25*S12))</f>
        <v>0</v>
      </c>
      <c r="T13" s="67" t="s">
        <v>15</v>
      </c>
      <c r="U13" s="101"/>
      <c r="W13" s="267" t="s">
        <v>33</v>
      </c>
      <c r="X13" s="275"/>
      <c r="Y13" s="276">
        <f>Y10+Y11-Y12</f>
        <v>0</v>
      </c>
      <c r="Z13" s="276">
        <f t="shared" ref="Z13:AM13" si="17">Z10+Z11-Z12</f>
        <v>0</v>
      </c>
      <c r="AA13" s="276">
        <f t="shared" si="17"/>
        <v>0</v>
      </c>
      <c r="AB13" s="276">
        <f t="shared" si="17"/>
        <v>0</v>
      </c>
      <c r="AC13" s="276">
        <f t="shared" si="17"/>
        <v>0</v>
      </c>
      <c r="AD13" s="276">
        <f t="shared" si="17"/>
        <v>0</v>
      </c>
      <c r="AE13" s="276">
        <f t="shared" si="17"/>
        <v>0</v>
      </c>
      <c r="AF13" s="276">
        <f t="shared" si="17"/>
        <v>0</v>
      </c>
      <c r="AG13" s="276">
        <f t="shared" si="17"/>
        <v>0</v>
      </c>
      <c r="AH13" s="276">
        <f t="shared" si="17"/>
        <v>0</v>
      </c>
      <c r="AI13" s="276">
        <f t="shared" si="17"/>
        <v>0</v>
      </c>
      <c r="AJ13" s="276">
        <f t="shared" si="17"/>
        <v>0</v>
      </c>
      <c r="AK13" s="276">
        <f t="shared" si="17"/>
        <v>0</v>
      </c>
      <c r="AL13" s="277">
        <f t="shared" si="17"/>
        <v>0</v>
      </c>
      <c r="AM13" s="278">
        <f t="shared" si="17"/>
        <v>0</v>
      </c>
      <c r="AN13" s="278">
        <f t="shared" ref="AN13:AR13" si="18">AN10+AN11-AN12</f>
        <v>0</v>
      </c>
      <c r="AO13" s="278">
        <f t="shared" si="18"/>
        <v>0</v>
      </c>
      <c r="AP13" s="278">
        <f t="shared" si="18"/>
        <v>0</v>
      </c>
      <c r="AQ13" s="278">
        <f t="shared" si="18"/>
        <v>0</v>
      </c>
      <c r="AR13" s="278">
        <f t="shared" si="18"/>
        <v>0</v>
      </c>
      <c r="AS13" s="63"/>
      <c r="AT13" s="63" t="s">
        <v>461</v>
      </c>
      <c r="AU13" s="342">
        <f t="shared" ref="AU13:BI13" si="19">AU10+Y11-Y12</f>
        <v>0</v>
      </c>
      <c r="AV13" s="342">
        <f t="shared" si="19"/>
        <v>0</v>
      </c>
      <c r="AW13" s="342">
        <f t="shared" si="19"/>
        <v>0</v>
      </c>
      <c r="AX13" s="342">
        <f t="shared" si="19"/>
        <v>0</v>
      </c>
      <c r="AY13" s="342">
        <f t="shared" si="19"/>
        <v>0</v>
      </c>
      <c r="AZ13" s="342">
        <f t="shared" si="19"/>
        <v>0</v>
      </c>
      <c r="BA13" s="342">
        <f t="shared" si="19"/>
        <v>0</v>
      </c>
      <c r="BB13" s="342">
        <f t="shared" si="19"/>
        <v>0</v>
      </c>
      <c r="BC13" s="342">
        <f t="shared" si="19"/>
        <v>0</v>
      </c>
      <c r="BD13" s="342">
        <f t="shared" si="19"/>
        <v>0</v>
      </c>
      <c r="BE13" s="342">
        <f t="shared" si="19"/>
        <v>0</v>
      </c>
      <c r="BF13" s="342">
        <f t="shared" si="19"/>
        <v>0</v>
      </c>
      <c r="BG13" s="342">
        <f t="shared" si="19"/>
        <v>0</v>
      </c>
      <c r="BH13" s="342">
        <f t="shared" si="19"/>
        <v>0</v>
      </c>
      <c r="BI13" s="342">
        <f t="shared" si="19"/>
        <v>0</v>
      </c>
      <c r="BJ13" s="342">
        <f t="shared" ref="BJ13:BN13" si="20">BJ10+AN11-AN12</f>
        <v>0</v>
      </c>
      <c r="BK13" s="342">
        <f t="shared" si="20"/>
        <v>0</v>
      </c>
      <c r="BL13" s="342">
        <f t="shared" si="20"/>
        <v>0</v>
      </c>
      <c r="BM13" s="342">
        <f t="shared" si="20"/>
        <v>0</v>
      </c>
      <c r="BN13" s="342">
        <f t="shared" si="20"/>
        <v>0</v>
      </c>
    </row>
    <row r="14" spans="1:66" ht="19.55" thickBot="1" x14ac:dyDescent="0.35">
      <c r="A14" s="700"/>
      <c r="B14" s="699" t="s">
        <v>368</v>
      </c>
      <c r="C14" s="456"/>
      <c r="D14" s="74"/>
      <c r="E14" s="100"/>
      <c r="F14" s="89" t="s">
        <v>16</v>
      </c>
      <c r="G14" s="80">
        <f>IF(G10=0,0,(C14-C15)/G13)</f>
        <v>0</v>
      </c>
      <c r="H14" s="79" t="s">
        <v>17</v>
      </c>
      <c r="I14" s="103"/>
      <c r="J14" s="106"/>
      <c r="K14" s="23"/>
      <c r="L14" s="69"/>
      <c r="M14" s="69"/>
      <c r="N14" s="69"/>
      <c r="O14" s="69"/>
      <c r="Q14" s="100"/>
      <c r="R14" s="41" t="s">
        <v>16</v>
      </c>
      <c r="S14" s="368">
        <f>IF(S10=0,0,(C14-C15)/S13)</f>
        <v>0</v>
      </c>
      <c r="T14" s="67" t="s">
        <v>17</v>
      </c>
      <c r="U14" s="103"/>
      <c r="W14" s="290" t="s">
        <v>672</v>
      </c>
      <c r="X14" s="291"/>
      <c r="Y14" s="292">
        <f>NPV($M$3,Y13:AR13)</f>
        <v>0</v>
      </c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3"/>
      <c r="AN14" s="293"/>
      <c r="AO14" s="293"/>
      <c r="AP14" s="293"/>
      <c r="AQ14" s="293"/>
      <c r="AR14" s="293"/>
      <c r="AS14" s="63"/>
      <c r="AT14" s="63"/>
      <c r="AU14" s="63"/>
      <c r="AV14" s="63"/>
      <c r="AW14" s="63"/>
    </row>
    <row r="15" spans="1:66" ht="19.55" thickBot="1" x14ac:dyDescent="0.35">
      <c r="A15" s="700"/>
      <c r="B15" s="699" t="s">
        <v>236</v>
      </c>
      <c r="C15" s="456"/>
      <c r="D15" s="74"/>
      <c r="E15" s="109"/>
      <c r="F15" s="389" t="s">
        <v>34</v>
      </c>
      <c r="G15" s="81">
        <f>IF($C14=0,0,IF($C15&gt;0.95*$C14,$Y15/($C14-($C14*0.95)+1-$C14*$M$5-C16),$Y15/($C14-$C15-$C14*$M$5-C16)))</f>
        <v>0</v>
      </c>
      <c r="H15" s="82"/>
      <c r="I15" s="91"/>
      <c r="K15" s="67"/>
      <c r="L15" s="373"/>
      <c r="M15" s="174"/>
      <c r="N15" s="174"/>
      <c r="O15" s="174"/>
      <c r="Q15" s="109"/>
      <c r="R15" s="369" t="s">
        <v>257</v>
      </c>
      <c r="S15" s="370">
        <f>IF($C14=0,0,IF($C15&gt;0.95*$C14,$Y14/($C14-($C14*0.95)+1-$C14*$M$5-C16),$Y14/($C14-$C15-$C14*$M$5-C16)))</f>
        <v>0</v>
      </c>
      <c r="T15" s="371"/>
      <c r="U15" s="123"/>
      <c r="W15" s="310" t="s">
        <v>454</v>
      </c>
      <c r="X15" s="310"/>
      <c r="Y15" s="312">
        <f>NPV($M$3, AU13:BN13)</f>
        <v>0</v>
      </c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66" ht="30.75" customHeight="1" thickBot="1" x14ac:dyDescent="0.35">
      <c r="A16" s="701"/>
      <c r="B16" s="702" t="s">
        <v>505</v>
      </c>
      <c r="C16" s="457"/>
      <c r="D16" s="74"/>
      <c r="E16" s="74"/>
      <c r="F16" s="74"/>
      <c r="G16" s="74"/>
      <c r="H16" s="74"/>
      <c r="K16" s="67"/>
      <c r="L16" s="67"/>
      <c r="M16" s="175"/>
      <c r="N16" s="344"/>
      <c r="O16" s="344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</row>
    <row r="17" spans="1:67" s="636" customFormat="1" ht="14.95" thickBot="1" x14ac:dyDescent="0.3">
      <c r="D17" s="18"/>
      <c r="E17" s="74"/>
      <c r="F17" s="74"/>
      <c r="G17" s="74"/>
      <c r="H17" s="74"/>
      <c r="I17" s="18"/>
      <c r="J17" s="18"/>
      <c r="K17" s="67"/>
      <c r="L17" s="67"/>
      <c r="M17" s="344"/>
      <c r="N17" s="69"/>
      <c r="O17" s="175"/>
      <c r="P17" s="18"/>
      <c r="Q17" s="18"/>
      <c r="R17" s="18"/>
      <c r="S17" s="18"/>
      <c r="T17" s="18"/>
      <c r="U17" s="18"/>
      <c r="V17" s="18"/>
      <c r="W17" s="18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7" s="636" customFormat="1" ht="52" customHeight="1" thickBot="1" x14ac:dyDescent="0.4">
      <c r="A18" s="673" t="s">
        <v>509</v>
      </c>
      <c r="B18" s="674" t="s">
        <v>669</v>
      </c>
      <c r="C18" s="703" t="s">
        <v>51</v>
      </c>
      <c r="D18" s="705"/>
      <c r="E18" s="799" t="s">
        <v>458</v>
      </c>
      <c r="F18" s="800"/>
      <c r="G18" s="800"/>
      <c r="H18" s="800"/>
      <c r="I18" s="801"/>
      <c r="J18" s="107"/>
      <c r="K18" s="24"/>
      <c r="L18" s="52" t="str">
        <f>A18</f>
        <v>ECM 22</v>
      </c>
      <c r="M18" s="25" t="s">
        <v>246</v>
      </c>
      <c r="N18" s="25" t="s">
        <v>247</v>
      </c>
      <c r="O18" s="398" t="s">
        <v>248</v>
      </c>
      <c r="P18" s="174"/>
      <c r="Q18" s="827" t="s">
        <v>74</v>
      </c>
      <c r="R18" s="828"/>
      <c r="S18" s="828"/>
      <c r="T18" s="828"/>
      <c r="U18" s="829"/>
      <c r="V18" s="174"/>
      <c r="W18" s="232" t="s">
        <v>29</v>
      </c>
      <c r="X18" s="268">
        <v>0</v>
      </c>
      <c r="Y18" s="233">
        <v>1</v>
      </c>
      <c r="Z18" s="233">
        <v>2</v>
      </c>
      <c r="AA18" s="233">
        <v>3</v>
      </c>
      <c r="AB18" s="233">
        <v>4</v>
      </c>
      <c r="AC18" s="233">
        <v>5</v>
      </c>
      <c r="AD18" s="233">
        <v>6</v>
      </c>
      <c r="AE18" s="233">
        <v>7</v>
      </c>
      <c r="AF18" s="233">
        <v>8</v>
      </c>
      <c r="AG18" s="233">
        <v>9</v>
      </c>
      <c r="AH18" s="233">
        <v>10</v>
      </c>
      <c r="AI18" s="233">
        <v>11</v>
      </c>
      <c r="AJ18" s="233">
        <v>12</v>
      </c>
      <c r="AK18" s="233">
        <v>13</v>
      </c>
      <c r="AL18" s="234">
        <v>14</v>
      </c>
      <c r="AM18" s="266">
        <v>15</v>
      </c>
      <c r="AN18" s="266"/>
      <c r="AO18" s="266"/>
      <c r="AP18" s="266"/>
      <c r="AQ18" s="266"/>
      <c r="AR18" s="266"/>
      <c r="AS18" s="63"/>
      <c r="AT18" s="268">
        <v>0</v>
      </c>
      <c r="AU18" s="233">
        <v>1</v>
      </c>
      <c r="AV18" s="233">
        <v>2</v>
      </c>
      <c r="AW18" s="233">
        <v>3</v>
      </c>
      <c r="AX18" s="233">
        <v>4</v>
      </c>
      <c r="AY18" s="233">
        <v>5</v>
      </c>
      <c r="AZ18" s="233">
        <v>6</v>
      </c>
      <c r="BA18" s="233">
        <v>7</v>
      </c>
      <c r="BB18" s="233">
        <v>8</v>
      </c>
      <c r="BC18" s="233">
        <v>9</v>
      </c>
      <c r="BD18" s="233">
        <v>10</v>
      </c>
      <c r="BE18" s="233">
        <v>11</v>
      </c>
      <c r="BF18" s="233">
        <v>12</v>
      </c>
      <c r="BG18" s="233">
        <v>13</v>
      </c>
      <c r="BH18" s="234">
        <v>14</v>
      </c>
      <c r="BI18" s="266">
        <v>15</v>
      </c>
      <c r="BJ18" s="266"/>
      <c r="BK18" s="266"/>
      <c r="BL18" s="266"/>
      <c r="BM18" s="266"/>
      <c r="BN18" s="266"/>
    </row>
    <row r="19" spans="1:67" s="636" customFormat="1" ht="19.05" x14ac:dyDescent="0.35">
      <c r="A19" s="697"/>
      <c r="B19" s="698"/>
      <c r="C19" s="704"/>
      <c r="D19" s="115"/>
      <c r="E19" s="112"/>
      <c r="F19" s="84" t="s">
        <v>4</v>
      </c>
      <c r="G19" s="298">
        <f>'Total-Summary'!C30</f>
        <v>0</v>
      </c>
      <c r="H19" s="76" t="s">
        <v>378</v>
      </c>
      <c r="I19" s="113"/>
      <c r="J19" s="107"/>
      <c r="K19" s="31" t="s">
        <v>7</v>
      </c>
      <c r="L19" s="31" t="s">
        <v>639</v>
      </c>
      <c r="M19" s="386">
        <f>IF($C$23="PGE",($C20/1000*'Bldg Env Avg'!N92+$C20/1000*'Bldg Env Avg'!N88*$C$21),IF($C$23="SDGE",(C20/1000*'Bldg Env Avg'!$N94+$C$20/1000*'Bldg Env Avg'!N90*$C$21),$C$20/1000*'Bldg Env Avg'!$N93+$C$20/1000*'Bldg Env Avg'!N89*$C$21))</f>
        <v>0</v>
      </c>
      <c r="N19" s="405">
        <f>IF($C$23="PGE",($C20/1000*'Bldg Env Avg'!O92+$C20/1000*'Bldg Env Avg'!O88*$C$21),IF($C$23="SDGE",($C$20/1000*'Bldg Env Avg'!$O94+$C$20/1000*'Bldg Env Avg'!O90*$C$21),($C$20/1000*'Bldg Env Avg'!O93+$C$20/1000*'Bldg Env Avg'!O89*$C$21)))</f>
        <v>0</v>
      </c>
      <c r="O19" s="386">
        <f>IF($C$23="PGE",($C20/1000*'Bldg Env Avg'!P92+$C20/1000*'Bldg Env Avg'!P88*$C$21),IF($C$23="SDGE",($C$20/1000*'Bldg Env Avg'!P94+$C$20/1000*'Bldg Env Avg'!PO90*$C$21),($C$20/1000*'Bldg Env Avg'!P93+$C$20/1000*'Bldg Env Avg'!P89*$C$21)))</f>
        <v>0</v>
      </c>
      <c r="P19" s="69"/>
      <c r="Q19" s="112"/>
      <c r="R19" s="84" t="s">
        <v>4</v>
      </c>
      <c r="S19" s="298">
        <f>N19</f>
        <v>0</v>
      </c>
      <c r="T19" s="366" t="s">
        <v>378</v>
      </c>
      <c r="U19" s="367"/>
      <c r="V19" s="69"/>
      <c r="W19" s="235" t="s">
        <v>29</v>
      </c>
      <c r="X19" s="264">
        <v>2013</v>
      </c>
      <c r="Y19" s="264">
        <f>X19+1</f>
        <v>2014</v>
      </c>
      <c r="Z19" s="264">
        <f t="shared" ref="Z19" si="21">Y19+1</f>
        <v>2015</v>
      </c>
      <c r="AA19" s="264">
        <f t="shared" ref="AA19" si="22">Z19+1</f>
        <v>2016</v>
      </c>
      <c r="AB19" s="264">
        <f t="shared" ref="AB19" si="23">AA19+1</f>
        <v>2017</v>
      </c>
      <c r="AC19" s="264">
        <f t="shared" ref="AC19" si="24">AB19+1</f>
        <v>2018</v>
      </c>
      <c r="AD19" s="264">
        <f t="shared" ref="AD19" si="25">AC19+1</f>
        <v>2019</v>
      </c>
      <c r="AE19" s="264">
        <f t="shared" ref="AE19" si="26">AD19+1</f>
        <v>2020</v>
      </c>
      <c r="AF19" s="264">
        <f t="shared" ref="AF19" si="27">AE19+1</f>
        <v>2021</v>
      </c>
      <c r="AG19" s="264">
        <f t="shared" ref="AG19" si="28">AF19+1</f>
        <v>2022</v>
      </c>
      <c r="AH19" s="264">
        <f t="shared" ref="AH19" si="29">AG19+1</f>
        <v>2023</v>
      </c>
      <c r="AI19" s="264">
        <f t="shared" ref="AI19" si="30">AH19+1</f>
        <v>2024</v>
      </c>
      <c r="AJ19" s="264">
        <f t="shared" ref="AJ19" si="31">AI19+1</f>
        <v>2025</v>
      </c>
      <c r="AK19" s="264">
        <f t="shared" ref="AK19" si="32">AJ19+1</f>
        <v>2026</v>
      </c>
      <c r="AL19" s="269">
        <f t="shared" ref="AL19" si="33">AK19+1</f>
        <v>2027</v>
      </c>
      <c r="AM19" s="270">
        <f t="shared" ref="AM19" si="34">AL19+1</f>
        <v>2028</v>
      </c>
      <c r="AN19" s="270"/>
      <c r="AO19" s="270"/>
      <c r="AP19" s="270"/>
      <c r="AQ19" s="270"/>
      <c r="AR19" s="270"/>
      <c r="AS19" s="63"/>
      <c r="AT19" s="264">
        <v>2013</v>
      </c>
      <c r="AU19" s="264">
        <f>AT19+1</f>
        <v>2014</v>
      </c>
      <c r="AV19" s="264">
        <f t="shared" ref="AV19" si="35">AU19+1</f>
        <v>2015</v>
      </c>
      <c r="AW19" s="264">
        <f t="shared" ref="AW19" si="36">AV19+1</f>
        <v>2016</v>
      </c>
      <c r="AX19" s="264">
        <f t="shared" ref="AX19" si="37">AW19+1</f>
        <v>2017</v>
      </c>
      <c r="AY19" s="264">
        <f t="shared" ref="AY19" si="38">AX19+1</f>
        <v>2018</v>
      </c>
      <c r="AZ19" s="264">
        <f t="shared" ref="AZ19" si="39">AY19+1</f>
        <v>2019</v>
      </c>
      <c r="BA19" s="264">
        <f t="shared" ref="BA19" si="40">AZ19+1</f>
        <v>2020</v>
      </c>
      <c r="BB19" s="264">
        <f t="shared" ref="BB19" si="41">BA19+1</f>
        <v>2021</v>
      </c>
      <c r="BC19" s="264">
        <f t="shared" ref="BC19" si="42">BB19+1</f>
        <v>2022</v>
      </c>
      <c r="BD19" s="264">
        <f t="shared" ref="BD19" si="43">BC19+1</f>
        <v>2023</v>
      </c>
      <c r="BE19" s="264">
        <f t="shared" ref="BE19" si="44">BD19+1</f>
        <v>2024</v>
      </c>
      <c r="BF19" s="264">
        <f t="shared" ref="BF19" si="45">BE19+1</f>
        <v>2025</v>
      </c>
      <c r="BG19" s="264">
        <f t="shared" ref="BG19" si="46">BF19+1</f>
        <v>2026</v>
      </c>
      <c r="BH19" s="269">
        <f t="shared" ref="BH19" si="47">BG19+1</f>
        <v>2027</v>
      </c>
      <c r="BI19" s="270">
        <f t="shared" ref="BI19" si="48">BH19+1</f>
        <v>2028</v>
      </c>
      <c r="BJ19" s="270"/>
      <c r="BK19" s="270"/>
      <c r="BL19" s="270"/>
      <c r="BM19" s="270"/>
      <c r="BN19" s="270"/>
    </row>
    <row r="20" spans="1:67" ht="15.8" x14ac:dyDescent="0.25">
      <c r="A20" s="657"/>
      <c r="B20" s="699" t="s">
        <v>637</v>
      </c>
      <c r="C20" s="458"/>
      <c r="D20" s="74"/>
      <c r="E20" s="100"/>
      <c r="F20" s="41" t="s">
        <v>5</v>
      </c>
      <c r="G20" s="179">
        <f>'Total-Summary'!D30</f>
        <v>0</v>
      </c>
      <c r="H20" s="33" t="s">
        <v>12</v>
      </c>
      <c r="I20" s="101"/>
      <c r="J20" s="74"/>
      <c r="K20" s="31" t="s">
        <v>8</v>
      </c>
      <c r="L20" s="31" t="s">
        <v>640</v>
      </c>
      <c r="M20" s="55">
        <v>0</v>
      </c>
      <c r="N20" s="55">
        <v>0</v>
      </c>
      <c r="O20" s="399">
        <v>0</v>
      </c>
      <c r="P20" s="175"/>
      <c r="Q20" s="100"/>
      <c r="R20" s="41" t="s">
        <v>5</v>
      </c>
      <c r="S20" s="179">
        <f>M19</f>
        <v>0</v>
      </c>
      <c r="T20" s="69" t="s">
        <v>12</v>
      </c>
      <c r="U20" s="101"/>
      <c r="V20" s="175"/>
      <c r="W20" s="236" t="s">
        <v>30</v>
      </c>
      <c r="X20" s="60"/>
      <c r="Y20" s="60">
        <f>S23</f>
        <v>0</v>
      </c>
      <c r="Z20" s="60">
        <f>Y20*(1+$M$4)</f>
        <v>0</v>
      </c>
      <c r="AA20" s="60">
        <f t="shared" ref="AA20:AM20" si="49">Z20*(1+$M$4)</f>
        <v>0</v>
      </c>
      <c r="AB20" s="60">
        <f t="shared" si="49"/>
        <v>0</v>
      </c>
      <c r="AC20" s="60">
        <f t="shared" si="49"/>
        <v>0</v>
      </c>
      <c r="AD20" s="60">
        <f t="shared" si="49"/>
        <v>0</v>
      </c>
      <c r="AE20" s="60">
        <f t="shared" si="49"/>
        <v>0</v>
      </c>
      <c r="AF20" s="60">
        <f t="shared" si="49"/>
        <v>0</v>
      </c>
      <c r="AG20" s="60">
        <f t="shared" si="49"/>
        <v>0</v>
      </c>
      <c r="AH20" s="60">
        <f t="shared" si="49"/>
        <v>0</v>
      </c>
      <c r="AI20" s="60">
        <f t="shared" si="49"/>
        <v>0</v>
      </c>
      <c r="AJ20" s="60">
        <f t="shared" si="49"/>
        <v>0</v>
      </c>
      <c r="AK20" s="60">
        <f t="shared" si="49"/>
        <v>0</v>
      </c>
      <c r="AL20" s="60">
        <f t="shared" si="49"/>
        <v>0</v>
      </c>
      <c r="AM20" s="60">
        <f t="shared" si="49"/>
        <v>0</v>
      </c>
      <c r="AN20" s="60"/>
      <c r="AO20" s="60"/>
      <c r="AP20" s="60"/>
      <c r="AQ20" s="60"/>
      <c r="AR20" s="60"/>
      <c r="AS20" s="63"/>
      <c r="AT20" s="60"/>
      <c r="AU20" s="60">
        <f>'Total-Summary'!H30</f>
        <v>0</v>
      </c>
      <c r="AV20" s="60">
        <f>AU20*(1+$M$4)</f>
        <v>0</v>
      </c>
      <c r="AW20" s="60">
        <f t="shared" ref="AW20:BI20" si="50">AV20*(1+$M$4)</f>
        <v>0</v>
      </c>
      <c r="AX20" s="60">
        <f t="shared" si="50"/>
        <v>0</v>
      </c>
      <c r="AY20" s="60">
        <f t="shared" si="50"/>
        <v>0</v>
      </c>
      <c r="AZ20" s="60">
        <f t="shared" si="50"/>
        <v>0</v>
      </c>
      <c r="BA20" s="60">
        <f t="shared" si="50"/>
        <v>0</v>
      </c>
      <c r="BB20" s="60">
        <f t="shared" si="50"/>
        <v>0</v>
      </c>
      <c r="BC20" s="60">
        <f t="shared" si="50"/>
        <v>0</v>
      </c>
      <c r="BD20" s="60">
        <f t="shared" si="50"/>
        <v>0</v>
      </c>
      <c r="BE20" s="60">
        <f t="shared" si="50"/>
        <v>0</v>
      </c>
      <c r="BF20" s="60">
        <f t="shared" si="50"/>
        <v>0</v>
      </c>
      <c r="BG20" s="60">
        <f t="shared" si="50"/>
        <v>0</v>
      </c>
      <c r="BH20" s="60">
        <f t="shared" si="50"/>
        <v>0</v>
      </c>
      <c r="BI20" s="60">
        <f t="shared" si="50"/>
        <v>0</v>
      </c>
      <c r="BJ20" s="60"/>
      <c r="BK20" s="60"/>
      <c r="BL20" s="60"/>
      <c r="BM20" s="60"/>
      <c r="BN20" s="60"/>
    </row>
    <row r="21" spans="1:67" ht="16.5" thickBot="1" x14ac:dyDescent="0.3">
      <c r="A21" s="657"/>
      <c r="B21" s="699" t="s">
        <v>638</v>
      </c>
      <c r="C21" s="458"/>
      <c r="D21" s="74"/>
      <c r="E21" s="100"/>
      <c r="F21" s="96" t="s">
        <v>5</v>
      </c>
      <c r="G21" s="179">
        <f>'Total-Summary'!E30</f>
        <v>0</v>
      </c>
      <c r="H21" s="33" t="s">
        <v>379</v>
      </c>
      <c r="I21" s="101"/>
      <c r="J21" s="74"/>
      <c r="K21" s="35"/>
      <c r="L21" s="35" t="s">
        <v>2</v>
      </c>
      <c r="M21" s="58">
        <f>M19-M20</f>
        <v>0</v>
      </c>
      <c r="N21" s="58">
        <f t="shared" ref="N21:O21" si="51">N19-N20</f>
        <v>0</v>
      </c>
      <c r="O21" s="400">
        <f t="shared" si="51"/>
        <v>0</v>
      </c>
      <c r="P21" s="175"/>
      <c r="Q21" s="100"/>
      <c r="R21" s="114" t="s">
        <v>5</v>
      </c>
      <c r="S21" s="179">
        <f>O19</f>
        <v>0</v>
      </c>
      <c r="T21" s="69" t="s">
        <v>379</v>
      </c>
      <c r="U21" s="101"/>
      <c r="V21" s="175"/>
      <c r="W21" s="235" t="s">
        <v>31</v>
      </c>
      <c r="X21" s="264"/>
      <c r="Y21" s="286">
        <f>C24*$M$6</f>
        <v>0</v>
      </c>
      <c r="Z21" s="60">
        <f>Y21*(1+$M$2)</f>
        <v>0</v>
      </c>
      <c r="AA21" s="60">
        <f t="shared" ref="AA21:AM21" si="52">Z21*(1+$M$2)</f>
        <v>0</v>
      </c>
      <c r="AB21" s="60">
        <f t="shared" si="52"/>
        <v>0</v>
      </c>
      <c r="AC21" s="60">
        <f t="shared" si="52"/>
        <v>0</v>
      </c>
      <c r="AD21" s="60">
        <f t="shared" si="52"/>
        <v>0</v>
      </c>
      <c r="AE21" s="60">
        <f t="shared" si="52"/>
        <v>0</v>
      </c>
      <c r="AF21" s="60">
        <f t="shared" si="52"/>
        <v>0</v>
      </c>
      <c r="AG21" s="60">
        <f t="shared" si="52"/>
        <v>0</v>
      </c>
      <c r="AH21" s="60">
        <f t="shared" si="52"/>
        <v>0</v>
      </c>
      <c r="AI21" s="60">
        <f t="shared" si="52"/>
        <v>0</v>
      </c>
      <c r="AJ21" s="60">
        <f t="shared" si="52"/>
        <v>0</v>
      </c>
      <c r="AK21" s="60">
        <f t="shared" si="52"/>
        <v>0</v>
      </c>
      <c r="AL21" s="60">
        <f t="shared" si="52"/>
        <v>0</v>
      </c>
      <c r="AM21" s="60">
        <f t="shared" si="52"/>
        <v>0</v>
      </c>
      <c r="AN21" s="60"/>
      <c r="AO21" s="60"/>
      <c r="AP21" s="60"/>
      <c r="AQ21" s="60"/>
      <c r="AR21" s="60"/>
      <c r="AS21" s="63"/>
      <c r="AT21" s="63"/>
      <c r="AU21" s="63"/>
      <c r="AV21" s="63"/>
      <c r="AW21" s="63"/>
      <c r="AY21" s="34"/>
      <c r="AZ21" s="34"/>
      <c r="BA21" s="34"/>
      <c r="BB21" s="34"/>
      <c r="BC21" s="34"/>
    </row>
    <row r="22" spans="1:67" ht="15.8" x14ac:dyDescent="0.25">
      <c r="A22" s="657"/>
      <c r="B22" s="699"/>
      <c r="C22" s="707"/>
      <c r="D22" s="74"/>
      <c r="E22" s="102"/>
      <c r="F22" s="114" t="s">
        <v>14</v>
      </c>
      <c r="G22" s="97">
        <f>IF('Total-Summary'!F30&lt;&gt;0,'Total-Summary'!F30,'Total-Summary'!G30)</f>
        <v>0</v>
      </c>
      <c r="H22" s="33" t="s">
        <v>48</v>
      </c>
      <c r="I22" s="95" t="str">
        <f>IF(Benchmarking!$E$25=0,"Fuel Oil","Propane")</f>
        <v>Fuel Oil</v>
      </c>
      <c r="Q22" s="102"/>
      <c r="R22" s="114" t="s">
        <v>14</v>
      </c>
      <c r="S22" s="163">
        <f>IF(Benchmarking!$E$24&gt;0,0,IF(Benchmarking!$E$25&gt;0,S21/0.925,'Bldg Envelope'!S21/1.325))</f>
        <v>0</v>
      </c>
      <c r="T22" s="69" t="s">
        <v>48</v>
      </c>
      <c r="U22" s="101" t="str">
        <f>IF(Benchmarking!$E$25=0,"Fuel Oil","Propane")</f>
        <v>Fuel Oil</v>
      </c>
      <c r="W22" s="235" t="s">
        <v>32</v>
      </c>
      <c r="X22" s="264"/>
      <c r="Y22" s="260">
        <v>0</v>
      </c>
      <c r="Z22" s="260">
        <v>0</v>
      </c>
      <c r="AA22" s="260">
        <v>0</v>
      </c>
      <c r="AB22" s="260">
        <v>0</v>
      </c>
      <c r="AC22" s="260">
        <v>0</v>
      </c>
      <c r="AD22" s="260">
        <v>0</v>
      </c>
      <c r="AE22" s="260">
        <v>0</v>
      </c>
      <c r="AF22" s="260">
        <v>0</v>
      </c>
      <c r="AG22" s="260">
        <v>0</v>
      </c>
      <c r="AH22" s="260">
        <v>0</v>
      </c>
      <c r="AI22" s="260">
        <v>0</v>
      </c>
      <c r="AJ22" s="260">
        <v>0</v>
      </c>
      <c r="AK22" s="260">
        <v>0</v>
      </c>
      <c r="AL22" s="273">
        <v>0</v>
      </c>
      <c r="AM22" s="274">
        <v>0</v>
      </c>
      <c r="AN22" s="274"/>
      <c r="AO22" s="274"/>
      <c r="AP22" s="274"/>
      <c r="AQ22" s="274"/>
      <c r="AR22" s="274"/>
      <c r="AS22" s="63"/>
      <c r="AT22" s="63"/>
      <c r="AU22" s="63"/>
      <c r="AV22" s="63"/>
      <c r="AW22" s="63"/>
      <c r="AY22" s="40"/>
      <c r="AZ22" s="40"/>
      <c r="BA22" s="40"/>
      <c r="BB22" s="40"/>
      <c r="BC22" s="40"/>
    </row>
    <row r="23" spans="1:67" ht="30.75" thickBot="1" x14ac:dyDescent="0.3">
      <c r="A23" s="700"/>
      <c r="B23" s="699" t="s">
        <v>428</v>
      </c>
      <c r="C23" s="459"/>
      <c r="D23" s="110" t="s">
        <v>456</v>
      </c>
      <c r="E23" s="102"/>
      <c r="F23" s="89" t="s">
        <v>14</v>
      </c>
      <c r="G23" s="78">
        <f>'Total-Summary'!H30</f>
        <v>0</v>
      </c>
      <c r="H23" s="79" t="s">
        <v>15</v>
      </c>
      <c r="I23" s="101"/>
      <c r="J23" s="74"/>
      <c r="K23" s="69"/>
      <c r="L23" s="69"/>
      <c r="M23" s="69"/>
      <c r="N23" s="69"/>
      <c r="O23" s="69"/>
      <c r="Q23" s="102"/>
      <c r="R23" s="41" t="s">
        <v>14</v>
      </c>
      <c r="S23" s="380">
        <f>IF(S20=0,0,S20*0.8*Benchmarking!E$23+Benchmarking!E$24*S21+IF(Benchmarking!B$23=0,Benchmarking!E$26*S22,Benchmarking!E$25*S22))</f>
        <v>0</v>
      </c>
      <c r="T23" s="67" t="s">
        <v>15</v>
      </c>
      <c r="U23" s="101"/>
      <c r="W23" s="267" t="s">
        <v>33</v>
      </c>
      <c r="X23" s="275"/>
      <c r="Y23" s="276">
        <f>Y20+Y21-Y22</f>
        <v>0</v>
      </c>
      <c r="Z23" s="276">
        <f t="shared" ref="Z23:AM23" si="53">Z20+Z21-Z22</f>
        <v>0</v>
      </c>
      <c r="AA23" s="276">
        <f t="shared" si="53"/>
        <v>0</v>
      </c>
      <c r="AB23" s="276">
        <f t="shared" si="53"/>
        <v>0</v>
      </c>
      <c r="AC23" s="276">
        <f t="shared" si="53"/>
        <v>0</v>
      </c>
      <c r="AD23" s="276">
        <f t="shared" si="53"/>
        <v>0</v>
      </c>
      <c r="AE23" s="276">
        <f t="shared" si="53"/>
        <v>0</v>
      </c>
      <c r="AF23" s="276">
        <f t="shared" si="53"/>
        <v>0</v>
      </c>
      <c r="AG23" s="276">
        <f t="shared" si="53"/>
        <v>0</v>
      </c>
      <c r="AH23" s="276">
        <f t="shared" si="53"/>
        <v>0</v>
      </c>
      <c r="AI23" s="276">
        <f t="shared" si="53"/>
        <v>0</v>
      </c>
      <c r="AJ23" s="276">
        <f t="shared" si="53"/>
        <v>0</v>
      </c>
      <c r="AK23" s="276">
        <f t="shared" si="53"/>
        <v>0</v>
      </c>
      <c r="AL23" s="277">
        <f t="shared" si="53"/>
        <v>0</v>
      </c>
      <c r="AM23" s="278">
        <f t="shared" si="53"/>
        <v>0</v>
      </c>
      <c r="AN23" s="278"/>
      <c r="AO23" s="278"/>
      <c r="AP23" s="278"/>
      <c r="AQ23" s="278"/>
      <c r="AR23" s="278"/>
      <c r="AS23" s="63"/>
      <c r="AT23" s="63" t="s">
        <v>461</v>
      </c>
      <c r="AU23" s="342">
        <f t="shared" ref="AU23:BI23" si="54">AU20+Y21-Y22</f>
        <v>0</v>
      </c>
      <c r="AV23" s="342">
        <f t="shared" si="54"/>
        <v>0</v>
      </c>
      <c r="AW23" s="342">
        <f t="shared" si="54"/>
        <v>0</v>
      </c>
      <c r="AX23" s="342">
        <f t="shared" si="54"/>
        <v>0</v>
      </c>
      <c r="AY23" s="342">
        <f t="shared" si="54"/>
        <v>0</v>
      </c>
      <c r="AZ23" s="342">
        <f t="shared" si="54"/>
        <v>0</v>
      </c>
      <c r="BA23" s="342">
        <f t="shared" si="54"/>
        <v>0</v>
      </c>
      <c r="BB23" s="342">
        <f t="shared" si="54"/>
        <v>0</v>
      </c>
      <c r="BC23" s="342">
        <f t="shared" si="54"/>
        <v>0</v>
      </c>
      <c r="BD23" s="342">
        <f t="shared" si="54"/>
        <v>0</v>
      </c>
      <c r="BE23" s="342">
        <f t="shared" si="54"/>
        <v>0</v>
      </c>
      <c r="BF23" s="342">
        <f t="shared" si="54"/>
        <v>0</v>
      </c>
      <c r="BG23" s="342">
        <f t="shared" si="54"/>
        <v>0</v>
      </c>
      <c r="BH23" s="342">
        <f t="shared" si="54"/>
        <v>0</v>
      </c>
      <c r="BI23" s="342">
        <f t="shared" si="54"/>
        <v>0</v>
      </c>
      <c r="BJ23" s="342"/>
      <c r="BK23" s="342"/>
      <c r="BL23" s="342"/>
      <c r="BM23" s="342"/>
      <c r="BN23" s="342"/>
    </row>
    <row r="24" spans="1:67" ht="19.55" thickBot="1" x14ac:dyDescent="0.35">
      <c r="A24" s="700"/>
      <c r="B24" s="699" t="s">
        <v>368</v>
      </c>
      <c r="C24" s="460"/>
      <c r="D24" s="74"/>
      <c r="E24" s="100"/>
      <c r="F24" s="89" t="s">
        <v>16</v>
      </c>
      <c r="G24" s="80">
        <f>IF(G20=0,0,(C24-C25)/G23)</f>
        <v>0</v>
      </c>
      <c r="H24" s="79" t="s">
        <v>17</v>
      </c>
      <c r="I24" s="103"/>
      <c r="J24" s="106"/>
      <c r="K24" s="23"/>
      <c r="L24" s="69"/>
      <c r="M24" s="69"/>
      <c r="N24" s="69"/>
      <c r="O24" s="69"/>
      <c r="Q24" s="100"/>
      <c r="R24" s="41" t="s">
        <v>16</v>
      </c>
      <c r="S24" s="368">
        <f>IF(S20=0,0,(C24-C25)/S23)</f>
        <v>0</v>
      </c>
      <c r="T24" s="67" t="s">
        <v>17</v>
      </c>
      <c r="U24" s="103"/>
      <c r="W24" s="290" t="s">
        <v>672</v>
      </c>
      <c r="X24" s="291"/>
      <c r="Y24" s="292">
        <f>NPV($M$3,Y23:AM23)</f>
        <v>0</v>
      </c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3"/>
      <c r="AN24" s="293"/>
      <c r="AO24" s="293"/>
      <c r="AP24" s="293"/>
      <c r="AQ24" s="293"/>
      <c r="AR24" s="293"/>
      <c r="AS24" s="63"/>
      <c r="AT24" s="63"/>
      <c r="AU24" s="63"/>
      <c r="AV24" s="63"/>
      <c r="AW24" s="63"/>
    </row>
    <row r="25" spans="1:67" ht="19.55" thickBot="1" x14ac:dyDescent="0.35">
      <c r="A25" s="700"/>
      <c r="B25" s="699" t="s">
        <v>236</v>
      </c>
      <c r="C25" s="460"/>
      <c r="D25" s="74"/>
      <c r="E25" s="109"/>
      <c r="F25" s="389" t="s">
        <v>34</v>
      </c>
      <c r="G25" s="81">
        <f>IF($C24=0,0,IF($C25&gt;0.95*$C24,$Y25/($C24-($C24*0.95)+1-$C24*$M$5-C26),$Y25/($C24-$C25-$C24*$M$5-C26)))</f>
        <v>0</v>
      </c>
      <c r="H25" s="82"/>
      <c r="I25" s="91"/>
      <c r="K25" s="67"/>
      <c r="L25" s="373"/>
      <c r="M25" s="174"/>
      <c r="N25" s="174"/>
      <c r="O25" s="174"/>
      <c r="Q25" s="109"/>
      <c r="R25" s="369" t="s">
        <v>257</v>
      </c>
      <c r="S25" s="370">
        <f>IF($C24=0,0,IF($C25&gt;0.95*$C24,$Y24/($C24-($C24*0.95)+1-$C24*$M$5-C26),$Y24/($C24-$C25-$C24*$M$5-C26)))</f>
        <v>0</v>
      </c>
      <c r="T25" s="371"/>
      <c r="U25" s="123"/>
      <c r="W25" s="310" t="s">
        <v>454</v>
      </c>
      <c r="X25" s="310"/>
      <c r="Y25" s="312">
        <f>NPV($M$3, AU23:BI23)</f>
        <v>0</v>
      </c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67" ht="19.55" thickBot="1" x14ac:dyDescent="0.35">
      <c r="A26" s="701"/>
      <c r="B26" s="702" t="s">
        <v>505</v>
      </c>
      <c r="C26" s="461"/>
      <c r="D26" s="74"/>
      <c r="E26" s="74"/>
      <c r="F26" s="74"/>
      <c r="G26" s="74"/>
      <c r="H26" s="74"/>
      <c r="K26" s="67"/>
      <c r="L26" s="67"/>
      <c r="M26" s="175"/>
      <c r="N26" s="344"/>
      <c r="O26" s="344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67" s="636" customFormat="1" ht="14.95" thickBot="1" x14ac:dyDescent="0.3">
      <c r="D27" s="18"/>
      <c r="E27" s="74"/>
      <c r="F27" s="74"/>
      <c r="G27" s="74"/>
      <c r="H27" s="74"/>
      <c r="I27" s="18"/>
      <c r="J27" s="18"/>
      <c r="K27" s="67"/>
      <c r="L27" s="67"/>
      <c r="M27" s="344"/>
      <c r="N27" s="69"/>
      <c r="O27" s="175"/>
      <c r="P27" s="18"/>
      <c r="Q27" s="18"/>
      <c r="R27" s="18"/>
      <c r="S27" s="18"/>
      <c r="T27" s="18"/>
      <c r="U27" s="18"/>
      <c r="V27" s="18"/>
      <c r="W27" s="18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</row>
    <row r="28" spans="1:67" s="636" customFormat="1" ht="52" customHeight="1" thickBot="1" x14ac:dyDescent="0.4">
      <c r="A28" s="673" t="s">
        <v>510</v>
      </c>
      <c r="B28" s="674" t="s">
        <v>670</v>
      </c>
      <c r="C28" s="703" t="s">
        <v>51</v>
      </c>
      <c r="D28" s="705"/>
      <c r="E28" s="799" t="s">
        <v>458</v>
      </c>
      <c r="F28" s="800"/>
      <c r="G28" s="800"/>
      <c r="H28" s="800"/>
      <c r="I28" s="801"/>
      <c r="J28" s="107"/>
      <c r="K28" s="24"/>
      <c r="L28" s="52" t="str">
        <f>A28</f>
        <v>ECM 23</v>
      </c>
      <c r="M28" s="25" t="s">
        <v>246</v>
      </c>
      <c r="N28" s="25" t="s">
        <v>247</v>
      </c>
      <c r="O28" s="398" t="s">
        <v>248</v>
      </c>
      <c r="P28" s="174"/>
      <c r="Q28" s="827" t="s">
        <v>74</v>
      </c>
      <c r="R28" s="828"/>
      <c r="S28" s="828"/>
      <c r="T28" s="828"/>
      <c r="U28" s="829"/>
      <c r="V28" s="174"/>
      <c r="W28" s="232" t="s">
        <v>29</v>
      </c>
      <c r="X28" s="268">
        <v>0</v>
      </c>
      <c r="Y28" s="233">
        <v>1</v>
      </c>
      <c r="Z28" s="233">
        <v>2</v>
      </c>
      <c r="AA28" s="233">
        <v>3</v>
      </c>
      <c r="AB28" s="233">
        <v>4</v>
      </c>
      <c r="AC28" s="233">
        <v>5</v>
      </c>
      <c r="AD28" s="233">
        <v>6</v>
      </c>
      <c r="AE28" s="233">
        <v>7</v>
      </c>
      <c r="AF28" s="233">
        <v>8</v>
      </c>
      <c r="AG28" s="233">
        <v>9</v>
      </c>
      <c r="AH28" s="233">
        <v>10</v>
      </c>
      <c r="AI28" s="233">
        <v>11</v>
      </c>
      <c r="AJ28" s="233">
        <v>12</v>
      </c>
      <c r="AK28" s="233">
        <v>13</v>
      </c>
      <c r="AL28" s="234">
        <v>14</v>
      </c>
      <c r="AM28" s="266">
        <v>15</v>
      </c>
      <c r="AN28" s="266">
        <v>16</v>
      </c>
      <c r="AO28" s="266">
        <v>17</v>
      </c>
      <c r="AP28" s="266">
        <v>18</v>
      </c>
      <c r="AQ28" s="266">
        <v>19</v>
      </c>
      <c r="AR28" s="266">
        <v>20</v>
      </c>
      <c r="AS28" s="63"/>
      <c r="AT28" s="268">
        <v>0</v>
      </c>
      <c r="AU28" s="233">
        <v>1</v>
      </c>
      <c r="AV28" s="233">
        <v>2</v>
      </c>
      <c r="AW28" s="233">
        <v>3</v>
      </c>
      <c r="AX28" s="233">
        <v>4</v>
      </c>
      <c r="AY28" s="233">
        <v>5</v>
      </c>
      <c r="AZ28" s="233">
        <v>6</v>
      </c>
      <c r="BA28" s="233">
        <v>7</v>
      </c>
      <c r="BB28" s="233">
        <v>8</v>
      </c>
      <c r="BC28" s="233">
        <v>9</v>
      </c>
      <c r="BD28" s="233">
        <v>10</v>
      </c>
      <c r="BE28" s="233">
        <v>11</v>
      </c>
      <c r="BF28" s="233">
        <v>12</v>
      </c>
      <c r="BG28" s="233">
        <v>13</v>
      </c>
      <c r="BH28" s="234">
        <v>14</v>
      </c>
      <c r="BI28" s="266">
        <v>15</v>
      </c>
      <c r="BJ28" s="266">
        <v>16</v>
      </c>
      <c r="BK28" s="266">
        <v>17</v>
      </c>
      <c r="BL28" s="266">
        <v>18</v>
      </c>
      <c r="BM28" s="266">
        <v>19</v>
      </c>
      <c r="BN28" s="266">
        <v>20</v>
      </c>
    </row>
    <row r="29" spans="1:67" s="636" customFormat="1" ht="19.05" x14ac:dyDescent="0.35">
      <c r="A29" s="697"/>
      <c r="B29" s="698"/>
      <c r="C29" s="704"/>
      <c r="D29" s="115"/>
      <c r="E29" s="112"/>
      <c r="F29" s="84" t="s">
        <v>4</v>
      </c>
      <c r="G29" s="298">
        <f>'Total-Summary'!C31</f>
        <v>0</v>
      </c>
      <c r="H29" s="76" t="s">
        <v>378</v>
      </c>
      <c r="I29" s="113"/>
      <c r="J29" s="107"/>
      <c r="K29" s="31" t="s">
        <v>7</v>
      </c>
      <c r="L29" s="31" t="s">
        <v>641</v>
      </c>
      <c r="M29" s="386">
        <f>IF($C$33="PGE",$C30/1000*'Bldg Env Avg'!N88*$C31,IF($C$33="SDGE",$C30/1000*'Bldg Env Avg'!$N90*$C31,$C$20/1000*'Bldg Env Avg'!$N89*$C31))</f>
        <v>0</v>
      </c>
      <c r="N29" s="405">
        <f>IF($C$33="PGE",$C30/1000*'Bldg Env Avg'!O88*$C31,IF($C$33="SDGE",$C30/1000*'Bldg Env Avg'!O90*$C31,$C$20/1000*'Bldg Env Avg'!O89*$C31))</f>
        <v>0</v>
      </c>
      <c r="O29" s="405">
        <f>IF($C$33="PGE",$C30/1000*'Bldg Env Avg'!P88*$C31,IF($C$33="SDGE",$C30/1000*'Bldg Env Avg'!P90*$C31,$C$20/1000*'Bldg Env Avg'!P89*$C31))</f>
        <v>0</v>
      </c>
      <c r="P29" s="69"/>
      <c r="Q29" s="112"/>
      <c r="R29" s="84" t="s">
        <v>4</v>
      </c>
      <c r="S29" s="298">
        <f>N29</f>
        <v>0</v>
      </c>
      <c r="T29" s="366" t="s">
        <v>378</v>
      </c>
      <c r="U29" s="367"/>
      <c r="V29" s="69"/>
      <c r="W29" s="235" t="s">
        <v>29</v>
      </c>
      <c r="X29" s="264">
        <v>2013</v>
      </c>
      <c r="Y29" s="264">
        <f>X29+1</f>
        <v>2014</v>
      </c>
      <c r="Z29" s="264">
        <f t="shared" ref="Z29" si="55">Y29+1</f>
        <v>2015</v>
      </c>
      <c r="AA29" s="264">
        <f t="shared" ref="AA29" si="56">Z29+1</f>
        <v>2016</v>
      </c>
      <c r="AB29" s="264">
        <f t="shared" ref="AB29" si="57">AA29+1</f>
        <v>2017</v>
      </c>
      <c r="AC29" s="264">
        <f t="shared" ref="AC29" si="58">AB29+1</f>
        <v>2018</v>
      </c>
      <c r="AD29" s="264">
        <f t="shared" ref="AD29" si="59">AC29+1</f>
        <v>2019</v>
      </c>
      <c r="AE29" s="264">
        <f t="shared" ref="AE29" si="60">AD29+1</f>
        <v>2020</v>
      </c>
      <c r="AF29" s="264">
        <f t="shared" ref="AF29" si="61">AE29+1</f>
        <v>2021</v>
      </c>
      <c r="AG29" s="264">
        <f t="shared" ref="AG29" si="62">AF29+1</f>
        <v>2022</v>
      </c>
      <c r="AH29" s="264">
        <f t="shared" ref="AH29" si="63">AG29+1</f>
        <v>2023</v>
      </c>
      <c r="AI29" s="264">
        <f t="shared" ref="AI29" si="64">AH29+1</f>
        <v>2024</v>
      </c>
      <c r="AJ29" s="264">
        <f t="shared" ref="AJ29" si="65">AI29+1</f>
        <v>2025</v>
      </c>
      <c r="AK29" s="264">
        <f t="shared" ref="AK29" si="66">AJ29+1</f>
        <v>2026</v>
      </c>
      <c r="AL29" s="269">
        <f t="shared" ref="AL29" si="67">AK29+1</f>
        <v>2027</v>
      </c>
      <c r="AM29" s="270">
        <f t="shared" ref="AM29" si="68">AL29+1</f>
        <v>2028</v>
      </c>
      <c r="AN29" s="270">
        <f t="shared" ref="AN29" si="69">AM29+1</f>
        <v>2029</v>
      </c>
      <c r="AO29" s="270">
        <f t="shared" ref="AO29" si="70">AN29+1</f>
        <v>2030</v>
      </c>
      <c r="AP29" s="270">
        <f t="shared" ref="AP29" si="71">AO29+1</f>
        <v>2031</v>
      </c>
      <c r="AQ29" s="270">
        <f t="shared" ref="AQ29" si="72">AP29+1</f>
        <v>2032</v>
      </c>
      <c r="AR29" s="270">
        <f t="shared" ref="AR29" si="73">AQ29+1</f>
        <v>2033</v>
      </c>
      <c r="AS29" s="63"/>
      <c r="AT29" s="264">
        <v>2013</v>
      </c>
      <c r="AU29" s="264">
        <f>AT29+1</f>
        <v>2014</v>
      </c>
      <c r="AV29" s="264">
        <f t="shared" ref="AV29" si="74">AU29+1</f>
        <v>2015</v>
      </c>
      <c r="AW29" s="264">
        <f t="shared" ref="AW29" si="75">AV29+1</f>
        <v>2016</v>
      </c>
      <c r="AX29" s="264">
        <f t="shared" ref="AX29" si="76">AW29+1</f>
        <v>2017</v>
      </c>
      <c r="AY29" s="264">
        <f t="shared" ref="AY29" si="77">AX29+1</f>
        <v>2018</v>
      </c>
      <c r="AZ29" s="264">
        <f t="shared" ref="AZ29" si="78">AY29+1</f>
        <v>2019</v>
      </c>
      <c r="BA29" s="264">
        <f t="shared" ref="BA29" si="79">AZ29+1</f>
        <v>2020</v>
      </c>
      <c r="BB29" s="264">
        <f t="shared" ref="BB29" si="80">BA29+1</f>
        <v>2021</v>
      </c>
      <c r="BC29" s="264">
        <f t="shared" ref="BC29" si="81">BB29+1</f>
        <v>2022</v>
      </c>
      <c r="BD29" s="264">
        <f t="shared" ref="BD29" si="82">BC29+1</f>
        <v>2023</v>
      </c>
      <c r="BE29" s="264">
        <f t="shared" ref="BE29" si="83">BD29+1</f>
        <v>2024</v>
      </c>
      <c r="BF29" s="264">
        <f t="shared" ref="BF29" si="84">BE29+1</f>
        <v>2025</v>
      </c>
      <c r="BG29" s="264">
        <f t="shared" ref="BG29" si="85">BF29+1</f>
        <v>2026</v>
      </c>
      <c r="BH29" s="269">
        <f t="shared" ref="BH29" si="86">BG29+1</f>
        <v>2027</v>
      </c>
      <c r="BI29" s="270">
        <f t="shared" ref="BI29" si="87">BH29+1</f>
        <v>2028</v>
      </c>
      <c r="BJ29" s="270">
        <f t="shared" ref="BJ29" si="88">BI29+1</f>
        <v>2029</v>
      </c>
      <c r="BK29" s="270">
        <f t="shared" ref="BK29" si="89">BJ29+1</f>
        <v>2030</v>
      </c>
      <c r="BL29" s="270">
        <f t="shared" ref="BL29" si="90">BK29+1</f>
        <v>2031</v>
      </c>
      <c r="BM29" s="270">
        <f t="shared" ref="BM29" si="91">BL29+1</f>
        <v>2032</v>
      </c>
      <c r="BN29" s="270">
        <f t="shared" ref="BN29" si="92">BM29+1</f>
        <v>2033</v>
      </c>
    </row>
    <row r="30" spans="1:67" ht="15.8" x14ac:dyDescent="0.25">
      <c r="A30" s="657"/>
      <c r="B30" s="699" t="s">
        <v>643</v>
      </c>
      <c r="C30" s="462"/>
      <c r="D30" s="74"/>
      <c r="E30" s="100"/>
      <c r="F30" s="41" t="s">
        <v>5</v>
      </c>
      <c r="G30" s="179">
        <f>'Total-Summary'!D31</f>
        <v>0</v>
      </c>
      <c r="H30" s="33" t="s">
        <v>12</v>
      </c>
      <c r="I30" s="101"/>
      <c r="J30" s="74"/>
      <c r="K30" s="31" t="s">
        <v>8</v>
      </c>
      <c r="L30" s="31" t="s">
        <v>642</v>
      </c>
      <c r="M30" s="55">
        <v>0</v>
      </c>
      <c r="N30" s="55">
        <v>0</v>
      </c>
      <c r="O30" s="399">
        <v>0</v>
      </c>
      <c r="P30" s="175"/>
      <c r="Q30" s="100"/>
      <c r="R30" s="41" t="s">
        <v>5</v>
      </c>
      <c r="S30" s="179">
        <f>M29</f>
        <v>0</v>
      </c>
      <c r="T30" s="69" t="s">
        <v>12</v>
      </c>
      <c r="U30" s="101"/>
      <c r="V30" s="175"/>
      <c r="W30" s="236" t="s">
        <v>30</v>
      </c>
      <c r="X30" s="60"/>
      <c r="Y30" s="60">
        <f>S33</f>
        <v>0</v>
      </c>
      <c r="Z30" s="60">
        <f>Y30*(1+$M$4)</f>
        <v>0</v>
      </c>
      <c r="AA30" s="60">
        <f t="shared" ref="AA30:AR30" si="93">Z30*(1+$M$4)</f>
        <v>0</v>
      </c>
      <c r="AB30" s="60">
        <f t="shared" si="93"/>
        <v>0</v>
      </c>
      <c r="AC30" s="60">
        <f t="shared" si="93"/>
        <v>0</v>
      </c>
      <c r="AD30" s="60">
        <f t="shared" si="93"/>
        <v>0</v>
      </c>
      <c r="AE30" s="60">
        <f t="shared" si="93"/>
        <v>0</v>
      </c>
      <c r="AF30" s="60">
        <f t="shared" si="93"/>
        <v>0</v>
      </c>
      <c r="AG30" s="60">
        <f t="shared" si="93"/>
        <v>0</v>
      </c>
      <c r="AH30" s="60">
        <f t="shared" si="93"/>
        <v>0</v>
      </c>
      <c r="AI30" s="60">
        <f t="shared" si="93"/>
        <v>0</v>
      </c>
      <c r="AJ30" s="60">
        <f t="shared" si="93"/>
        <v>0</v>
      </c>
      <c r="AK30" s="60">
        <f t="shared" si="93"/>
        <v>0</v>
      </c>
      <c r="AL30" s="60">
        <f t="shared" si="93"/>
        <v>0</v>
      </c>
      <c r="AM30" s="60">
        <f t="shared" si="93"/>
        <v>0</v>
      </c>
      <c r="AN30" s="60">
        <f t="shared" si="93"/>
        <v>0</v>
      </c>
      <c r="AO30" s="60">
        <f t="shared" si="93"/>
        <v>0</v>
      </c>
      <c r="AP30" s="60">
        <f t="shared" si="93"/>
        <v>0</v>
      </c>
      <c r="AQ30" s="60">
        <f t="shared" si="93"/>
        <v>0</v>
      </c>
      <c r="AR30" s="60">
        <f t="shared" si="93"/>
        <v>0</v>
      </c>
      <c r="AS30" s="63"/>
      <c r="AT30" s="60"/>
      <c r="AU30" s="60">
        <f>'Total-Summary'!H31</f>
        <v>0</v>
      </c>
      <c r="AV30" s="60">
        <f>AU30*(1+$M$4)</f>
        <v>0</v>
      </c>
      <c r="AW30" s="60">
        <f t="shared" ref="AW30:BN30" si="94">AV30*(1+$M$4)</f>
        <v>0</v>
      </c>
      <c r="AX30" s="60">
        <f t="shared" si="94"/>
        <v>0</v>
      </c>
      <c r="AY30" s="60">
        <f t="shared" si="94"/>
        <v>0</v>
      </c>
      <c r="AZ30" s="60">
        <f t="shared" si="94"/>
        <v>0</v>
      </c>
      <c r="BA30" s="60">
        <f t="shared" si="94"/>
        <v>0</v>
      </c>
      <c r="BB30" s="60">
        <f t="shared" si="94"/>
        <v>0</v>
      </c>
      <c r="BC30" s="60">
        <f t="shared" si="94"/>
        <v>0</v>
      </c>
      <c r="BD30" s="60">
        <f t="shared" si="94"/>
        <v>0</v>
      </c>
      <c r="BE30" s="60">
        <f t="shared" si="94"/>
        <v>0</v>
      </c>
      <c r="BF30" s="60">
        <f t="shared" si="94"/>
        <v>0</v>
      </c>
      <c r="BG30" s="60">
        <f t="shared" si="94"/>
        <v>0</v>
      </c>
      <c r="BH30" s="60">
        <f t="shared" si="94"/>
        <v>0</v>
      </c>
      <c r="BI30" s="60">
        <f t="shared" si="94"/>
        <v>0</v>
      </c>
      <c r="BJ30" s="60">
        <f t="shared" si="94"/>
        <v>0</v>
      </c>
      <c r="BK30" s="60">
        <f t="shared" si="94"/>
        <v>0</v>
      </c>
      <c r="BL30" s="60">
        <f t="shared" si="94"/>
        <v>0</v>
      </c>
      <c r="BM30" s="60">
        <f t="shared" si="94"/>
        <v>0</v>
      </c>
      <c r="BN30" s="60">
        <f t="shared" si="94"/>
        <v>0</v>
      </c>
      <c r="BO30" s="390"/>
    </row>
    <row r="31" spans="1:67" ht="16.5" thickBot="1" x14ac:dyDescent="0.3">
      <c r="A31" s="657"/>
      <c r="B31" s="699" t="s">
        <v>644</v>
      </c>
      <c r="C31" s="462"/>
      <c r="D31" s="74"/>
      <c r="E31" s="100"/>
      <c r="F31" s="96" t="s">
        <v>5</v>
      </c>
      <c r="G31" s="179">
        <f>'Total-Summary'!E31</f>
        <v>0</v>
      </c>
      <c r="H31" s="33" t="s">
        <v>379</v>
      </c>
      <c r="I31" s="101"/>
      <c r="J31" s="74"/>
      <c r="K31" s="35"/>
      <c r="L31" s="35" t="s">
        <v>2</v>
      </c>
      <c r="M31" s="58">
        <f>M29-M30</f>
        <v>0</v>
      </c>
      <c r="N31" s="57">
        <f t="shared" ref="N31:O31" si="95">N29-N30</f>
        <v>0</v>
      </c>
      <c r="O31" s="406">
        <f t="shared" si="95"/>
        <v>0</v>
      </c>
      <c r="P31" s="175"/>
      <c r="Q31" s="100"/>
      <c r="R31" s="114" t="s">
        <v>5</v>
      </c>
      <c r="S31" s="179">
        <f>O29</f>
        <v>0</v>
      </c>
      <c r="T31" s="69" t="s">
        <v>379</v>
      </c>
      <c r="U31" s="101"/>
      <c r="V31" s="175"/>
      <c r="W31" s="235" t="s">
        <v>31</v>
      </c>
      <c r="X31" s="264"/>
      <c r="Y31" s="286">
        <f>C34*$M$6</f>
        <v>0</v>
      </c>
      <c r="Z31" s="60">
        <f>Y31*(1+$M$2)</f>
        <v>0</v>
      </c>
      <c r="AA31" s="60">
        <f t="shared" ref="AA31:AR31" si="96">Z31*(1+$M$2)</f>
        <v>0</v>
      </c>
      <c r="AB31" s="60">
        <f t="shared" si="96"/>
        <v>0</v>
      </c>
      <c r="AC31" s="60">
        <f t="shared" si="96"/>
        <v>0</v>
      </c>
      <c r="AD31" s="60">
        <f t="shared" si="96"/>
        <v>0</v>
      </c>
      <c r="AE31" s="60">
        <f t="shared" si="96"/>
        <v>0</v>
      </c>
      <c r="AF31" s="60">
        <f t="shared" si="96"/>
        <v>0</v>
      </c>
      <c r="AG31" s="60">
        <f t="shared" si="96"/>
        <v>0</v>
      </c>
      <c r="AH31" s="60">
        <f t="shared" si="96"/>
        <v>0</v>
      </c>
      <c r="AI31" s="60">
        <f t="shared" si="96"/>
        <v>0</v>
      </c>
      <c r="AJ31" s="60">
        <f t="shared" si="96"/>
        <v>0</v>
      </c>
      <c r="AK31" s="60">
        <f t="shared" si="96"/>
        <v>0</v>
      </c>
      <c r="AL31" s="60">
        <f t="shared" si="96"/>
        <v>0</v>
      </c>
      <c r="AM31" s="60">
        <f t="shared" si="96"/>
        <v>0</v>
      </c>
      <c r="AN31" s="60">
        <f t="shared" si="96"/>
        <v>0</v>
      </c>
      <c r="AO31" s="60">
        <f t="shared" si="96"/>
        <v>0</v>
      </c>
      <c r="AP31" s="60">
        <f t="shared" si="96"/>
        <v>0</v>
      </c>
      <c r="AQ31" s="60">
        <f t="shared" si="96"/>
        <v>0</v>
      </c>
      <c r="AR31" s="60">
        <f t="shared" si="96"/>
        <v>0</v>
      </c>
      <c r="AS31" s="63"/>
      <c r="AT31" s="63"/>
      <c r="AU31" s="63"/>
      <c r="AV31" s="63"/>
      <c r="AW31" s="63"/>
      <c r="AY31" s="34"/>
      <c r="AZ31" s="34"/>
      <c r="BA31" s="34"/>
      <c r="BB31" s="34"/>
      <c r="BC31" s="34"/>
      <c r="BO31" s="390"/>
    </row>
    <row r="32" spans="1:67" ht="15.8" x14ac:dyDescent="0.25">
      <c r="A32" s="657"/>
      <c r="B32" s="699"/>
      <c r="C32" s="707"/>
      <c r="D32" s="74"/>
      <c r="E32" s="102"/>
      <c r="F32" s="114" t="s">
        <v>14</v>
      </c>
      <c r="G32" s="97">
        <f>IF('Total-Summary'!F31&lt;&gt;0,'Total-Summary'!F31,'Total-Summary'!G31)</f>
        <v>0</v>
      </c>
      <c r="H32" s="33" t="s">
        <v>48</v>
      </c>
      <c r="I32" s="95" t="str">
        <f>IF(Benchmarking!$E$25=0,"Fuel Oil","Propane")</f>
        <v>Fuel Oil</v>
      </c>
      <c r="Q32" s="102"/>
      <c r="R32" s="114" t="s">
        <v>14</v>
      </c>
      <c r="S32" s="163">
        <f>IF(Benchmarking!$E$24&gt;0,0,IF(Benchmarking!$E$25&gt;0,S31/0.925,'Bldg Envelope'!S31/1.325))</f>
        <v>0</v>
      </c>
      <c r="T32" s="69" t="s">
        <v>48</v>
      </c>
      <c r="U32" s="101" t="str">
        <f>IF(Benchmarking!$E$25=0,"Fuel Oil","Propane")</f>
        <v>Fuel Oil</v>
      </c>
      <c r="W32" s="235" t="s">
        <v>32</v>
      </c>
      <c r="X32" s="264"/>
      <c r="Y32" s="260">
        <v>0</v>
      </c>
      <c r="Z32" s="260">
        <v>0</v>
      </c>
      <c r="AA32" s="260">
        <v>0</v>
      </c>
      <c r="AB32" s="260">
        <v>0</v>
      </c>
      <c r="AC32" s="260">
        <v>0</v>
      </c>
      <c r="AD32" s="260">
        <v>0</v>
      </c>
      <c r="AE32" s="260">
        <v>0</v>
      </c>
      <c r="AF32" s="260">
        <v>0</v>
      </c>
      <c r="AG32" s="260">
        <v>0</v>
      </c>
      <c r="AH32" s="260">
        <v>0</v>
      </c>
      <c r="AI32" s="260">
        <v>0</v>
      </c>
      <c r="AJ32" s="260">
        <v>0</v>
      </c>
      <c r="AK32" s="260">
        <v>0</v>
      </c>
      <c r="AL32" s="273">
        <v>0</v>
      </c>
      <c r="AM32" s="274">
        <v>0</v>
      </c>
      <c r="AN32" s="274">
        <v>0</v>
      </c>
      <c r="AO32" s="274">
        <v>0</v>
      </c>
      <c r="AP32" s="274">
        <v>0</v>
      </c>
      <c r="AQ32" s="274">
        <v>0</v>
      </c>
      <c r="AR32" s="274">
        <v>0</v>
      </c>
      <c r="AS32" s="63"/>
      <c r="AT32" s="63"/>
      <c r="AU32" s="63"/>
      <c r="AV32" s="63"/>
      <c r="AW32" s="63"/>
      <c r="AY32" s="40"/>
      <c r="AZ32" s="40"/>
      <c r="BA32" s="40"/>
      <c r="BB32" s="40"/>
      <c r="BC32" s="40"/>
      <c r="BO32" s="390"/>
    </row>
    <row r="33" spans="1:67" ht="30.75" thickBot="1" x14ac:dyDescent="0.3">
      <c r="A33" s="700"/>
      <c r="B33" s="699" t="s">
        <v>428</v>
      </c>
      <c r="C33" s="463"/>
      <c r="D33" s="110" t="s">
        <v>456</v>
      </c>
      <c r="E33" s="102"/>
      <c r="F33" s="89" t="s">
        <v>14</v>
      </c>
      <c r="G33" s="78">
        <f>'Total-Summary'!H31</f>
        <v>0</v>
      </c>
      <c r="H33" s="79" t="s">
        <v>15</v>
      </c>
      <c r="I33" s="101"/>
      <c r="J33" s="74"/>
      <c r="K33" s="69"/>
      <c r="L33" s="69"/>
      <c r="M33" s="69"/>
      <c r="N33" s="69"/>
      <c r="O33" s="69"/>
      <c r="Q33" s="102"/>
      <c r="R33" s="41" t="s">
        <v>14</v>
      </c>
      <c r="S33" s="380">
        <f>IF(S30=0,0,S30*0.8*Benchmarking!E$23+Benchmarking!E$24*S31+IF(Benchmarking!B$23=0,Benchmarking!E$26*S32,Benchmarking!E$25*S32))</f>
        <v>0</v>
      </c>
      <c r="T33" s="67" t="s">
        <v>15</v>
      </c>
      <c r="U33" s="101"/>
      <c r="W33" s="267" t="s">
        <v>33</v>
      </c>
      <c r="X33" s="275"/>
      <c r="Y33" s="541">
        <f>Y30+Y31-Y32</f>
        <v>0</v>
      </c>
      <c r="Z33" s="541">
        <f t="shared" ref="Z33:AR33" si="97">Z30+Z31-Z32</f>
        <v>0</v>
      </c>
      <c r="AA33" s="541">
        <f t="shared" si="97"/>
        <v>0</v>
      </c>
      <c r="AB33" s="541">
        <f t="shared" si="97"/>
        <v>0</v>
      </c>
      <c r="AC33" s="541">
        <f t="shared" si="97"/>
        <v>0</v>
      </c>
      <c r="AD33" s="541">
        <f t="shared" si="97"/>
        <v>0</v>
      </c>
      <c r="AE33" s="541">
        <f t="shared" si="97"/>
        <v>0</v>
      </c>
      <c r="AF33" s="541">
        <f t="shared" si="97"/>
        <v>0</v>
      </c>
      <c r="AG33" s="541">
        <f t="shared" si="97"/>
        <v>0</v>
      </c>
      <c r="AH33" s="541">
        <f t="shared" si="97"/>
        <v>0</v>
      </c>
      <c r="AI33" s="541">
        <f t="shared" si="97"/>
        <v>0</v>
      </c>
      <c r="AJ33" s="541">
        <f t="shared" si="97"/>
        <v>0</v>
      </c>
      <c r="AK33" s="541">
        <f t="shared" si="97"/>
        <v>0</v>
      </c>
      <c r="AL33" s="542">
        <f t="shared" si="97"/>
        <v>0</v>
      </c>
      <c r="AM33" s="543">
        <f t="shared" si="97"/>
        <v>0</v>
      </c>
      <c r="AN33" s="543">
        <f t="shared" si="97"/>
        <v>0</v>
      </c>
      <c r="AO33" s="543">
        <f t="shared" si="97"/>
        <v>0</v>
      </c>
      <c r="AP33" s="543">
        <f t="shared" si="97"/>
        <v>0</v>
      </c>
      <c r="AQ33" s="543">
        <f t="shared" si="97"/>
        <v>0</v>
      </c>
      <c r="AR33" s="543">
        <f t="shared" si="97"/>
        <v>0</v>
      </c>
      <c r="AS33" s="63"/>
      <c r="AT33" s="63" t="s">
        <v>461</v>
      </c>
      <c r="AU33" s="342">
        <f t="shared" ref="AU33:BI33" si="98">AU30+Y31-Y32</f>
        <v>0</v>
      </c>
      <c r="AV33" s="342">
        <f t="shared" si="98"/>
        <v>0</v>
      </c>
      <c r="AW33" s="342">
        <f t="shared" si="98"/>
        <v>0</v>
      </c>
      <c r="AX33" s="342">
        <f t="shared" si="98"/>
        <v>0</v>
      </c>
      <c r="AY33" s="342">
        <f t="shared" si="98"/>
        <v>0</v>
      </c>
      <c r="AZ33" s="342">
        <f t="shared" si="98"/>
        <v>0</v>
      </c>
      <c r="BA33" s="342">
        <f t="shared" si="98"/>
        <v>0</v>
      </c>
      <c r="BB33" s="342">
        <f t="shared" si="98"/>
        <v>0</v>
      </c>
      <c r="BC33" s="342">
        <f t="shared" si="98"/>
        <v>0</v>
      </c>
      <c r="BD33" s="342">
        <f t="shared" si="98"/>
        <v>0</v>
      </c>
      <c r="BE33" s="342">
        <f t="shared" si="98"/>
        <v>0</v>
      </c>
      <c r="BF33" s="342">
        <f t="shared" si="98"/>
        <v>0</v>
      </c>
      <c r="BG33" s="342">
        <f t="shared" si="98"/>
        <v>0</v>
      </c>
      <c r="BH33" s="342">
        <f t="shared" si="98"/>
        <v>0</v>
      </c>
      <c r="BI33" s="342">
        <f t="shared" si="98"/>
        <v>0</v>
      </c>
      <c r="BJ33" s="342">
        <f t="shared" ref="BJ33" si="99">BJ30+AN31-AN32</f>
        <v>0</v>
      </c>
      <c r="BK33" s="342">
        <f t="shared" ref="BK33" si="100">BK30+AO31-AO32</f>
        <v>0</v>
      </c>
      <c r="BL33" s="342">
        <f t="shared" ref="BL33" si="101">BL30+AP31-AP32</f>
        <v>0</v>
      </c>
      <c r="BM33" s="342">
        <f t="shared" ref="BM33" si="102">BM30+AQ31-AQ32</f>
        <v>0</v>
      </c>
      <c r="BN33" s="342">
        <f t="shared" ref="BN33" si="103">BN30+AR31-AR32</f>
        <v>0</v>
      </c>
      <c r="BO33" s="390"/>
    </row>
    <row r="34" spans="1:67" ht="19.7" thickBot="1" x14ac:dyDescent="0.4">
      <c r="A34" s="700"/>
      <c r="B34" s="699" t="s">
        <v>368</v>
      </c>
      <c r="C34" s="464"/>
      <c r="D34" s="74"/>
      <c r="E34" s="100"/>
      <c r="F34" s="89" t="s">
        <v>16</v>
      </c>
      <c r="G34" s="80">
        <f>IF(G30=0,0,(C34-C35)/G33)</f>
        <v>0</v>
      </c>
      <c r="H34" s="79" t="s">
        <v>17</v>
      </c>
      <c r="I34" s="103"/>
      <c r="J34" s="106"/>
      <c r="K34" s="23"/>
      <c r="L34" s="69"/>
      <c r="M34" s="69"/>
      <c r="N34" s="69"/>
      <c r="O34" s="69"/>
      <c r="Q34" s="100"/>
      <c r="R34" s="41" t="s">
        <v>16</v>
      </c>
      <c r="S34" s="368">
        <f>IF(S30=0,0,(C34-C35)/S33)</f>
        <v>0</v>
      </c>
      <c r="T34" s="67" t="s">
        <v>17</v>
      </c>
      <c r="U34" s="103"/>
      <c r="W34" s="290" t="s">
        <v>672</v>
      </c>
      <c r="X34" s="291"/>
      <c r="Y34" s="292">
        <f>NPV($M$3,Y33:AR33)</f>
        <v>0</v>
      </c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3"/>
      <c r="AN34" s="293"/>
      <c r="AO34" s="293"/>
      <c r="AP34" s="293"/>
      <c r="AQ34" s="293"/>
      <c r="AR34" s="293"/>
      <c r="AS34" s="63"/>
      <c r="AT34" s="63"/>
      <c r="AU34" s="63"/>
      <c r="AV34" s="63"/>
      <c r="AW34" s="63"/>
      <c r="BO34" s="390"/>
    </row>
    <row r="35" spans="1:67" ht="19.7" thickBot="1" x14ac:dyDescent="0.4">
      <c r="A35" s="700"/>
      <c r="B35" s="699" t="s">
        <v>236</v>
      </c>
      <c r="C35" s="464"/>
      <c r="D35" s="74"/>
      <c r="E35" s="109"/>
      <c r="F35" s="389" t="s">
        <v>34</v>
      </c>
      <c r="G35" s="81">
        <f>IF($C34=0,0,IF($C35&gt;0.95*$C34,$Y35/($C34-($C34*0.95)+1-$C34*$M$5-C36),$Y35/($C34-$C35-$C34*$M$5-C36)))</f>
        <v>0</v>
      </c>
      <c r="H35" s="82"/>
      <c r="I35" s="91"/>
      <c r="K35" s="67"/>
      <c r="L35" s="373"/>
      <c r="M35" s="174"/>
      <c r="N35" s="174"/>
      <c r="O35" s="174"/>
      <c r="Q35" s="109"/>
      <c r="R35" s="369" t="s">
        <v>257</v>
      </c>
      <c r="S35" s="370">
        <f>IF($C34=0,0,IF($C35&gt;0.95*$C34,$Y34/($C34-($C34*0.95)+1-$C34*$M$5),$Y34/($C34-$C35-$C34*$M$5-C36)))</f>
        <v>0</v>
      </c>
      <c r="T35" s="371"/>
      <c r="U35" s="123"/>
      <c r="W35" s="310" t="s">
        <v>454</v>
      </c>
      <c r="X35" s="310"/>
      <c r="Y35" s="312">
        <f>NPV($M$3, AU33:BN33)</f>
        <v>0</v>
      </c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BO35" s="390"/>
    </row>
    <row r="36" spans="1:67" ht="19.7" thickBot="1" x14ac:dyDescent="0.4">
      <c r="A36" s="701"/>
      <c r="B36" s="702" t="s">
        <v>505</v>
      </c>
      <c r="C36" s="465"/>
      <c r="D36" s="74"/>
      <c r="E36" s="74"/>
      <c r="F36" s="74"/>
      <c r="G36" s="74"/>
      <c r="H36" s="74"/>
      <c r="K36" s="67"/>
      <c r="L36" s="67"/>
      <c r="M36" s="175"/>
      <c r="N36" s="344"/>
      <c r="O36" s="344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BO36" s="390"/>
    </row>
    <row r="37" spans="1:67" x14ac:dyDescent="0.25">
      <c r="C37" s="390"/>
      <c r="E37" s="74"/>
      <c r="F37" s="74"/>
      <c r="G37" s="74"/>
      <c r="H37" s="74"/>
      <c r="K37" s="67"/>
      <c r="L37" s="67"/>
      <c r="M37" s="344"/>
      <c r="N37" s="69"/>
      <c r="O37" s="175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BO37" s="390"/>
    </row>
  </sheetData>
  <sheetProtection algorithmName="SHA-512" hashValue="G4AIFvGxjGeX2XI88JEgJp0Amt4FusTCHAXcoHcBcM9dQrxOkAnTDB7v1ak0730zTAgIRP0VJLS8n5SS9+TKgA==" saltValue="QR+115VL/u4i1PhSYjx9aQ==" spinCount="100000" sheet="1" objects="1" scenarios="1"/>
  <dataValidations count="9">
    <dataValidation allowBlank="1" showErrorMessage="1" promptTitle="ECM 11" prompt="Please enter the utility rebate for this measure, if known." sqref="C36"/>
    <dataValidation allowBlank="1" showErrorMessage="1" promptTitle="ECM 11" prompt="Please enter the total installation cost (i.e. material and labor) for this measure." sqref="C34"/>
    <dataValidation type="list" allowBlank="1" showErrorMessage="1" promptTitle="ECM 11" prompt="Please select the utility (or nearest utility) area the unit is installed in." sqref="C33">
      <formula1>"PGE,SCE&amp;SCG,SDGE"</formula1>
    </dataValidation>
    <dataValidation allowBlank="1" showErrorMessage="1" promptTitle="ECM 11" prompt="Please enter the quantity of airconditioners to be replaced with SEER 13 units." sqref="C32"/>
    <dataValidation type="list" allowBlank="1" showInputMessage="1" showErrorMessage="1" sqref="Q12 E12 Q22 E22 Q32 E32">
      <formula1>"Yes,No"</formula1>
    </dataValidation>
    <dataValidation allowBlank="1" showErrorMessage="1" promptTitle="ECM 11" prompt="Please enter the quantity of airconditioners to be replaced with SEER 13 units." sqref="C12 C22"/>
    <dataValidation type="list" allowBlank="1" showErrorMessage="1" promptTitle="ECM 11" prompt="Please select the utility (or nearest utility) area the unit is installed in." sqref="C13 C23">
      <formula1>"PGE,SCE&amp;SCG,SDGE"</formula1>
    </dataValidation>
    <dataValidation allowBlank="1" showErrorMessage="1" promptTitle="ECM 11" prompt="Please enter the total installation cost (i.e. material and labor) for this measure." sqref="C14 C24"/>
    <dataValidation allowBlank="1" showErrorMessage="1" promptTitle="ECM 11" prompt="Please enter the utility rebate for this measure, if known." sqref="C15 C16 C25 C26 C3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zoomScale="70" zoomScaleNormal="70" workbookViewId="0">
      <selection activeCell="B1" sqref="B1"/>
    </sheetView>
  </sheetViews>
  <sheetFormatPr defaultRowHeight="14.3" x14ac:dyDescent="0.25"/>
  <cols>
    <col min="1" max="1" width="13.375" style="18" customWidth="1"/>
    <col min="2" max="2" width="99.25" style="18" bestFit="1" customWidth="1"/>
    <col min="3" max="3" width="16.25" customWidth="1"/>
    <col min="4" max="4" width="13.25" style="390" hidden="1" customWidth="1"/>
    <col min="5" max="6" width="9.625" style="390" customWidth="1"/>
    <col min="7" max="7" width="8.625" style="390" customWidth="1"/>
    <col min="8" max="8" width="23.125" style="390" bestFit="1" customWidth="1"/>
    <col min="9" max="9" width="12.125" style="390" bestFit="1" customWidth="1"/>
    <col min="10" max="10" width="20.625" style="390" bestFit="1" customWidth="1"/>
    <col min="11" max="11" width="8.875" style="390" bestFit="1" customWidth="1"/>
    <col min="12" max="12" width="9.125" style="390"/>
    <col min="13" max="13" width="12.625" style="390" bestFit="1" customWidth="1"/>
    <col min="14" max="14" width="15" style="390" bestFit="1" customWidth="1"/>
    <col min="15" max="15" width="10.625" style="390" bestFit="1" customWidth="1"/>
    <col min="16" max="19" width="9.125" style="390"/>
    <col min="20" max="20" width="23.125" style="390" bestFit="1" customWidth="1"/>
    <col min="21" max="21" width="12.125" style="390" bestFit="1" customWidth="1"/>
    <col min="22" max="22" width="20.625" style="390" bestFit="1" customWidth="1"/>
    <col min="23" max="24" width="9.125" style="390"/>
    <col min="25" max="25" width="25.75" style="390" bestFit="1" customWidth="1"/>
    <col min="26" max="26" width="9.125" style="390"/>
    <col min="27" max="27" width="11.375" style="390" bestFit="1" customWidth="1"/>
    <col min="28" max="46" width="10.25" style="390" bestFit="1" customWidth="1"/>
  </cols>
  <sheetData>
    <row r="1" spans="1:46" s="636" customFormat="1" ht="19.55" thickBot="1" x14ac:dyDescent="0.35">
      <c r="A1" s="135" t="s">
        <v>526</v>
      </c>
      <c r="B1" s="18"/>
    </row>
    <row r="2" spans="1:46" s="636" customFormat="1" ht="19.55" thickBot="1" x14ac:dyDescent="0.35">
      <c r="A2" s="681" t="s">
        <v>350</v>
      </c>
      <c r="B2" s="682"/>
    </row>
    <row r="3" spans="1:46" s="636" customFormat="1" ht="30.75" customHeight="1" thickBot="1" x14ac:dyDescent="0.3">
      <c r="A3" s="683" t="s">
        <v>351</v>
      </c>
      <c r="B3" s="684">
        <f>Benchmarking!B3</f>
        <v>0</v>
      </c>
      <c r="Y3" s="20" t="s">
        <v>27</v>
      </c>
      <c r="Z3" s="21">
        <v>0.02</v>
      </c>
    </row>
    <row r="4" spans="1:46" s="636" customFormat="1" ht="30.1" customHeight="1" thickBot="1" x14ac:dyDescent="0.3">
      <c r="A4" s="683" t="s">
        <v>352</v>
      </c>
      <c r="B4" s="685">
        <f>Benchmarking!B4</f>
        <v>0</v>
      </c>
      <c r="Y4" s="20" t="s">
        <v>25</v>
      </c>
      <c r="Z4" s="21">
        <f>Z3+0.03</f>
        <v>0.05</v>
      </c>
    </row>
    <row r="5" spans="1:46" s="636" customFormat="1" ht="30.1" thickBot="1" x14ac:dyDescent="0.3">
      <c r="A5" s="683" t="s">
        <v>353</v>
      </c>
      <c r="B5" s="686">
        <f>Benchmarking!B5</f>
        <v>0</v>
      </c>
      <c r="Y5" s="20" t="s">
        <v>26</v>
      </c>
      <c r="Z5" s="21">
        <v>0.04</v>
      </c>
    </row>
    <row r="6" spans="1:46" s="636" customFormat="1" ht="14.95" x14ac:dyDescent="0.25">
      <c r="A6" s="18"/>
      <c r="B6" s="18"/>
      <c r="Y6" s="51" t="s">
        <v>28</v>
      </c>
      <c r="Z6" s="21">
        <v>0.05</v>
      </c>
    </row>
    <row r="7" spans="1:46" s="636" customFormat="1" ht="14.95" x14ac:dyDescent="0.25">
      <c r="A7" s="18"/>
      <c r="B7" s="18" t="s">
        <v>529</v>
      </c>
      <c r="Y7" s="20" t="s">
        <v>24</v>
      </c>
      <c r="Z7" s="21">
        <v>0.03</v>
      </c>
    </row>
    <row r="8" spans="1:46" s="636" customFormat="1" ht="30.1" x14ac:dyDescent="0.25">
      <c r="A8" s="18"/>
      <c r="B8" s="107" t="s">
        <v>525</v>
      </c>
      <c r="Y8" s="33"/>
      <c r="Z8" s="71"/>
    </row>
    <row r="9" spans="1:46" s="636" customFormat="1" ht="14.95" x14ac:dyDescent="0.25">
      <c r="A9" s="18"/>
      <c r="B9" s="18" t="s">
        <v>528</v>
      </c>
      <c r="Y9" s="33"/>
      <c r="Z9" s="71"/>
    </row>
    <row r="10" spans="1:46" s="636" customFormat="1" x14ac:dyDescent="0.25">
      <c r="A10" s="18"/>
      <c r="B10" s="687" t="s">
        <v>682</v>
      </c>
    </row>
    <row r="11" spans="1:46" s="636" customFormat="1" ht="14.3" customHeight="1" x14ac:dyDescent="0.25">
      <c r="A11" s="18"/>
      <c r="B11" s="687" t="s">
        <v>683</v>
      </c>
      <c r="G11" s="830" t="str">
        <f>IF(D26&gt;Benchmarking!B13*3, "ERROR TRANFORMER GREATER 3X THE DEMAND REPORTED IN BENCHMARKING","")</f>
        <v/>
      </c>
      <c r="H11" s="830"/>
      <c r="I11" s="830"/>
      <c r="J11" s="830"/>
      <c r="K11" s="830"/>
      <c r="L11" s="830"/>
      <c r="M11" s="830"/>
      <c r="N11" s="830"/>
      <c r="O11" s="830"/>
      <c r="P11" s="830"/>
      <c r="Q11" s="830"/>
      <c r="R11" s="830"/>
      <c r="S11" s="830"/>
      <c r="T11" s="830"/>
      <c r="U11" s="830"/>
      <c r="V11" s="830"/>
      <c r="W11" s="830"/>
    </row>
    <row r="12" spans="1:46" s="636" customFormat="1" ht="14.95" customHeight="1" thickBot="1" x14ac:dyDescent="0.3">
      <c r="A12" s="18"/>
      <c r="B12" s="18"/>
      <c r="G12" s="830"/>
      <c r="H12" s="830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</row>
    <row r="13" spans="1:46" s="636" customFormat="1" ht="47.25" customHeight="1" thickBot="1" x14ac:dyDescent="0.4">
      <c r="A13" s="688" t="s">
        <v>635</v>
      </c>
      <c r="B13" s="689" t="s">
        <v>534</v>
      </c>
      <c r="C13" s="675" t="s">
        <v>51</v>
      </c>
      <c r="D13" s="676"/>
      <c r="E13" s="656"/>
      <c r="F13" s="656"/>
      <c r="G13" s="831" t="s">
        <v>458</v>
      </c>
      <c r="H13" s="832"/>
      <c r="I13" s="832"/>
      <c r="J13" s="832"/>
      <c r="K13" s="833"/>
      <c r="L13" s="107"/>
      <c r="M13" s="24"/>
      <c r="N13" s="52" t="str">
        <f>A13</f>
        <v>ECM 24</v>
      </c>
      <c r="O13" s="25" t="s">
        <v>532</v>
      </c>
      <c r="P13" s="25" t="s">
        <v>247</v>
      </c>
      <c r="Q13" s="25" t="s">
        <v>248</v>
      </c>
      <c r="R13" s="174"/>
      <c r="S13" s="824" t="s">
        <v>74</v>
      </c>
      <c r="T13" s="825"/>
      <c r="U13" s="825"/>
      <c r="V13" s="825"/>
      <c r="W13" s="826"/>
      <c r="X13" s="174"/>
      <c r="Y13" s="232" t="s">
        <v>29</v>
      </c>
      <c r="Z13" s="268">
        <v>0</v>
      </c>
      <c r="AA13" s="233">
        <v>1</v>
      </c>
      <c r="AB13" s="233">
        <v>2</v>
      </c>
      <c r="AC13" s="233">
        <v>3</v>
      </c>
      <c r="AD13" s="233">
        <v>4</v>
      </c>
      <c r="AE13" s="233">
        <v>5</v>
      </c>
      <c r="AF13" s="233">
        <v>6</v>
      </c>
      <c r="AG13" s="233">
        <v>7</v>
      </c>
      <c r="AH13" s="233">
        <v>8</v>
      </c>
      <c r="AI13" s="233">
        <v>9</v>
      </c>
      <c r="AJ13" s="233">
        <v>10</v>
      </c>
      <c r="AK13" s="233">
        <v>11</v>
      </c>
      <c r="AL13" s="233">
        <v>12</v>
      </c>
      <c r="AM13" s="233">
        <v>13</v>
      </c>
      <c r="AN13" s="234">
        <v>14</v>
      </c>
      <c r="AO13" s="266">
        <v>15</v>
      </c>
      <c r="AP13" s="266">
        <v>16</v>
      </c>
      <c r="AQ13" s="266">
        <v>17</v>
      </c>
      <c r="AR13" s="266">
        <v>18</v>
      </c>
      <c r="AS13" s="266">
        <v>19</v>
      </c>
      <c r="AT13" s="266">
        <v>20</v>
      </c>
    </row>
    <row r="14" spans="1:46" s="636" customFormat="1" x14ac:dyDescent="0.25">
      <c r="A14" s="690" t="s">
        <v>530</v>
      </c>
      <c r="B14" s="33"/>
      <c r="C14" s="679"/>
      <c r="D14" s="678"/>
      <c r="E14" s="661"/>
      <c r="F14" s="661"/>
      <c r="G14" s="112"/>
      <c r="H14" s="84" t="s">
        <v>4</v>
      </c>
      <c r="I14" s="680">
        <f>'Total-Summary'!C32</f>
        <v>0</v>
      </c>
      <c r="J14" s="76" t="s">
        <v>378</v>
      </c>
      <c r="K14" s="113"/>
      <c r="L14" s="107"/>
      <c r="M14" s="31" t="s">
        <v>7</v>
      </c>
      <c r="N14" s="31" t="s">
        <v>531</v>
      </c>
      <c r="O14" s="55">
        <v>0</v>
      </c>
      <c r="P14" s="55">
        <v>0</v>
      </c>
      <c r="Q14" s="55">
        <v>0</v>
      </c>
      <c r="R14" s="69"/>
      <c r="S14" s="112"/>
      <c r="T14" s="84" t="s">
        <v>4</v>
      </c>
      <c r="U14" s="179">
        <f>IF($D$26&gt;Benchmarking!B13*3, "ERROR", IF(O16=0,0,P16))</f>
        <v>0</v>
      </c>
      <c r="V14" s="366" t="s">
        <v>378</v>
      </c>
      <c r="W14" s="367"/>
      <c r="X14" s="69"/>
      <c r="Y14" s="235" t="s">
        <v>29</v>
      </c>
      <c r="Z14" s="264">
        <v>2013</v>
      </c>
      <c r="AA14" s="264">
        <f>Z14+1</f>
        <v>2014</v>
      </c>
      <c r="AB14" s="264">
        <f t="shared" ref="AB14:AO14" si="0">AA14+1</f>
        <v>2015</v>
      </c>
      <c r="AC14" s="264">
        <f t="shared" si="0"/>
        <v>2016</v>
      </c>
      <c r="AD14" s="264">
        <f t="shared" si="0"/>
        <v>2017</v>
      </c>
      <c r="AE14" s="264">
        <f t="shared" si="0"/>
        <v>2018</v>
      </c>
      <c r="AF14" s="264">
        <f t="shared" si="0"/>
        <v>2019</v>
      </c>
      <c r="AG14" s="264">
        <f t="shared" si="0"/>
        <v>2020</v>
      </c>
      <c r="AH14" s="264">
        <f t="shared" si="0"/>
        <v>2021</v>
      </c>
      <c r="AI14" s="264">
        <f t="shared" si="0"/>
        <v>2022</v>
      </c>
      <c r="AJ14" s="264">
        <f t="shared" si="0"/>
        <v>2023</v>
      </c>
      <c r="AK14" s="264">
        <f t="shared" si="0"/>
        <v>2024</v>
      </c>
      <c r="AL14" s="264">
        <f t="shared" si="0"/>
        <v>2025</v>
      </c>
      <c r="AM14" s="264">
        <f t="shared" si="0"/>
        <v>2026</v>
      </c>
      <c r="AN14" s="269">
        <f t="shared" si="0"/>
        <v>2027</v>
      </c>
      <c r="AO14" s="270">
        <f t="shared" si="0"/>
        <v>2028</v>
      </c>
      <c r="AP14" s="270">
        <f t="shared" ref="AP14" si="1">AO14+1</f>
        <v>2029</v>
      </c>
      <c r="AQ14" s="270">
        <f t="shared" ref="AQ14" si="2">AP14+1</f>
        <v>2030</v>
      </c>
      <c r="AR14" s="270">
        <f t="shared" ref="AR14" si="3">AQ14+1</f>
        <v>2031</v>
      </c>
      <c r="AS14" s="270">
        <f t="shared" ref="AS14" si="4">AR14+1</f>
        <v>2032</v>
      </c>
      <c r="AT14" s="270">
        <f t="shared" ref="AT14" si="5">AS14+1</f>
        <v>2033</v>
      </c>
    </row>
    <row r="15" spans="1:46" ht="14.95" x14ac:dyDescent="0.25">
      <c r="A15" s="104">
        <v>1000</v>
      </c>
      <c r="B15" s="162" t="s">
        <v>522</v>
      </c>
      <c r="C15" s="625"/>
      <c r="D15" s="384">
        <f>(C15*A15)</f>
        <v>0</v>
      </c>
      <c r="E15" s="5"/>
      <c r="F15" s="179"/>
      <c r="G15" s="100"/>
      <c r="H15" s="41" t="s">
        <v>5</v>
      </c>
      <c r="I15" s="179">
        <f>'Total-Summary'!D32</f>
        <v>0</v>
      </c>
      <c r="J15" s="33" t="s">
        <v>12</v>
      </c>
      <c r="K15" s="101"/>
      <c r="L15" s="74"/>
      <c r="M15" s="31" t="s">
        <v>8</v>
      </c>
      <c r="N15" s="31" t="s">
        <v>680</v>
      </c>
      <c r="O15" s="386">
        <f>-(C15*(A15/0.972-A15/0.989)+C16*(A16/0.971-A16/0.988)+C17*(A17/0.97-A17/0.987)+C18*(A18/0.969-A18/0.986)+C19*(A19/0.967-A19/0.985)+C20*(A20/0.965-A20/0.983)+C21*(A21/0.959-A21/0.982)+C22*(A22/0.952-A22/0.98)+C23*(A23/0.946-A23/0.977)+C24*(A24/0.94-A24/0.975)+C25*(A25/0.933-A25/0.97))*0.3151*8760</f>
        <v>0</v>
      </c>
      <c r="P15" s="409">
        <f>-IF(C26=0,0,(A15*C15+A16*C16+A17*C17+A18*C18+A19*C19+A20*C20+A21*C21+A22*C22+A23*C23+A24*C24+A25*C25)*(0.025*0.35))</f>
        <v>0</v>
      </c>
      <c r="Q15" s="54">
        <v>0</v>
      </c>
      <c r="R15" s="175"/>
      <c r="S15" s="100"/>
      <c r="T15" s="41" t="s">
        <v>5</v>
      </c>
      <c r="U15" s="179">
        <f>IF($D$26&gt;Benchmarking!B13*3, "ERROR",IF(O16=0,0,O16))</f>
        <v>0</v>
      </c>
      <c r="V15" s="69" t="s">
        <v>12</v>
      </c>
      <c r="W15" s="101"/>
      <c r="X15" s="175"/>
      <c r="Y15" s="236" t="s">
        <v>30</v>
      </c>
      <c r="Z15" s="60"/>
      <c r="AA15" s="60">
        <f>U18</f>
        <v>0</v>
      </c>
      <c r="AB15" s="60">
        <f>AA15*(1+$Z$5)</f>
        <v>0</v>
      </c>
      <c r="AC15" s="60">
        <f t="shared" ref="AC15:AO15" si="6">AB15*(1+$Z$5)</f>
        <v>0</v>
      </c>
      <c r="AD15" s="60">
        <f t="shared" si="6"/>
        <v>0</v>
      </c>
      <c r="AE15" s="60">
        <f t="shared" si="6"/>
        <v>0</v>
      </c>
      <c r="AF15" s="60">
        <f t="shared" si="6"/>
        <v>0</v>
      </c>
      <c r="AG15" s="60">
        <f t="shared" si="6"/>
        <v>0</v>
      </c>
      <c r="AH15" s="60">
        <f t="shared" si="6"/>
        <v>0</v>
      </c>
      <c r="AI15" s="60">
        <f t="shared" si="6"/>
        <v>0</v>
      </c>
      <c r="AJ15" s="60">
        <f t="shared" si="6"/>
        <v>0</v>
      </c>
      <c r="AK15" s="60">
        <f t="shared" si="6"/>
        <v>0</v>
      </c>
      <c r="AL15" s="60">
        <f t="shared" si="6"/>
        <v>0</v>
      </c>
      <c r="AM15" s="60">
        <f t="shared" si="6"/>
        <v>0</v>
      </c>
      <c r="AN15" s="60">
        <f t="shared" si="6"/>
        <v>0</v>
      </c>
      <c r="AO15" s="60">
        <f t="shared" si="6"/>
        <v>0</v>
      </c>
      <c r="AP15" s="60">
        <f t="shared" ref="AP15:AT15" si="7">AO15*(1+$Z$5)</f>
        <v>0</v>
      </c>
      <c r="AQ15" s="60">
        <f t="shared" si="7"/>
        <v>0</v>
      </c>
      <c r="AR15" s="60">
        <f t="shared" si="7"/>
        <v>0</v>
      </c>
      <c r="AS15" s="60">
        <f t="shared" si="7"/>
        <v>0</v>
      </c>
      <c r="AT15" s="271">
        <f t="shared" si="7"/>
        <v>0</v>
      </c>
    </row>
    <row r="16" spans="1:46" ht="15.8" thickBot="1" x14ac:dyDescent="0.3">
      <c r="A16" s="104">
        <v>750</v>
      </c>
      <c r="B16" s="162" t="s">
        <v>516</v>
      </c>
      <c r="C16" s="625"/>
      <c r="D16" s="384">
        <f t="shared" ref="D16:D25" si="8">(C16*A16)</f>
        <v>0</v>
      </c>
      <c r="E16" s="5"/>
      <c r="F16" s="179"/>
      <c r="G16" s="100"/>
      <c r="H16" s="96" t="s">
        <v>5</v>
      </c>
      <c r="I16" s="298">
        <v>0</v>
      </c>
      <c r="J16" s="33" t="s">
        <v>379</v>
      </c>
      <c r="K16" s="101"/>
      <c r="L16" s="74"/>
      <c r="M16" s="35"/>
      <c r="N16" s="35" t="s">
        <v>2</v>
      </c>
      <c r="O16" s="58">
        <f>O14-O15</f>
        <v>0</v>
      </c>
      <c r="P16" s="58">
        <f t="shared" ref="P16:Q16" si="9">P14-P15</f>
        <v>0</v>
      </c>
      <c r="Q16" s="58">
        <f t="shared" si="9"/>
        <v>0</v>
      </c>
      <c r="R16" s="175"/>
      <c r="S16" s="100"/>
      <c r="T16" s="114" t="s">
        <v>5</v>
      </c>
      <c r="U16" s="179">
        <f>IF($D$26&gt;Benchmarking!B13*3, "ERROR",IF(Benchmarking!B3=0,0,Q16))</f>
        <v>0</v>
      </c>
      <c r="V16" s="69" t="s">
        <v>379</v>
      </c>
      <c r="W16" s="101"/>
      <c r="X16" s="175"/>
      <c r="Y16" s="235" t="s">
        <v>31</v>
      </c>
      <c r="Z16" s="264"/>
      <c r="AA16" s="60">
        <f>IF((C26)=0,0,$C$26*$Z$7)</f>
        <v>0</v>
      </c>
      <c r="AB16" s="60">
        <f>AA16*(1+$Z$3)</f>
        <v>0</v>
      </c>
      <c r="AC16" s="60">
        <f t="shared" ref="AC16:AT16" si="10">AB16*(1+$Z$3)</f>
        <v>0</v>
      </c>
      <c r="AD16" s="60">
        <f t="shared" si="10"/>
        <v>0</v>
      </c>
      <c r="AE16" s="60">
        <f t="shared" si="10"/>
        <v>0</v>
      </c>
      <c r="AF16" s="60">
        <f t="shared" si="10"/>
        <v>0</v>
      </c>
      <c r="AG16" s="60">
        <f t="shared" si="10"/>
        <v>0</v>
      </c>
      <c r="AH16" s="60">
        <f t="shared" si="10"/>
        <v>0</v>
      </c>
      <c r="AI16" s="60">
        <f t="shared" si="10"/>
        <v>0</v>
      </c>
      <c r="AJ16" s="60">
        <f t="shared" si="10"/>
        <v>0</v>
      </c>
      <c r="AK16" s="60">
        <f t="shared" si="10"/>
        <v>0</v>
      </c>
      <c r="AL16" s="60">
        <f t="shared" si="10"/>
        <v>0</v>
      </c>
      <c r="AM16" s="60">
        <f t="shared" si="10"/>
        <v>0</v>
      </c>
      <c r="AN16" s="60">
        <f t="shared" si="10"/>
        <v>0</v>
      </c>
      <c r="AO16" s="60">
        <f t="shared" si="10"/>
        <v>0</v>
      </c>
      <c r="AP16" s="60">
        <f t="shared" si="10"/>
        <v>0</v>
      </c>
      <c r="AQ16" s="60">
        <f t="shared" si="10"/>
        <v>0</v>
      </c>
      <c r="AR16" s="60">
        <f t="shared" si="10"/>
        <v>0</v>
      </c>
      <c r="AS16" s="60">
        <f t="shared" si="10"/>
        <v>0</v>
      </c>
      <c r="AT16" s="60">
        <f t="shared" si="10"/>
        <v>0</v>
      </c>
    </row>
    <row r="17" spans="1:46" ht="14.95" x14ac:dyDescent="0.25">
      <c r="A17" s="104">
        <v>500</v>
      </c>
      <c r="B17" s="162" t="s">
        <v>515</v>
      </c>
      <c r="C17" s="625"/>
      <c r="D17" s="384">
        <f t="shared" si="8"/>
        <v>0</v>
      </c>
      <c r="E17" s="5"/>
      <c r="F17" s="179"/>
      <c r="G17" s="102"/>
      <c r="H17" s="114" t="s">
        <v>14</v>
      </c>
      <c r="I17" s="298">
        <v>0</v>
      </c>
      <c r="J17" s="33" t="s">
        <v>48</v>
      </c>
      <c r="K17" s="95" t="str">
        <f>IF(Benchmarking!$E$25=0,"Fuel Oil","Propane")</f>
        <v>Fuel Oil</v>
      </c>
      <c r="L17" s="18"/>
      <c r="M17" s="18"/>
      <c r="N17" s="18"/>
      <c r="O17" s="18"/>
      <c r="P17" s="18"/>
      <c r="Q17" s="18"/>
      <c r="R17" s="18"/>
      <c r="S17" s="102"/>
      <c r="T17" s="114" t="s">
        <v>14</v>
      </c>
      <c r="U17" s="93">
        <f>IF($D$26&gt;Benchmarking!B13*3, "ERROR",IF(Benchmarking!E7=0,IF(Benchmarking!E$25&gt;0,Q16/0.925,Q16/1.385),0))</f>
        <v>0</v>
      </c>
      <c r="V17" s="69" t="s">
        <v>48</v>
      </c>
      <c r="W17" s="101" t="str">
        <f>IF(Benchmarking!$E$25=0,"Fuel Oil","Propane")</f>
        <v>Fuel Oil</v>
      </c>
      <c r="X17" s="18"/>
      <c r="Y17" s="235" t="s">
        <v>32</v>
      </c>
      <c r="Z17" s="264"/>
      <c r="AA17" s="260">
        <v>0</v>
      </c>
      <c r="AB17" s="260">
        <v>0</v>
      </c>
      <c r="AC17" s="260">
        <v>0</v>
      </c>
      <c r="AD17" s="260">
        <v>0</v>
      </c>
      <c r="AE17" s="260">
        <v>0</v>
      </c>
      <c r="AF17" s="260">
        <v>0</v>
      </c>
      <c r="AG17" s="260">
        <v>0</v>
      </c>
      <c r="AH17" s="260">
        <v>0</v>
      </c>
      <c r="AI17" s="260">
        <v>0</v>
      </c>
      <c r="AJ17" s="260">
        <v>0</v>
      </c>
      <c r="AK17" s="260">
        <v>0</v>
      </c>
      <c r="AL17" s="260">
        <v>0</v>
      </c>
      <c r="AM17" s="260">
        <v>0</v>
      </c>
      <c r="AN17" s="273">
        <v>0</v>
      </c>
      <c r="AO17" s="274">
        <v>0</v>
      </c>
      <c r="AP17" s="274">
        <v>0</v>
      </c>
      <c r="AQ17" s="274">
        <v>0</v>
      </c>
      <c r="AR17" s="274">
        <v>0</v>
      </c>
      <c r="AS17" s="274">
        <v>0</v>
      </c>
      <c r="AT17" s="274">
        <v>0</v>
      </c>
    </row>
    <row r="18" spans="1:46" ht="16.5" thickBot="1" x14ac:dyDescent="0.3">
      <c r="A18" s="104">
        <v>300</v>
      </c>
      <c r="B18" s="162" t="s">
        <v>514</v>
      </c>
      <c r="C18" s="466"/>
      <c r="D18" s="384">
        <f t="shared" si="8"/>
        <v>0</v>
      </c>
      <c r="E18" s="5"/>
      <c r="F18" s="179"/>
      <c r="G18" s="102"/>
      <c r="H18" s="89" t="s">
        <v>14</v>
      </c>
      <c r="I18" s="387">
        <f>Benchmarking!E23*'EE Transformer'!I15</f>
        <v>0</v>
      </c>
      <c r="J18" s="79" t="s">
        <v>533</v>
      </c>
      <c r="K18" s="101"/>
      <c r="L18" s="74"/>
      <c r="M18" s="69"/>
      <c r="P18" s="69"/>
      <c r="Q18" s="69"/>
      <c r="R18" s="18"/>
      <c r="S18" s="102"/>
      <c r="T18" s="41" t="s">
        <v>14</v>
      </c>
      <c r="U18" s="380">
        <f>IF(U15=0,0,U15*Benchmarking!E$23+Benchmarking!E$24*U16+IF(Benchmarking!B$23=0,Benchmarking!E$26*U17,Benchmarking!E$25*U17))</f>
        <v>0</v>
      </c>
      <c r="V18" s="67" t="s">
        <v>15</v>
      </c>
      <c r="W18" s="101"/>
      <c r="X18" s="18"/>
      <c r="Y18" s="267" t="s">
        <v>33</v>
      </c>
      <c r="Z18" s="275"/>
      <c r="AA18" s="276">
        <f>AA15+AA16-AA17</f>
        <v>0</v>
      </c>
      <c r="AB18" s="276">
        <f t="shared" ref="AB18:AO18" si="11">AB15+AB16-AB17</f>
        <v>0</v>
      </c>
      <c r="AC18" s="276">
        <f t="shared" si="11"/>
        <v>0</v>
      </c>
      <c r="AD18" s="276">
        <f t="shared" si="11"/>
        <v>0</v>
      </c>
      <c r="AE18" s="276">
        <f t="shared" si="11"/>
        <v>0</v>
      </c>
      <c r="AF18" s="276">
        <f t="shared" si="11"/>
        <v>0</v>
      </c>
      <c r="AG18" s="276">
        <f t="shared" si="11"/>
        <v>0</v>
      </c>
      <c r="AH18" s="276">
        <f t="shared" si="11"/>
        <v>0</v>
      </c>
      <c r="AI18" s="276">
        <f t="shared" si="11"/>
        <v>0</v>
      </c>
      <c r="AJ18" s="276">
        <f t="shared" si="11"/>
        <v>0</v>
      </c>
      <c r="AK18" s="276">
        <f t="shared" si="11"/>
        <v>0</v>
      </c>
      <c r="AL18" s="276">
        <f t="shared" si="11"/>
        <v>0</v>
      </c>
      <c r="AM18" s="276">
        <f t="shared" si="11"/>
        <v>0</v>
      </c>
      <c r="AN18" s="277">
        <f t="shared" si="11"/>
        <v>0</v>
      </c>
      <c r="AO18" s="278">
        <f t="shared" si="11"/>
        <v>0</v>
      </c>
      <c r="AP18" s="278">
        <f t="shared" ref="AP18:AT18" si="12">AP15+AP16-AP17</f>
        <v>0</v>
      </c>
      <c r="AQ18" s="278">
        <f t="shared" si="12"/>
        <v>0</v>
      </c>
      <c r="AR18" s="278">
        <f t="shared" si="12"/>
        <v>0</v>
      </c>
      <c r="AS18" s="278">
        <f t="shared" si="12"/>
        <v>0</v>
      </c>
      <c r="AT18" s="278">
        <f t="shared" si="12"/>
        <v>0</v>
      </c>
    </row>
    <row r="19" spans="1:46" ht="19.55" thickBot="1" x14ac:dyDescent="0.35">
      <c r="A19" s="100">
        <v>225</v>
      </c>
      <c r="B19" s="162" t="s">
        <v>521</v>
      </c>
      <c r="C19" s="466"/>
      <c r="D19" s="384">
        <f t="shared" si="8"/>
        <v>0</v>
      </c>
      <c r="E19" s="475"/>
      <c r="F19" s="179"/>
      <c r="G19" s="100"/>
      <c r="H19" s="89" t="s">
        <v>16</v>
      </c>
      <c r="I19" s="298">
        <f>IF(C26=0,0,C26/I18)</f>
        <v>0</v>
      </c>
      <c r="J19" s="79" t="s">
        <v>17</v>
      </c>
      <c r="K19" s="103"/>
      <c r="L19" s="106"/>
      <c r="M19" s="23"/>
      <c r="P19" s="69"/>
      <c r="Q19" s="69"/>
      <c r="R19" s="18"/>
      <c r="S19" s="100"/>
      <c r="T19" s="41" t="s">
        <v>16</v>
      </c>
      <c r="U19" s="368">
        <f>IF(U15=0,0,(C26-C27)/U18)</f>
        <v>0</v>
      </c>
      <c r="V19" s="67" t="s">
        <v>17</v>
      </c>
      <c r="W19" s="103"/>
      <c r="X19" s="18"/>
      <c r="Y19" s="290" t="s">
        <v>679</v>
      </c>
      <c r="Z19" s="291"/>
      <c r="AA19" s="292">
        <f>NPV($Z$4,AA18:AT18)</f>
        <v>0</v>
      </c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3"/>
      <c r="AP19" s="63"/>
      <c r="AQ19" s="63"/>
      <c r="AR19" s="63"/>
      <c r="AS19" s="63"/>
      <c r="AT19" s="63"/>
    </row>
    <row r="20" spans="1:46" ht="16.5" thickBot="1" x14ac:dyDescent="0.3">
      <c r="A20" s="104">
        <v>150</v>
      </c>
      <c r="B20" s="162" t="s">
        <v>517</v>
      </c>
      <c r="C20" s="625"/>
      <c r="D20" s="384">
        <f t="shared" si="8"/>
        <v>0</v>
      </c>
      <c r="E20" s="5"/>
      <c r="F20" s="179"/>
      <c r="G20" s="109"/>
      <c r="H20" s="389" t="s">
        <v>34</v>
      </c>
      <c r="I20" s="370">
        <f>U20</f>
        <v>0</v>
      </c>
      <c r="J20" s="82"/>
      <c r="K20" s="91"/>
      <c r="L20" s="18"/>
      <c r="M20" s="67"/>
      <c r="P20" s="174"/>
      <c r="Q20" s="174"/>
      <c r="R20" s="18"/>
      <c r="S20" s="109"/>
      <c r="T20" s="388" t="s">
        <v>34</v>
      </c>
      <c r="U20" s="370">
        <f>IF($C26=0,0,AA19/($C$26-$C$27-$C$26*$Z$6-C28))</f>
        <v>0</v>
      </c>
      <c r="V20" s="371"/>
      <c r="W20" s="123"/>
      <c r="X20" s="18"/>
      <c r="Y20" s="498"/>
      <c r="Z20" s="499"/>
      <c r="AA20" s="500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</row>
    <row r="21" spans="1:46" ht="14.95" x14ac:dyDescent="0.25">
      <c r="A21" s="104">
        <v>112.5</v>
      </c>
      <c r="B21" s="162" t="s">
        <v>518</v>
      </c>
      <c r="C21" s="625"/>
      <c r="D21" s="384">
        <f t="shared" si="8"/>
        <v>0</v>
      </c>
      <c r="E21" s="5"/>
      <c r="F21" s="179"/>
      <c r="G21" s="74"/>
      <c r="H21" s="74"/>
      <c r="I21" s="298"/>
      <c r="J21" s="74"/>
      <c r="K21" s="18"/>
      <c r="L21" s="18"/>
      <c r="M21" s="67"/>
      <c r="P21" s="344"/>
      <c r="Q21" s="344"/>
      <c r="R21" s="18"/>
      <c r="S21" s="18"/>
      <c r="T21" s="18"/>
      <c r="U21" s="18"/>
      <c r="V21" s="18"/>
      <c r="W21" s="18"/>
      <c r="X21" s="18"/>
      <c r="Y21" s="69"/>
      <c r="Z21" s="469"/>
      <c r="AA21" s="469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</row>
    <row r="22" spans="1:46" ht="14.95" x14ac:dyDescent="0.25">
      <c r="A22" s="104">
        <v>75</v>
      </c>
      <c r="B22" s="162" t="s">
        <v>513</v>
      </c>
      <c r="C22" s="625"/>
      <c r="D22" s="384">
        <f t="shared" si="8"/>
        <v>0</v>
      </c>
      <c r="E22" s="5"/>
      <c r="F22" s="179"/>
      <c r="G22" s="74"/>
      <c r="H22" s="74"/>
      <c r="I22" s="298"/>
      <c r="J22" s="74"/>
      <c r="K22" s="18"/>
      <c r="L22" s="18"/>
      <c r="M22" s="67"/>
      <c r="P22" s="69"/>
      <c r="Q22" s="175"/>
      <c r="R22" s="18"/>
      <c r="S22" s="18"/>
      <c r="T22" s="18"/>
      <c r="U22" s="18"/>
      <c r="V22" s="18"/>
      <c r="W22" s="18"/>
      <c r="X22" s="18"/>
      <c r="Y22" s="33"/>
      <c r="Z22" s="288"/>
      <c r="AA22" s="288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</row>
    <row r="23" spans="1:46" ht="14.95" x14ac:dyDescent="0.25">
      <c r="A23" s="104">
        <v>45</v>
      </c>
      <c r="B23" s="162" t="s">
        <v>519</v>
      </c>
      <c r="C23" s="625"/>
      <c r="D23" s="384">
        <f t="shared" si="8"/>
        <v>0</v>
      </c>
      <c r="E23" s="5"/>
      <c r="F23" s="179"/>
      <c r="G23" s="115"/>
      <c r="H23" s="115"/>
      <c r="I23" s="298"/>
      <c r="J23" s="115"/>
      <c r="K23" s="18"/>
      <c r="L23" s="18"/>
      <c r="M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</row>
    <row r="24" spans="1:46" ht="15.8" x14ac:dyDescent="0.25">
      <c r="A24" s="104">
        <v>30</v>
      </c>
      <c r="B24" s="162" t="s">
        <v>520</v>
      </c>
      <c r="C24" s="466"/>
      <c r="D24" s="384">
        <f t="shared" si="8"/>
        <v>0</v>
      </c>
      <c r="E24" s="5"/>
      <c r="F24" s="179"/>
      <c r="I24" s="298"/>
    </row>
    <row r="25" spans="1:46" ht="15.8" x14ac:dyDescent="0.25">
      <c r="A25" s="100">
        <v>15</v>
      </c>
      <c r="B25" s="162" t="s">
        <v>524</v>
      </c>
      <c r="C25" s="466"/>
      <c r="D25" s="384">
        <f t="shared" si="8"/>
        <v>0</v>
      </c>
      <c r="E25" s="475"/>
      <c r="F25" s="179"/>
      <c r="I25" s="298"/>
    </row>
    <row r="26" spans="1:46" ht="18.7" x14ac:dyDescent="0.3">
      <c r="A26" s="691"/>
      <c r="B26" s="692" t="s">
        <v>368</v>
      </c>
      <c r="C26" s="468"/>
      <c r="D26" s="478">
        <f>SUM(D15:D25)</f>
        <v>0</v>
      </c>
      <c r="I26" s="385"/>
    </row>
    <row r="27" spans="1:46" ht="18.7" x14ac:dyDescent="0.3">
      <c r="A27" s="691"/>
      <c r="B27" s="692" t="s">
        <v>236</v>
      </c>
      <c r="C27" s="467"/>
      <c r="D27" s="477"/>
    </row>
    <row r="28" spans="1:46" ht="19.55" thickBot="1" x14ac:dyDescent="0.35">
      <c r="A28" s="693"/>
      <c r="B28" s="694" t="s">
        <v>505</v>
      </c>
      <c r="C28" s="465"/>
      <c r="D28" s="476"/>
    </row>
    <row r="30" spans="1:46" ht="14.95" x14ac:dyDescent="0.25">
      <c r="A30" s="209" t="s">
        <v>497</v>
      </c>
      <c r="B30" s="695" t="s">
        <v>527</v>
      </c>
    </row>
    <row r="31" spans="1:46" ht="26.5" x14ac:dyDescent="0.25">
      <c r="B31" s="695" t="s">
        <v>523</v>
      </c>
    </row>
    <row r="32" spans="1:46" ht="14.95" x14ac:dyDescent="0.25">
      <c r="B32" s="696"/>
    </row>
  </sheetData>
  <sheetProtection algorithmName="SHA-512" hashValue="HI9BRPQzFe6bXEwEOHsEkNTaECY4Dj14TLQnNz8sPZYs+uowT/BeDb/VqCbsPq0EOIy70kUPKAytpmRakmIGMw==" saltValue="WD+slGBUeJlyR/t0Aveu2A==" spinCount="100000" sheet="1" objects="1" scenarios="1"/>
  <dataValidations count="6">
    <dataValidation allowBlank="1" showInputMessage="1" showErrorMessage="1" promptTitle="ECM 11" prompt="Please enter the utility rebate for this measure, if known." sqref="D27"/>
    <dataValidation allowBlank="1" showInputMessage="1" showErrorMessage="1" promptTitle="ECM 11" prompt="Please enter the total installation cost (i.e. material and labor) for this measure." sqref="D26"/>
    <dataValidation allowBlank="1" showErrorMessage="1" promptTitle="ECM 11" prompt="Please enter the quantity of airconditioners to be replaced with SEER 14 units." sqref="C25"/>
    <dataValidation allowBlank="1" showErrorMessage="1" promptTitle="ECM 11" prompt="Please enter the quantity of airconditioners to be replaced with SEER 13 units." sqref="C18:C19"/>
    <dataValidation type="list" allowBlank="1" showInputMessage="1" showErrorMessage="1" sqref="S17 G17">
      <formula1>"Yes,No"</formula1>
    </dataValidation>
    <dataValidation allowBlank="1" showErrorMessage="1" promptTitle="ECM 11" prompt="Please enter the quantity of airconditioners to be replaced with SEER 14 units." sqref="C24"/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587CB07-F9F2-4555-8B0F-9E6ADF18D8D1}">
            <xm:f>$D$26&gt;Benchmarking!$B$13*3</xm:f>
            <x14:dxf>
              <fill>
                <patternFill>
                  <bgColor theme="1"/>
                </patternFill>
              </fill>
            </x14:dxf>
          </x14:cfRule>
          <xm:sqref>G13:W20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2" zoomScaleNormal="92" workbookViewId="0">
      <selection activeCell="G21" sqref="G21"/>
    </sheetView>
  </sheetViews>
  <sheetFormatPr defaultColWidth="9.125" defaultRowHeight="14.3" x14ac:dyDescent="0.25"/>
  <cols>
    <col min="1" max="1" width="11.25" style="636" customWidth="1"/>
    <col min="2" max="2" width="61.625" style="636" customWidth="1"/>
    <col min="3" max="3" width="17" style="9" customWidth="1"/>
    <col min="4" max="4" width="6.25" style="636" customWidth="1"/>
    <col min="5" max="8" width="12.375" style="18" customWidth="1"/>
    <col min="9" max="9" width="7.875" style="18" customWidth="1"/>
    <col min="10" max="10" width="6.75" style="18" customWidth="1"/>
    <col min="11" max="11" width="19.125" style="18" customWidth="1"/>
    <col min="12" max="12" width="14" style="18" customWidth="1"/>
    <col min="13" max="32" width="12.375" style="63" customWidth="1"/>
    <col min="33" max="37" width="9.125" style="636"/>
    <col min="38" max="16384" width="9.125" style="128"/>
  </cols>
  <sheetData>
    <row r="1" spans="1:33" s="636" customFormat="1" ht="19.55" thickBot="1" x14ac:dyDescent="0.35">
      <c r="B1" s="637" t="s">
        <v>58</v>
      </c>
      <c r="C1" s="636" t="str">
        <f>Benchmarking!C1</f>
        <v>Version 8.1</v>
      </c>
      <c r="E1" s="18"/>
      <c r="F1" s="18"/>
      <c r="G1" s="18"/>
      <c r="H1" s="18"/>
      <c r="I1" s="18"/>
      <c r="J1" s="18"/>
      <c r="K1" s="18"/>
      <c r="L1" s="18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636" customFormat="1" ht="19.55" thickBot="1" x14ac:dyDescent="0.35">
      <c r="A2" s="638" t="s">
        <v>350</v>
      </c>
      <c r="B2" s="639"/>
      <c r="E2" s="18"/>
      <c r="F2" s="18"/>
      <c r="G2" s="18"/>
      <c r="H2" s="18"/>
      <c r="I2" s="18"/>
      <c r="J2" s="18"/>
      <c r="K2" s="20" t="s">
        <v>27</v>
      </c>
      <c r="L2" s="21">
        <v>0.02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33" s="636" customFormat="1" ht="30.1" thickBot="1" x14ac:dyDescent="0.3">
      <c r="A3" s="640" t="s">
        <v>351</v>
      </c>
      <c r="B3" s="641">
        <f>Benchmarking!B3</f>
        <v>0</v>
      </c>
      <c r="E3" s="18"/>
      <c r="F3" s="18"/>
      <c r="G3" s="18"/>
      <c r="H3" s="18"/>
      <c r="I3" s="18"/>
      <c r="J3" s="18"/>
      <c r="K3" s="20" t="s">
        <v>25</v>
      </c>
      <c r="L3" s="21">
        <v>0.05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4" spans="1:33" s="636" customFormat="1" ht="30.1" thickBot="1" x14ac:dyDescent="0.3">
      <c r="A4" s="642" t="s">
        <v>352</v>
      </c>
      <c r="B4" s="643">
        <f>Benchmarking!B4</f>
        <v>0</v>
      </c>
      <c r="E4" s="18"/>
      <c r="F4" s="18"/>
      <c r="G4" s="18"/>
      <c r="H4" s="18"/>
      <c r="I4" s="18"/>
      <c r="J4" s="18"/>
      <c r="K4" s="20" t="s">
        <v>26</v>
      </c>
      <c r="L4" s="21">
        <v>0.04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3" s="636" customFormat="1" ht="30.1" thickBot="1" x14ac:dyDescent="0.3">
      <c r="A5" s="644" t="s">
        <v>353</v>
      </c>
      <c r="B5" s="645">
        <f>Benchmarking!B5</f>
        <v>0</v>
      </c>
      <c r="E5" s="18"/>
      <c r="F5" s="18"/>
      <c r="G5" s="18"/>
      <c r="H5" s="18"/>
      <c r="I5" s="18"/>
      <c r="J5" s="18"/>
      <c r="K5" s="51" t="s">
        <v>28</v>
      </c>
      <c r="L5" s="21">
        <v>0.05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3" s="636" customFormat="1" ht="14.95" x14ac:dyDescent="0.25">
      <c r="E6" s="18"/>
      <c r="F6" s="18"/>
      <c r="G6" s="18"/>
      <c r="H6" s="18"/>
      <c r="I6" s="18"/>
      <c r="J6" s="18"/>
      <c r="K6" s="20" t="s">
        <v>103</v>
      </c>
      <c r="L6" s="21">
        <v>3.0000000000000001E-3</v>
      </c>
      <c r="M6" s="63"/>
      <c r="N6" s="288"/>
      <c r="O6" s="288"/>
      <c r="P6" s="288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3" s="636" customFormat="1" ht="14.95" x14ac:dyDescent="0.25">
      <c r="A7" s="646" t="s">
        <v>497</v>
      </c>
      <c r="E7" s="18"/>
      <c r="F7" s="18"/>
      <c r="G7" s="18"/>
      <c r="H7" s="18"/>
      <c r="I7" s="18"/>
      <c r="J7" s="18"/>
      <c r="K7" s="18"/>
      <c r="L7" s="18"/>
      <c r="M7" s="63"/>
      <c r="N7" s="288"/>
      <c r="O7" s="294"/>
      <c r="P7" s="288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</row>
    <row r="8" spans="1:33" s="636" customFormat="1" ht="14.95" x14ac:dyDescent="0.25">
      <c r="A8" s="646">
        <v>1</v>
      </c>
      <c r="B8" s="647" t="s">
        <v>496</v>
      </c>
      <c r="C8" s="648"/>
      <c r="D8" s="649"/>
      <c r="E8" s="69"/>
      <c r="F8" s="69"/>
      <c r="G8" s="69"/>
      <c r="H8" s="69"/>
      <c r="I8" s="69"/>
      <c r="J8" s="69"/>
      <c r="K8" s="18"/>
      <c r="L8" s="18"/>
      <c r="M8" s="63"/>
      <c r="N8" s="288"/>
      <c r="O8" s="288"/>
      <c r="P8" s="288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18"/>
    </row>
    <row r="9" spans="1:33" s="636" customFormat="1" ht="18.7" x14ac:dyDescent="0.3">
      <c r="A9" s="636">
        <v>2</v>
      </c>
      <c r="B9" s="647" t="s">
        <v>121</v>
      </c>
      <c r="C9" s="648"/>
      <c r="D9" s="649"/>
      <c r="E9" s="69"/>
      <c r="F9" s="69"/>
      <c r="G9" s="69"/>
      <c r="H9" s="69"/>
      <c r="I9" s="69"/>
      <c r="J9" s="69"/>
      <c r="K9" s="23"/>
      <c r="L9" s="18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18"/>
    </row>
    <row r="10" spans="1:33" s="636" customFormat="1" ht="18.7" x14ac:dyDescent="0.3">
      <c r="A10" s="646">
        <v>3</v>
      </c>
      <c r="B10" s="647" t="s">
        <v>678</v>
      </c>
      <c r="C10" s="648"/>
      <c r="D10" s="649"/>
      <c r="E10" s="69"/>
      <c r="F10" s="69"/>
      <c r="G10" s="69"/>
      <c r="H10" s="69"/>
      <c r="I10" s="69"/>
      <c r="J10" s="69"/>
      <c r="K10" s="23"/>
      <c r="L10" s="18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18"/>
    </row>
    <row r="11" spans="1:33" s="636" customFormat="1" ht="18.7" x14ac:dyDescent="0.3">
      <c r="A11" s="636">
        <v>4</v>
      </c>
      <c r="B11" s="647" t="s">
        <v>457</v>
      </c>
      <c r="C11" s="648"/>
      <c r="D11" s="649"/>
      <c r="E11" s="69"/>
      <c r="F11" s="69"/>
      <c r="G11" s="69"/>
      <c r="H11" s="69"/>
      <c r="I11" s="69"/>
      <c r="J11" s="69"/>
      <c r="K11" s="23"/>
      <c r="L11" s="18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18"/>
    </row>
    <row r="12" spans="1:33" s="636" customFormat="1" ht="18.7" x14ac:dyDescent="0.3">
      <c r="A12" s="646">
        <v>5</v>
      </c>
      <c r="B12" s="647" t="s">
        <v>68</v>
      </c>
      <c r="C12" s="648"/>
      <c r="D12" s="649"/>
      <c r="E12" s="69"/>
      <c r="F12" s="69"/>
      <c r="G12" s="69"/>
      <c r="H12" s="69"/>
      <c r="I12" s="69"/>
      <c r="J12" s="69"/>
      <c r="K12" s="23"/>
      <c r="L12" s="18"/>
      <c r="M12" s="63"/>
      <c r="N12" s="288"/>
      <c r="O12" s="294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18"/>
    </row>
    <row r="13" spans="1:33" s="636" customFormat="1" ht="18.7" x14ac:dyDescent="0.3">
      <c r="A13" s="636">
        <v>6</v>
      </c>
      <c r="B13" s="650" t="s">
        <v>499</v>
      </c>
      <c r="C13" s="651">
        <v>0.6</v>
      </c>
      <c r="D13" s="652" t="s">
        <v>462</v>
      </c>
      <c r="E13" s="69"/>
      <c r="F13" s="69"/>
      <c r="G13" s="69"/>
      <c r="H13" s="69"/>
      <c r="I13" s="69"/>
      <c r="J13" s="69"/>
      <c r="K13" s="23"/>
      <c r="L13" s="18"/>
      <c r="M13" s="63"/>
      <c r="N13" s="288"/>
      <c r="O13" s="294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18"/>
    </row>
    <row r="14" spans="1:33" s="636" customFormat="1" ht="18.7" x14ac:dyDescent="0.3">
      <c r="A14" s="646">
        <v>7</v>
      </c>
      <c r="B14" s="647" t="s">
        <v>413</v>
      </c>
      <c r="C14" s="648"/>
      <c r="D14" s="649"/>
      <c r="E14" s="69"/>
      <c r="F14" s="69"/>
      <c r="G14" s="69"/>
      <c r="H14" s="69"/>
      <c r="I14" s="69"/>
      <c r="J14" s="69"/>
      <c r="K14" s="23"/>
      <c r="L14" s="18"/>
      <c r="M14" s="63"/>
      <c r="N14" s="288"/>
      <c r="O14" s="294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18"/>
    </row>
    <row r="15" spans="1:33" s="636" customFormat="1" ht="14.95" x14ac:dyDescent="0.25">
      <c r="A15" s="636">
        <v>8</v>
      </c>
      <c r="B15" s="650" t="s">
        <v>498</v>
      </c>
      <c r="C15" s="648"/>
      <c r="D15" s="649"/>
      <c r="E15" s="69"/>
      <c r="F15" s="69"/>
      <c r="G15" s="69"/>
      <c r="H15" s="69"/>
      <c r="I15" s="69"/>
      <c r="J15" s="69"/>
      <c r="L15" s="18"/>
      <c r="M15" s="63"/>
      <c r="N15" s="288"/>
      <c r="O15" s="294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18"/>
    </row>
    <row r="16" spans="1:33" s="636" customFormat="1" ht="14.95" x14ac:dyDescent="0.25">
      <c r="A16" s="646">
        <v>9</v>
      </c>
      <c r="B16" s="636" t="s">
        <v>494</v>
      </c>
      <c r="C16" s="648"/>
      <c r="D16" s="649"/>
      <c r="E16" s="69"/>
      <c r="F16" s="69"/>
      <c r="G16" s="69"/>
      <c r="H16" s="69"/>
      <c r="I16" s="69"/>
      <c r="J16" s="69"/>
      <c r="L16" s="18"/>
      <c r="M16" s="63"/>
      <c r="N16" s="288"/>
      <c r="O16" s="294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18"/>
    </row>
    <row r="17" spans="1:37" s="636" customFormat="1" ht="14.95" x14ac:dyDescent="0.25">
      <c r="A17" s="636">
        <v>10</v>
      </c>
      <c r="B17" s="636" t="s">
        <v>500</v>
      </c>
      <c r="C17" s="648"/>
      <c r="D17" s="649"/>
      <c r="E17" s="69"/>
      <c r="F17" s="69"/>
      <c r="G17" s="69"/>
      <c r="H17" s="69"/>
      <c r="I17" s="69"/>
      <c r="J17" s="69"/>
      <c r="L17" s="18"/>
      <c r="M17" s="63"/>
      <c r="N17" s="288"/>
      <c r="O17" s="294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18"/>
    </row>
    <row r="18" spans="1:37" s="636" customFormat="1" ht="19.7" thickBot="1" x14ac:dyDescent="0.4">
      <c r="B18" s="647"/>
      <c r="C18" s="648"/>
      <c r="D18" s="649"/>
      <c r="E18" s="69"/>
      <c r="F18" s="69"/>
      <c r="G18" s="69"/>
      <c r="H18" s="69"/>
      <c r="I18" s="69"/>
      <c r="J18" s="69"/>
      <c r="K18" s="23" t="s">
        <v>108</v>
      </c>
      <c r="L18" s="18"/>
      <c r="M18" s="63"/>
      <c r="N18" s="288"/>
      <c r="O18" s="294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18"/>
    </row>
    <row r="19" spans="1:37" s="636" customFormat="1" ht="45.7" customHeight="1" thickBot="1" x14ac:dyDescent="0.35">
      <c r="A19" s="653" t="s">
        <v>636</v>
      </c>
      <c r="B19" s="654" t="s">
        <v>60</v>
      </c>
      <c r="C19" s="655" t="s">
        <v>51</v>
      </c>
      <c r="D19" s="656"/>
      <c r="E19" s="834" t="s">
        <v>466</v>
      </c>
      <c r="F19" s="835"/>
      <c r="G19" s="835"/>
      <c r="H19" s="835"/>
      <c r="I19" s="836"/>
      <c r="J19" s="67"/>
      <c r="K19" s="28" t="s">
        <v>29</v>
      </c>
      <c r="L19" s="28">
        <v>0</v>
      </c>
      <c r="M19" s="29">
        <v>1</v>
      </c>
      <c r="N19" s="29">
        <v>2</v>
      </c>
      <c r="O19" s="29">
        <v>3</v>
      </c>
      <c r="P19" s="29">
        <v>4</v>
      </c>
      <c r="Q19" s="29">
        <v>5</v>
      </c>
      <c r="R19" s="29">
        <v>6</v>
      </c>
      <c r="S19" s="29">
        <v>7</v>
      </c>
      <c r="T19" s="29">
        <v>8</v>
      </c>
      <c r="U19" s="29">
        <v>9</v>
      </c>
      <c r="V19" s="29">
        <v>10</v>
      </c>
      <c r="W19" s="29">
        <v>11</v>
      </c>
      <c r="X19" s="29">
        <v>12</v>
      </c>
      <c r="Y19" s="29">
        <v>13</v>
      </c>
      <c r="Z19" s="29">
        <v>14</v>
      </c>
      <c r="AA19" s="29">
        <v>15</v>
      </c>
      <c r="AB19" s="29">
        <v>16</v>
      </c>
      <c r="AC19" s="29">
        <v>17</v>
      </c>
      <c r="AD19" s="29">
        <v>18</v>
      </c>
      <c r="AE19" s="29">
        <v>19</v>
      </c>
      <c r="AF19" s="29">
        <v>20</v>
      </c>
      <c r="AG19" s="29">
        <v>21</v>
      </c>
      <c r="AH19" s="29">
        <v>22</v>
      </c>
      <c r="AI19" s="29">
        <v>23</v>
      </c>
      <c r="AJ19" s="29">
        <v>24</v>
      </c>
      <c r="AK19" s="29">
        <v>25</v>
      </c>
    </row>
    <row r="20" spans="1:37" x14ac:dyDescent="0.25">
      <c r="A20" s="657"/>
      <c r="B20" s="658" t="s">
        <v>61</v>
      </c>
      <c r="C20" s="624"/>
      <c r="D20" s="649"/>
      <c r="E20" s="98"/>
      <c r="F20" s="84" t="s">
        <v>73</v>
      </c>
      <c r="G20" s="75">
        <f>M21</f>
        <v>0</v>
      </c>
      <c r="H20" s="76" t="s">
        <v>62</v>
      </c>
      <c r="I20" s="99"/>
      <c r="J20" s="67"/>
      <c r="K20" s="28" t="s">
        <v>29</v>
      </c>
      <c r="L20" s="28">
        <v>2016</v>
      </c>
      <c r="M20" s="264">
        <f>L20+1</f>
        <v>2017</v>
      </c>
      <c r="N20" s="264">
        <f t="shared" ref="N20:AF20" si="0">M20+1</f>
        <v>2018</v>
      </c>
      <c r="O20" s="264">
        <f t="shared" si="0"/>
        <v>2019</v>
      </c>
      <c r="P20" s="264">
        <f t="shared" si="0"/>
        <v>2020</v>
      </c>
      <c r="Q20" s="264">
        <f t="shared" si="0"/>
        <v>2021</v>
      </c>
      <c r="R20" s="264">
        <f t="shared" si="0"/>
        <v>2022</v>
      </c>
      <c r="S20" s="264">
        <f t="shared" si="0"/>
        <v>2023</v>
      </c>
      <c r="T20" s="264">
        <f t="shared" si="0"/>
        <v>2024</v>
      </c>
      <c r="U20" s="264">
        <f t="shared" si="0"/>
        <v>2025</v>
      </c>
      <c r="V20" s="264">
        <f t="shared" si="0"/>
        <v>2026</v>
      </c>
      <c r="W20" s="264">
        <f t="shared" si="0"/>
        <v>2027</v>
      </c>
      <c r="X20" s="264">
        <f t="shared" si="0"/>
        <v>2028</v>
      </c>
      <c r="Y20" s="264">
        <f t="shared" si="0"/>
        <v>2029</v>
      </c>
      <c r="Z20" s="264">
        <f t="shared" si="0"/>
        <v>2030</v>
      </c>
      <c r="AA20" s="264">
        <f t="shared" si="0"/>
        <v>2031</v>
      </c>
      <c r="AB20" s="264">
        <f t="shared" si="0"/>
        <v>2032</v>
      </c>
      <c r="AC20" s="264">
        <f t="shared" si="0"/>
        <v>2033</v>
      </c>
      <c r="AD20" s="264">
        <f t="shared" si="0"/>
        <v>2034</v>
      </c>
      <c r="AE20" s="264">
        <f t="shared" si="0"/>
        <v>2035</v>
      </c>
      <c r="AF20" s="264">
        <f t="shared" si="0"/>
        <v>2036</v>
      </c>
      <c r="AG20" s="264">
        <f t="shared" ref="AG20" si="1">AF20+1</f>
        <v>2037</v>
      </c>
      <c r="AH20" s="264">
        <f t="shared" ref="AH20" si="2">AG20+1</f>
        <v>2038</v>
      </c>
      <c r="AI20" s="264">
        <f t="shared" ref="AI20" si="3">AH20+1</f>
        <v>2039</v>
      </c>
      <c r="AJ20" s="264">
        <f t="shared" ref="AJ20" si="4">AI20+1</f>
        <v>2040</v>
      </c>
      <c r="AK20" s="264">
        <f t="shared" ref="AK20" si="5">AJ20+1</f>
        <v>2041</v>
      </c>
    </row>
    <row r="21" spans="1:37" ht="14.95" x14ac:dyDescent="0.25">
      <c r="A21" s="657"/>
      <c r="B21" s="659" t="s">
        <v>369</v>
      </c>
      <c r="C21" s="627"/>
      <c r="D21" s="665"/>
      <c r="E21" s="100"/>
      <c r="F21" s="41" t="s">
        <v>71</v>
      </c>
      <c r="G21" s="77">
        <f>G26*0.25</f>
        <v>0</v>
      </c>
      <c r="H21" s="33" t="s">
        <v>70</v>
      </c>
      <c r="I21" s="101"/>
      <c r="J21" s="67"/>
      <c r="K21" s="73" t="s">
        <v>72</v>
      </c>
      <c r="L21" s="28"/>
      <c r="M21" s="295">
        <f>C20*C21*C22*1500/1000</f>
        <v>0</v>
      </c>
      <c r="N21" s="295">
        <f>M21*0.993</f>
        <v>0</v>
      </c>
      <c r="O21" s="295">
        <f t="shared" ref="O21:AF21" si="6">N21*0.993</f>
        <v>0</v>
      </c>
      <c r="P21" s="295">
        <f t="shared" si="6"/>
        <v>0</v>
      </c>
      <c r="Q21" s="295">
        <f t="shared" si="6"/>
        <v>0</v>
      </c>
      <c r="R21" s="295">
        <f t="shared" si="6"/>
        <v>0</v>
      </c>
      <c r="S21" s="295">
        <f t="shared" si="6"/>
        <v>0</v>
      </c>
      <c r="T21" s="295">
        <f t="shared" si="6"/>
        <v>0</v>
      </c>
      <c r="U21" s="295">
        <f t="shared" si="6"/>
        <v>0</v>
      </c>
      <c r="V21" s="295">
        <f t="shared" si="6"/>
        <v>0</v>
      </c>
      <c r="W21" s="295">
        <f t="shared" si="6"/>
        <v>0</v>
      </c>
      <c r="X21" s="295">
        <f t="shared" si="6"/>
        <v>0</v>
      </c>
      <c r="Y21" s="295">
        <f t="shared" si="6"/>
        <v>0</v>
      </c>
      <c r="Z21" s="295">
        <f t="shared" si="6"/>
        <v>0</v>
      </c>
      <c r="AA21" s="295">
        <f t="shared" si="6"/>
        <v>0</v>
      </c>
      <c r="AB21" s="295">
        <f t="shared" si="6"/>
        <v>0</v>
      </c>
      <c r="AC21" s="295">
        <f t="shared" si="6"/>
        <v>0</v>
      </c>
      <c r="AD21" s="295">
        <f t="shared" si="6"/>
        <v>0</v>
      </c>
      <c r="AE21" s="295">
        <f t="shared" si="6"/>
        <v>0</v>
      </c>
      <c r="AF21" s="295">
        <f t="shared" si="6"/>
        <v>0</v>
      </c>
      <c r="AG21" s="295">
        <f t="shared" ref="AG21" si="7">AF21*0.993</f>
        <v>0</v>
      </c>
      <c r="AH21" s="295">
        <f t="shared" ref="AH21" si="8">AG21*0.993</f>
        <v>0</v>
      </c>
      <c r="AI21" s="295">
        <f t="shared" ref="AI21" si="9">AH21*0.993</f>
        <v>0</v>
      </c>
      <c r="AJ21" s="295">
        <f t="shared" ref="AJ21" si="10">AI21*0.993</f>
        <v>0</v>
      </c>
      <c r="AK21" s="295">
        <f t="shared" ref="AK21" si="11">AJ21*0.993</f>
        <v>0</v>
      </c>
    </row>
    <row r="22" spans="1:37" ht="14.95" x14ac:dyDescent="0.25">
      <c r="A22" s="657"/>
      <c r="B22" s="659" t="s">
        <v>395</v>
      </c>
      <c r="C22" s="635"/>
      <c r="E22" s="102"/>
      <c r="F22" s="89" t="s">
        <v>59</v>
      </c>
      <c r="G22" s="78">
        <f>IF(AND(G20=0,Benchmarking!B18=0),0,M22)</f>
        <v>0</v>
      </c>
      <c r="H22" s="79" t="s">
        <v>63</v>
      </c>
      <c r="I22" s="103"/>
      <c r="J22" s="67"/>
      <c r="K22" s="28" t="s">
        <v>65</v>
      </c>
      <c r="L22" s="28"/>
      <c r="M22" s="60">
        <f>Benchmarking!$E$23*0.85*(1+$L$4)^(M19-1)*M21</f>
        <v>0</v>
      </c>
      <c r="N22" s="60">
        <f>Benchmarking!$E$23*0.85*(1+$L$4)^(N19-1)*N21</f>
        <v>0</v>
      </c>
      <c r="O22" s="60">
        <f>Benchmarking!$E$23*0.85*(1+$L$4)^(O19-1)*O21</f>
        <v>0</v>
      </c>
      <c r="P22" s="60">
        <f>Benchmarking!$E$23*0.85*(1+$L$4)^(P19-1)*P21</f>
        <v>0</v>
      </c>
      <c r="Q22" s="60">
        <f>Benchmarking!$E$23*0.85*(1+$L$4)^(Q19-1)*Q21</f>
        <v>0</v>
      </c>
      <c r="R22" s="60">
        <f>Benchmarking!$E$23*0.85*(1+$L$4)^(R19-1)*R21</f>
        <v>0</v>
      </c>
      <c r="S22" s="60">
        <f>Benchmarking!$E$23*0.85*(1+$L$4)^(S19-1)*S21</f>
        <v>0</v>
      </c>
      <c r="T22" s="60">
        <f>Benchmarking!$E$23*0.85*(1+$L$4)^(T19-1)*T21</f>
        <v>0</v>
      </c>
      <c r="U22" s="60">
        <f>Benchmarking!$E$23*0.85*(1+$L$4)^(U19-1)*U21</f>
        <v>0</v>
      </c>
      <c r="V22" s="60">
        <f>Benchmarking!$E$23*0.85*(1+$L$4)^(V19-1)*V21</f>
        <v>0</v>
      </c>
      <c r="W22" s="60">
        <f>Benchmarking!$E$23*0.85*(1+$L$4)^(W19-1)*W21</f>
        <v>0</v>
      </c>
      <c r="X22" s="60">
        <f>Benchmarking!$E$23*0.85*(1+$L$4)^(X19-1)*X21</f>
        <v>0</v>
      </c>
      <c r="Y22" s="60">
        <f>Benchmarking!$E$23*0.85*(1+$L$4)^(Y19-1)*Y21</f>
        <v>0</v>
      </c>
      <c r="Z22" s="60">
        <f>Benchmarking!$E$23*0.85*(1+$L$4)^(Z19-1)*Z21</f>
        <v>0</v>
      </c>
      <c r="AA22" s="60">
        <f>Benchmarking!$E$23*0.85*(1+$L$4)^(AA19-1)*AA21</f>
        <v>0</v>
      </c>
      <c r="AB22" s="60">
        <f>Benchmarking!$E$23*0.85*(1+$L$4)^(AB19-1)*AB21</f>
        <v>0</v>
      </c>
      <c r="AC22" s="60">
        <f>Benchmarking!$E$23*0.85*(1+$L$4)^(AC19-1)*AC21</f>
        <v>0</v>
      </c>
      <c r="AD22" s="60">
        <f>Benchmarking!$E$23*0.85*(1+$L$4)^(AD19-1)*AD21</f>
        <v>0</v>
      </c>
      <c r="AE22" s="60">
        <f>Benchmarking!$E$23*0.85*(1+$L$4)^(AE19-1)*AE21</f>
        <v>0</v>
      </c>
      <c r="AF22" s="60">
        <f>Benchmarking!$E$23*0.85*(1+$L$4)^(AF19-1)*AF21</f>
        <v>0</v>
      </c>
      <c r="AG22" s="60">
        <f>Benchmarking!$E$23*0.85*(1+$L$4)^(AG19-1)*AG21</f>
        <v>0</v>
      </c>
      <c r="AH22" s="60">
        <f>Benchmarking!$E$23*0.85*(1+$L$4)^(AH19-1)*AH21</f>
        <v>0</v>
      </c>
      <c r="AI22" s="60">
        <f>Benchmarking!$E$23*0.85*(1+$L$4)^(AI19-1)*AI21</f>
        <v>0</v>
      </c>
      <c r="AJ22" s="60">
        <f>Benchmarking!$E$23*0.85*(1+$L$4)^(AJ19-1)*AJ21</f>
        <v>0</v>
      </c>
      <c r="AK22" s="60">
        <f>Benchmarking!$E$23*0.85*(1+$L$4)^(AK19-1)*AK21</f>
        <v>0</v>
      </c>
    </row>
    <row r="23" spans="1:37" ht="14.95" x14ac:dyDescent="0.25">
      <c r="A23" s="657"/>
      <c r="B23" s="659" t="s">
        <v>396</v>
      </c>
      <c r="C23" s="625"/>
      <c r="D23" s="649" t="s">
        <v>37</v>
      </c>
      <c r="E23" s="104"/>
      <c r="F23" s="96" t="s">
        <v>464</v>
      </c>
      <c r="G23" s="78">
        <f>IF(AND(C27=0,Benchmarking!B19=0),0,M23)</f>
        <v>0</v>
      </c>
      <c r="H23" s="33" t="s">
        <v>465</v>
      </c>
      <c r="I23" s="95"/>
      <c r="K23" s="28" t="s">
        <v>103</v>
      </c>
      <c r="L23" s="28"/>
      <c r="M23" s="60">
        <f>IF(C20=0,0,$C$27*$L$6)</f>
        <v>0</v>
      </c>
      <c r="N23" s="60">
        <f>M23*(1+$L$2)</f>
        <v>0</v>
      </c>
      <c r="O23" s="60">
        <f t="shared" ref="O23:AF23" si="12">N23*(1+$L2)</f>
        <v>0</v>
      </c>
      <c r="P23" s="60">
        <f t="shared" si="12"/>
        <v>0</v>
      </c>
      <c r="Q23" s="60">
        <f t="shared" si="12"/>
        <v>0</v>
      </c>
      <c r="R23" s="60">
        <f t="shared" si="12"/>
        <v>0</v>
      </c>
      <c r="S23" s="60">
        <f t="shared" si="12"/>
        <v>0</v>
      </c>
      <c r="T23" s="60">
        <f t="shared" si="12"/>
        <v>0</v>
      </c>
      <c r="U23" s="60">
        <f t="shared" si="12"/>
        <v>0</v>
      </c>
      <c r="V23" s="60">
        <f t="shared" si="12"/>
        <v>0</v>
      </c>
      <c r="W23" s="60">
        <f t="shared" si="12"/>
        <v>0</v>
      </c>
      <c r="X23" s="60">
        <f t="shared" si="12"/>
        <v>0</v>
      </c>
      <c r="Y23" s="60">
        <f t="shared" si="12"/>
        <v>0</v>
      </c>
      <c r="Z23" s="60">
        <f t="shared" si="12"/>
        <v>0</v>
      </c>
      <c r="AA23" s="60">
        <f t="shared" si="12"/>
        <v>0</v>
      </c>
      <c r="AB23" s="60">
        <f t="shared" si="12"/>
        <v>0</v>
      </c>
      <c r="AC23" s="60">
        <f t="shared" si="12"/>
        <v>0</v>
      </c>
      <c r="AD23" s="60">
        <f t="shared" si="12"/>
        <v>0</v>
      </c>
      <c r="AE23" s="60">
        <f t="shared" si="12"/>
        <v>0</v>
      </c>
      <c r="AF23" s="60">
        <f t="shared" si="12"/>
        <v>0</v>
      </c>
      <c r="AG23" s="60">
        <f t="shared" ref="AG23" si="13">AF23*(1+$L2)</f>
        <v>0</v>
      </c>
      <c r="AH23" s="60">
        <f t="shared" ref="AH23" si="14">AG23*(1+$L2)</f>
        <v>0</v>
      </c>
      <c r="AI23" s="60">
        <f t="shared" ref="AI23" si="15">AH23*(1+$L2)</f>
        <v>0</v>
      </c>
      <c r="AJ23" s="60">
        <f t="shared" ref="AJ23" si="16">AI23*(1+$L2)</f>
        <v>0</v>
      </c>
      <c r="AK23" s="60">
        <f t="shared" ref="AK23" si="17">AJ23*(1+$L2)</f>
        <v>0</v>
      </c>
    </row>
    <row r="24" spans="1:37" ht="27" customHeight="1" x14ac:dyDescent="0.25">
      <c r="A24" s="657"/>
      <c r="B24" s="660" t="s">
        <v>463</v>
      </c>
      <c r="C24" s="626"/>
      <c r="D24" s="666"/>
      <c r="E24" s="104"/>
      <c r="F24" s="89" t="s">
        <v>16</v>
      </c>
      <c r="G24" s="80">
        <f>IF(C20=0,0,(C27-M29)/G22)</f>
        <v>0</v>
      </c>
      <c r="H24" s="79" t="s">
        <v>17</v>
      </c>
      <c r="I24" s="95"/>
      <c r="K24" s="72" t="s">
        <v>67</v>
      </c>
      <c r="L24" s="28"/>
      <c r="M24" s="334">
        <f>IF($C$27=0,0,IF(OR(M19=11,M19=21),$C$23*1000*$C$13*(1+$L$2)^(M19-1),0))</f>
        <v>0</v>
      </c>
      <c r="N24" s="334">
        <f t="shared" ref="N24:AK24" si="18">IF($C$27=0,0,IF(OR(N19=11,N19=21),$C$23*1000*$C$13*(1+$L$2)^(N19-1),0))</f>
        <v>0</v>
      </c>
      <c r="O24" s="334">
        <f t="shared" si="18"/>
        <v>0</v>
      </c>
      <c r="P24" s="334">
        <f t="shared" si="18"/>
        <v>0</v>
      </c>
      <c r="Q24" s="334">
        <f t="shared" si="18"/>
        <v>0</v>
      </c>
      <c r="R24" s="334">
        <f t="shared" si="18"/>
        <v>0</v>
      </c>
      <c r="S24" s="334">
        <f t="shared" si="18"/>
        <v>0</v>
      </c>
      <c r="T24" s="334">
        <f t="shared" si="18"/>
        <v>0</v>
      </c>
      <c r="U24" s="334">
        <f t="shared" si="18"/>
        <v>0</v>
      </c>
      <c r="V24" s="334">
        <f t="shared" si="18"/>
        <v>0</v>
      </c>
      <c r="W24" s="334">
        <f t="shared" si="18"/>
        <v>0</v>
      </c>
      <c r="X24" s="334">
        <f t="shared" si="18"/>
        <v>0</v>
      </c>
      <c r="Y24" s="334">
        <f t="shared" si="18"/>
        <v>0</v>
      </c>
      <c r="Z24" s="334">
        <f t="shared" si="18"/>
        <v>0</v>
      </c>
      <c r="AA24" s="334">
        <f t="shared" si="18"/>
        <v>0</v>
      </c>
      <c r="AB24" s="334">
        <f t="shared" si="18"/>
        <v>0</v>
      </c>
      <c r="AC24" s="334">
        <f t="shared" si="18"/>
        <v>0</v>
      </c>
      <c r="AD24" s="334">
        <f t="shared" si="18"/>
        <v>0</v>
      </c>
      <c r="AE24" s="334">
        <f t="shared" si="18"/>
        <v>0</v>
      </c>
      <c r="AF24" s="334">
        <f t="shared" si="18"/>
        <v>0</v>
      </c>
      <c r="AG24" s="334">
        <f t="shared" si="18"/>
        <v>0</v>
      </c>
      <c r="AH24" s="334">
        <f t="shared" si="18"/>
        <v>0</v>
      </c>
      <c r="AI24" s="334">
        <f t="shared" si="18"/>
        <v>0</v>
      </c>
      <c r="AJ24" s="334">
        <f t="shared" si="18"/>
        <v>0</v>
      </c>
      <c r="AK24" s="334">
        <f t="shared" si="18"/>
        <v>0</v>
      </c>
    </row>
    <row r="25" spans="1:37" ht="21.1" customHeight="1" x14ac:dyDescent="0.25">
      <c r="A25" s="657"/>
      <c r="B25" s="660" t="s">
        <v>502</v>
      </c>
      <c r="C25" s="626"/>
      <c r="D25" s="667"/>
      <c r="E25" s="104"/>
      <c r="F25" s="158" t="s">
        <v>257</v>
      </c>
      <c r="G25" s="159">
        <f>IF(C27=0,0,IF(C28="Yes",M28/(C27-M29-C24-C26-C27*L$5),M27/(C27-M29-C24-C26-C27*L$5)))</f>
        <v>0</v>
      </c>
      <c r="H25" s="33"/>
      <c r="I25" s="95"/>
      <c r="K25" s="28" t="s">
        <v>32</v>
      </c>
      <c r="L25" s="28"/>
      <c r="M25" s="260">
        <v>0</v>
      </c>
      <c r="N25" s="260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0</v>
      </c>
      <c r="V25" s="260">
        <v>0</v>
      </c>
      <c r="W25" s="260">
        <v>0</v>
      </c>
      <c r="X25" s="260">
        <v>0</v>
      </c>
      <c r="Y25" s="260">
        <v>0</v>
      </c>
      <c r="Z25" s="260">
        <v>0</v>
      </c>
      <c r="AA25" s="260">
        <v>0</v>
      </c>
      <c r="AB25" s="260">
        <v>0</v>
      </c>
      <c r="AC25" s="260">
        <v>0</v>
      </c>
      <c r="AD25" s="260">
        <v>0</v>
      </c>
      <c r="AE25" s="260">
        <v>0</v>
      </c>
      <c r="AF25" s="260">
        <v>0</v>
      </c>
      <c r="AG25" s="260">
        <v>0</v>
      </c>
      <c r="AH25" s="260">
        <v>0</v>
      </c>
      <c r="AI25" s="260">
        <v>0</v>
      </c>
      <c r="AJ25" s="260">
        <v>0</v>
      </c>
      <c r="AK25" s="260">
        <v>0</v>
      </c>
    </row>
    <row r="26" spans="1:37" ht="15.8" thickBot="1" x14ac:dyDescent="0.3">
      <c r="A26" s="657"/>
      <c r="B26" s="660" t="s">
        <v>493</v>
      </c>
      <c r="C26" s="626"/>
      <c r="D26" s="668"/>
      <c r="E26" s="109"/>
      <c r="F26" s="184" t="s">
        <v>370</v>
      </c>
      <c r="G26" s="202">
        <f>$C$20*$C$21*$C$22/1000</f>
        <v>0</v>
      </c>
      <c r="H26" s="82" t="s">
        <v>37</v>
      </c>
      <c r="I26" s="123"/>
      <c r="K26" s="28" t="s">
        <v>66</v>
      </c>
      <c r="L26" s="43"/>
      <c r="M26" s="61">
        <f t="shared" ref="M26:AF26" si="19">M22-M23-M24-M25</f>
        <v>0</v>
      </c>
      <c r="N26" s="61">
        <f t="shared" si="19"/>
        <v>0</v>
      </c>
      <c r="O26" s="61">
        <f t="shared" si="19"/>
        <v>0</v>
      </c>
      <c r="P26" s="61">
        <f t="shared" si="19"/>
        <v>0</v>
      </c>
      <c r="Q26" s="61">
        <f t="shared" si="19"/>
        <v>0</v>
      </c>
      <c r="R26" s="61">
        <f t="shared" si="19"/>
        <v>0</v>
      </c>
      <c r="S26" s="61">
        <f t="shared" si="19"/>
        <v>0</v>
      </c>
      <c r="T26" s="61">
        <f t="shared" si="19"/>
        <v>0</v>
      </c>
      <c r="U26" s="61">
        <f t="shared" si="19"/>
        <v>0</v>
      </c>
      <c r="V26" s="61">
        <f t="shared" si="19"/>
        <v>0</v>
      </c>
      <c r="W26" s="61">
        <f t="shared" si="19"/>
        <v>0</v>
      </c>
      <c r="X26" s="61">
        <f t="shared" si="19"/>
        <v>0</v>
      </c>
      <c r="Y26" s="61">
        <f t="shared" si="19"/>
        <v>0</v>
      </c>
      <c r="Z26" s="61">
        <f t="shared" si="19"/>
        <v>0</v>
      </c>
      <c r="AA26" s="61">
        <f t="shared" si="19"/>
        <v>0</v>
      </c>
      <c r="AB26" s="61">
        <f t="shared" si="19"/>
        <v>0</v>
      </c>
      <c r="AC26" s="61">
        <f t="shared" si="19"/>
        <v>0</v>
      </c>
      <c r="AD26" s="61">
        <f t="shared" si="19"/>
        <v>0</v>
      </c>
      <c r="AE26" s="61">
        <f t="shared" si="19"/>
        <v>0</v>
      </c>
      <c r="AF26" s="61">
        <f t="shared" si="19"/>
        <v>0</v>
      </c>
      <c r="AG26" s="61">
        <f t="shared" ref="AG26:AK26" si="20">AG22-AG23-AG24-AG25</f>
        <v>0</v>
      </c>
      <c r="AH26" s="61">
        <f t="shared" si="20"/>
        <v>0</v>
      </c>
      <c r="AI26" s="61">
        <f t="shared" si="20"/>
        <v>0</v>
      </c>
      <c r="AJ26" s="61">
        <f t="shared" si="20"/>
        <v>0</v>
      </c>
      <c r="AK26" s="61">
        <f t="shared" si="20"/>
        <v>0</v>
      </c>
    </row>
    <row r="27" spans="1:37" ht="14.95" x14ac:dyDescent="0.25">
      <c r="A27" s="657"/>
      <c r="B27" s="659" t="s">
        <v>64</v>
      </c>
      <c r="C27" s="626"/>
      <c r="K27" s="46" t="s">
        <v>675</v>
      </c>
      <c r="L27" s="46"/>
      <c r="M27" s="285">
        <f>NPV($L$3,M$26:AF$26)</f>
        <v>0</v>
      </c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G27" s="18"/>
    </row>
    <row r="28" spans="1:37" ht="14.95" x14ac:dyDescent="0.25">
      <c r="A28" s="657"/>
      <c r="B28" s="661" t="s">
        <v>449</v>
      </c>
      <c r="C28" s="628"/>
      <c r="D28" s="648"/>
      <c r="E28" s="74"/>
      <c r="F28" s="354"/>
      <c r="G28" s="74"/>
      <c r="H28" s="74"/>
      <c r="K28" s="46" t="s">
        <v>676</v>
      </c>
      <c r="L28" s="46"/>
      <c r="M28" s="285">
        <f>NPV($L$3,M$26:AK$26)</f>
        <v>0</v>
      </c>
      <c r="N28" s="18"/>
      <c r="O28" s="18"/>
      <c r="P28" s="18"/>
      <c r="Q28" s="18"/>
      <c r="AG28" s="18"/>
    </row>
    <row r="29" spans="1:37" s="390" customFormat="1" ht="15.8" thickBot="1" x14ac:dyDescent="0.3">
      <c r="A29" s="662"/>
      <c r="B29" s="663"/>
      <c r="C29" s="706"/>
      <c r="D29" s="666"/>
      <c r="E29" s="18"/>
      <c r="F29" s="18"/>
      <c r="G29" s="18"/>
      <c r="H29" s="18"/>
      <c r="I29" s="18"/>
      <c r="J29" s="18"/>
      <c r="K29" s="46" t="s">
        <v>677</v>
      </c>
      <c r="L29" s="46"/>
      <c r="M29" s="285">
        <f>IF(G26=0,0,(C25/((1.05)^2.5)))</f>
        <v>0</v>
      </c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18"/>
      <c r="AH29" s="636"/>
      <c r="AI29" s="636"/>
      <c r="AJ29" s="636"/>
      <c r="AK29" s="636"/>
    </row>
    <row r="30" spans="1:37" ht="14.95" x14ac:dyDescent="0.25">
      <c r="E30" s="74"/>
      <c r="F30" s="74"/>
      <c r="G30" s="74"/>
      <c r="H30" s="74"/>
      <c r="I30" s="74"/>
      <c r="AG30" s="18"/>
    </row>
    <row r="31" spans="1:37" ht="59.95" x14ac:dyDescent="0.25">
      <c r="B31" s="664" t="s">
        <v>503</v>
      </c>
      <c r="E31" s="74"/>
      <c r="F31" s="74"/>
      <c r="G31" s="74"/>
      <c r="H31" s="74"/>
      <c r="I31" s="74"/>
      <c r="J31" s="74"/>
      <c r="K31" s="106"/>
      <c r="L31" s="203"/>
      <c r="AG31" s="18"/>
    </row>
    <row r="32" spans="1:37" x14ac:dyDescent="0.25">
      <c r="D32" s="669"/>
      <c r="E32" s="74"/>
      <c r="F32" s="74"/>
      <c r="G32" s="74"/>
      <c r="H32" s="74"/>
      <c r="I32" s="74"/>
      <c r="J32" s="74"/>
      <c r="K32" s="106"/>
      <c r="L32" s="106"/>
      <c r="AG32" s="18"/>
    </row>
    <row r="33" spans="2:33" ht="28.55" x14ac:dyDescent="0.25">
      <c r="B33" s="299" t="s">
        <v>431</v>
      </c>
      <c r="D33" s="669"/>
      <c r="E33" s="106"/>
      <c r="F33" s="106"/>
      <c r="G33" s="106"/>
      <c r="H33" s="106"/>
      <c r="I33" s="106"/>
      <c r="AG33" s="18"/>
    </row>
    <row r="34" spans="2:33" x14ac:dyDescent="0.25">
      <c r="B34" s="300" t="s">
        <v>495</v>
      </c>
      <c r="E34" s="106"/>
      <c r="F34" s="106"/>
      <c r="G34" s="106"/>
      <c r="H34" s="106"/>
      <c r="I34" s="106"/>
      <c r="AG34" s="18"/>
    </row>
    <row r="35" spans="2:33" x14ac:dyDescent="0.25">
      <c r="AG35" s="18"/>
    </row>
    <row r="39" spans="2:33" x14ac:dyDescent="0.25">
      <c r="E39" s="42"/>
      <c r="F39" s="42"/>
      <c r="G39" s="42"/>
      <c r="H39" s="42"/>
      <c r="I39" s="42"/>
    </row>
    <row r="40" spans="2:33" x14ac:dyDescent="0.25">
      <c r="E40" s="42"/>
      <c r="F40" s="42"/>
      <c r="G40" s="42"/>
      <c r="H40" s="42"/>
      <c r="I40" s="42"/>
    </row>
  </sheetData>
  <sheetProtection algorithmName="SHA-512" hashValue="5/oJygJwksOYafqUuxYzeEuQxe105RgRjNoBw6LJEMnunHFandsR9EDqFXahfk19CfhY2YhqCkc86BLxE50y5g==" saltValue="gJYRPiGdM4qN/JfsZRZOmA==" spinCount="100000" sheet="1" objects="1" scenarios="1"/>
  <dataValidations count="8">
    <dataValidation allowBlank="1" showInputMessage="1" showErrorMessage="1" promptTitle="ECM 25" prompt="Please enter the total project cost (i.e. material and labor) before rebates for this measure." sqref="C27"/>
    <dataValidation type="list" allowBlank="1" showErrorMessage="1" promptTitle="ECM 21" prompt="Please select whether or not your rate will be switched to a new time-of-use rate." sqref="C29">
      <formula1>"Yes,No"</formula1>
    </dataValidation>
    <dataValidation allowBlank="1" showInputMessage="1" showErrorMessage="1" promptTitle="ECM 25" prompt="Please enter the number of PV panels to be installed." sqref="C20"/>
    <dataValidation allowBlank="1" showInputMessage="1" showErrorMessage="1" promptTitle="ECM 25" prompt="Please enter the PVUSA test condition rating in dc watts for each panel." sqref="C21"/>
    <dataValidation allowBlank="1" showInputMessage="1" showErrorMessage="1" promptTitle="ECM 25" prompt="Please enter the name plate efficiency of the inverter." sqref="C22"/>
    <dataValidation allowBlank="1" showInputMessage="1" showErrorMessage="1" promptTitle="ECM 25" prompt="Please enter the total name plate capacity of the inverter." sqref="C23"/>
    <dataValidation allowBlank="1" showInputMessage="1" showErrorMessage="1" promptTitle="ECM 25" prompt="For sytems that are equal or greater than 30 kWac, enter the Performance Based Incentive amount." sqref="C25"/>
    <dataValidation type="list" allowBlank="1" showInputMessage="1" showErrorMessage="1" promptTitle="ECM 25" prompt="For systems less than 30 kWac, please enter the Expected Performance Based Buydown rebate." sqref="C28">
      <formula1>"Yes, No"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zoomScale="70" zoomScaleNormal="70" workbookViewId="0"/>
  </sheetViews>
  <sheetFormatPr defaultRowHeight="14.3" x14ac:dyDescent="0.25"/>
  <cols>
    <col min="1" max="1" width="11.875" style="9" customWidth="1"/>
    <col min="2" max="2" width="78.125" style="9" customWidth="1"/>
    <col min="3" max="3" width="13.125" style="128" customWidth="1"/>
    <col min="4" max="4" width="11.625" style="128" customWidth="1"/>
    <col min="5" max="5" width="12.25" style="128" customWidth="1"/>
    <col min="6" max="6" width="14.625" style="128" customWidth="1"/>
    <col min="7" max="7" width="12.375" style="128" customWidth="1"/>
    <col min="8" max="8" width="12.625" style="128" customWidth="1"/>
    <col min="9" max="9" width="14.625" style="128" bestFit="1" customWidth="1"/>
    <col min="10" max="10" width="20.125" style="128" bestFit="1" customWidth="1"/>
    <col min="11" max="11" width="12.25" style="128" customWidth="1"/>
    <col min="12" max="12" width="12.375" style="128" customWidth="1"/>
    <col min="13" max="13" width="9.375" customWidth="1"/>
    <col min="14" max="14" width="7" hidden="1" customWidth="1"/>
    <col min="15" max="15" width="9.125" hidden="1" customWidth="1"/>
    <col min="16" max="16" width="71.875" hidden="1" customWidth="1"/>
    <col min="17" max="17" width="10.625" hidden="1" customWidth="1"/>
    <col min="18" max="18" width="14.375" hidden="1" customWidth="1"/>
    <col min="19" max="19" width="12.875" hidden="1" customWidth="1"/>
    <col min="20" max="20" width="13" hidden="1" customWidth="1"/>
    <col min="21" max="21" width="12.125" hidden="1" customWidth="1"/>
    <col min="22" max="22" width="14.625" hidden="1" customWidth="1"/>
    <col min="23" max="23" width="13.75" hidden="1" customWidth="1"/>
    <col min="24" max="24" width="12" hidden="1" customWidth="1"/>
    <col min="25" max="25" width="9.125" hidden="1" customWidth="1"/>
    <col min="26" max="26" width="12.375" hidden="1" customWidth="1"/>
    <col min="27" max="30" width="9.125" customWidth="1"/>
  </cols>
  <sheetData>
    <row r="1" spans="1:26" ht="19.55" thickBot="1" x14ac:dyDescent="0.35">
      <c r="A1" s="131" t="s">
        <v>350</v>
      </c>
      <c r="B1" s="130"/>
    </row>
    <row r="2" spans="1:26" ht="29.25" customHeight="1" thickBot="1" x14ac:dyDescent="0.3">
      <c r="A2" s="181" t="s">
        <v>351</v>
      </c>
      <c r="B2" s="180">
        <f>Benchmarking!B3</f>
        <v>0</v>
      </c>
    </row>
    <row r="3" spans="1:26" ht="29.25" customHeight="1" thickBot="1" x14ac:dyDescent="0.3">
      <c r="A3" s="182" t="s">
        <v>352</v>
      </c>
      <c r="B3" s="199">
        <f>Benchmarking!B4</f>
        <v>0</v>
      </c>
    </row>
    <row r="4" spans="1:26" ht="32.950000000000003" customHeight="1" thickBot="1" x14ac:dyDescent="0.3">
      <c r="A4" s="183" t="s">
        <v>353</v>
      </c>
      <c r="B4" s="200">
        <f>Benchmarking!B5</f>
        <v>0</v>
      </c>
      <c r="P4" s="302"/>
    </row>
    <row r="5" spans="1:26" ht="21.1" customHeight="1" x14ac:dyDescent="0.25">
      <c r="A5" s="17"/>
      <c r="P5" s="302"/>
      <c r="Q5" s="303"/>
    </row>
    <row r="7" spans="1:26" ht="19.55" thickBot="1" x14ac:dyDescent="0.35">
      <c r="B7" s="305" t="s">
        <v>485</v>
      </c>
      <c r="O7" s="9"/>
      <c r="P7" s="10" t="s">
        <v>450</v>
      </c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1:26" ht="79.5" thickBot="1" x14ac:dyDescent="0.3">
      <c r="A8" s="156" t="s">
        <v>258</v>
      </c>
      <c r="B8" s="132" t="s">
        <v>56</v>
      </c>
      <c r="C8" s="13" t="s">
        <v>36</v>
      </c>
      <c r="D8" s="13" t="s">
        <v>38</v>
      </c>
      <c r="E8" s="13" t="s">
        <v>40</v>
      </c>
      <c r="F8" s="13" t="s">
        <v>372</v>
      </c>
      <c r="G8" s="13" t="s">
        <v>373</v>
      </c>
      <c r="H8" s="13" t="s">
        <v>65</v>
      </c>
      <c r="I8" s="13" t="s">
        <v>44</v>
      </c>
      <c r="J8" s="13" t="s">
        <v>501</v>
      </c>
      <c r="K8" s="13" t="s">
        <v>45</v>
      </c>
      <c r="L8" s="14" t="s">
        <v>459</v>
      </c>
      <c r="M8" s="6"/>
      <c r="O8" s="156" t="s">
        <v>258</v>
      </c>
      <c r="P8" s="132" t="s">
        <v>56</v>
      </c>
      <c r="Q8" s="13" t="s">
        <v>36</v>
      </c>
      <c r="R8" s="13" t="s">
        <v>38</v>
      </c>
      <c r="S8" s="13" t="s">
        <v>40</v>
      </c>
      <c r="T8" s="13" t="s">
        <v>372</v>
      </c>
      <c r="U8" s="13" t="s">
        <v>373</v>
      </c>
      <c r="V8" s="13" t="s">
        <v>65</v>
      </c>
      <c r="W8" s="13" t="s">
        <v>44</v>
      </c>
      <c r="X8" s="13" t="s">
        <v>501</v>
      </c>
      <c r="Y8" s="13" t="s">
        <v>45</v>
      </c>
      <c r="Z8" s="14" t="s">
        <v>34</v>
      </c>
    </row>
    <row r="9" spans="1:26" ht="15.8" thickBot="1" x14ac:dyDescent="0.3">
      <c r="A9" s="316"/>
      <c r="B9" s="381"/>
      <c r="C9" s="382" t="s">
        <v>37</v>
      </c>
      <c r="D9" s="382" t="s">
        <v>39</v>
      </c>
      <c r="E9" s="382" t="s">
        <v>42</v>
      </c>
      <c r="F9" s="382" t="s">
        <v>41</v>
      </c>
      <c r="G9" s="382" t="s">
        <v>41</v>
      </c>
      <c r="H9" s="382" t="s">
        <v>43</v>
      </c>
      <c r="I9" s="382" t="s">
        <v>43</v>
      </c>
      <c r="J9" s="382" t="s">
        <v>43</v>
      </c>
      <c r="K9" s="382" t="s">
        <v>46</v>
      </c>
      <c r="L9" s="383"/>
      <c r="M9" s="6"/>
      <c r="O9" s="316"/>
      <c r="P9" s="187"/>
      <c r="Q9" s="188" t="s">
        <v>37</v>
      </c>
      <c r="R9" s="188" t="s">
        <v>39</v>
      </c>
      <c r="S9" s="188" t="s">
        <v>42</v>
      </c>
      <c r="T9" s="188" t="s">
        <v>41</v>
      </c>
      <c r="U9" s="188" t="s">
        <v>41</v>
      </c>
      <c r="V9" s="188" t="s">
        <v>43</v>
      </c>
      <c r="W9" s="188" t="s">
        <v>43</v>
      </c>
      <c r="X9" s="188" t="s">
        <v>43</v>
      </c>
      <c r="Y9" s="188" t="s">
        <v>46</v>
      </c>
      <c r="Z9" s="189"/>
    </row>
    <row r="10" spans="1:26" ht="14.95" x14ac:dyDescent="0.25">
      <c r="A10" s="320" t="s">
        <v>400</v>
      </c>
      <c r="B10" s="501" t="str">
        <f>Lighting!$B$13</f>
        <v>Replace incandescent light with compact fluorescent light</v>
      </c>
      <c r="C10" s="479">
        <f>IF($R$36&gt;Benchmarking!$B$13*0.3*0.5,Q10*(Benchmarking!$B$13*0.3*0.5/$R$36),Q10)</f>
        <v>0</v>
      </c>
      <c r="D10" s="479">
        <f>IF($R$36&gt;Benchmarking!$B$16*0.3*0.5,R10*(Benchmarking!$B$16*0.3*0.5/$R$36),R10)</f>
        <v>0</v>
      </c>
      <c r="E10" s="482">
        <f>IF(S10=0,0,IF(ABS($S$36)&gt;Benchmarking!$B$20*0.3*0.5,-S10*Benchmarking!$B$20*0.3*0.5/$S$36,S10))</f>
        <v>0</v>
      </c>
      <c r="F10" s="482">
        <f>IF(T10=0,0,IF(ABS($T$36)&gt;Benchmarking!$B$23*0.3*0.5,-T10*(Benchmarking!$B$23*0.3*0.5/$T$36),T10))</f>
        <v>0</v>
      </c>
      <c r="G10" s="482">
        <f>IF(U10=0,0,IF(ABS($U$36)&gt;Benchmarking!$B$26*0.3*0.5,-U10*(Benchmarking!$B$26*0.3*0.5/$U$36),U10))</f>
        <v>0</v>
      </c>
      <c r="H10" s="614">
        <f>$D10*Benchmarking!$E$23+$E10*Benchmarking!$E$24+$F10*Benchmarking!$E$25+$G10*Benchmarking!$E$26</f>
        <v>0</v>
      </c>
      <c r="I10" s="604">
        <f>IF(H$10=0,0,Lighting!$C25)</f>
        <v>0</v>
      </c>
      <c r="J10" s="605">
        <f>IF($V10=0,0,IF(Lighting!$C26&gt;0.95*Lighting!$C25,0.95*Lighting!$C25-1,Lighting!$C26))</f>
        <v>0</v>
      </c>
      <c r="K10" s="250">
        <f t="shared" ref="K10:K29" si="0">IF(H10=0,0,(I10-J10)/H10)</f>
        <v>0</v>
      </c>
      <c r="L10" s="243">
        <f>Lighting!G29</f>
        <v>0</v>
      </c>
      <c r="O10" s="320" t="s">
        <v>400</v>
      </c>
      <c r="P10" s="241" t="str">
        <f>Lighting!$B$13</f>
        <v>Replace incandescent light with compact fluorescent light</v>
      </c>
      <c r="Q10" s="479">
        <f>Lighting!$S23</f>
        <v>0</v>
      </c>
      <c r="R10" s="479">
        <f>Lighting!$S24</f>
        <v>0</v>
      </c>
      <c r="S10" s="479">
        <f>Lighting!$S25</f>
        <v>0</v>
      </c>
      <c r="T10" s="479">
        <f>IF(Lighting!$U26="Propane",Lighting!$S26,0)</f>
        <v>0</v>
      </c>
      <c r="U10" s="479">
        <f>IF(Lighting!$U26="Propane",0,Lighting!$S26)</f>
        <v>0</v>
      </c>
      <c r="V10" s="604">
        <f>Lighting!$S27</f>
        <v>0</v>
      </c>
      <c r="W10" s="604">
        <f>IF(V$10=0,0,Lighting!$C25)</f>
        <v>0</v>
      </c>
      <c r="X10" s="605">
        <f>IF($V10=0,0,IF(Lighting!$C26&gt;0.95*Lighting!$C25,0.95*Lighting!$C25-1,Lighting!$C26))</f>
        <v>0</v>
      </c>
      <c r="Y10" s="190">
        <f>IF($W10=0,0,Lighting!$S28)</f>
        <v>0</v>
      </c>
      <c r="Z10" s="243">
        <f>IF($V10=0,0,Lighting!$S29)</f>
        <v>0</v>
      </c>
    </row>
    <row r="11" spans="1:26" s="128" customFormat="1" ht="14.95" x14ac:dyDescent="0.25">
      <c r="A11" s="185" t="s">
        <v>660</v>
      </c>
      <c r="B11" s="502" t="str">
        <f>Lighting!$B$14</f>
        <v>Replace incandescent/ CFL light with LED light</v>
      </c>
      <c r="C11" s="480">
        <f>IF($R$36&gt;Benchmarking!$B$13*0.3*0.5,Q11*(Benchmarking!$B$13*0.3*0.5/$R$36),Q11)</f>
        <v>0</v>
      </c>
      <c r="D11" s="480">
        <f>IF($R$36&gt;Benchmarking!$B$16*0.3*0.5,R11*(Benchmarking!$B$16*0.3*0.5/$R$36),R11)</f>
        <v>0</v>
      </c>
      <c r="E11" s="480">
        <f>IF(S11=0,0,IF(ABS($S$36)&gt;Benchmarking!$B$20*0.3*0.5,-S11*Benchmarking!$B$20*0.3*0.5/$S$36,S11))</f>
        <v>0</v>
      </c>
      <c r="F11" s="480">
        <f>IF(T11=0,0,IF(ABS($T$36)&gt;Benchmarking!$B$23*0.3*0.5,-T11*(Benchmarking!$B$23*0.3*0.5/$T$36),T11))</f>
        <v>0</v>
      </c>
      <c r="G11" s="480">
        <f>IF(U11=0,0,IF(ABS($U$36)&gt;Benchmarking!$B$26*0.3*0.5,-U11*(Benchmarking!$B$26*0.3*0.5/$U$36),U11))</f>
        <v>0</v>
      </c>
      <c r="H11" s="607">
        <f>$D11*Benchmarking!$E$23+$E11*Benchmarking!$E$24+$F11*Benchmarking!$E$25+$G11*Benchmarking!$E$26</f>
        <v>0</v>
      </c>
      <c r="I11" s="615">
        <f>IF($H11=0,0,Lighting!$C35+Lighting!C39)</f>
        <v>0</v>
      </c>
      <c r="J11" s="607">
        <f>IF(Lighting!C35+Lighting!C39=0,0,Lighting!C36+Lighting!C40)</f>
        <v>0</v>
      </c>
      <c r="K11" s="7">
        <f t="shared" si="0"/>
        <v>0</v>
      </c>
      <c r="L11" s="15">
        <f>Lighting!G39</f>
        <v>0</v>
      </c>
      <c r="O11" s="185" t="s">
        <v>401</v>
      </c>
      <c r="P11" s="242" t="str">
        <f>Lighting!$B$14</f>
        <v>Replace incandescent/ CFL light with LED light</v>
      </c>
      <c r="Q11" s="480">
        <f>Lighting!$S33</f>
        <v>0</v>
      </c>
      <c r="R11" s="480">
        <f>Lighting!$S34</f>
        <v>0</v>
      </c>
      <c r="S11" s="480">
        <f>Lighting!$S35</f>
        <v>0</v>
      </c>
      <c r="T11" s="480">
        <f>IF(Lighting!$U36="Propane",Lighting!$S36,0)</f>
        <v>0</v>
      </c>
      <c r="U11" s="480">
        <f>IF(Lighting!$U36="Propane",0,Lighting!$S36)</f>
        <v>0</v>
      </c>
      <c r="V11" s="606">
        <f>Lighting!$S37</f>
        <v>0</v>
      </c>
      <c r="W11" s="606">
        <f>IF($V11=0,0,Lighting!$C35+Lighting!C39)</f>
        <v>0</v>
      </c>
      <c r="X11" s="607">
        <f>IF(Lighting!C35+Lighting!C39=0,0,Lighting!C36+Lighting!C40)</f>
        <v>0</v>
      </c>
      <c r="Y11" s="7">
        <f>IF($W11=0,0,Lighting!$S38)</f>
        <v>0</v>
      </c>
      <c r="Z11" s="15">
        <f>IF($V11=0,0,Lighting!$S39)</f>
        <v>0</v>
      </c>
    </row>
    <row r="12" spans="1:26" ht="14.95" x14ac:dyDescent="0.25">
      <c r="A12" s="185" t="s">
        <v>259</v>
      </c>
      <c r="B12" s="502" t="str">
        <f>Lighting!$B15</f>
        <v>Convert incandescent/CFL exit sign to LED exit sign</v>
      </c>
      <c r="C12" s="480">
        <f>IF($R$36&gt;Benchmarking!$B$13*0.3*0.5,Q12*(Benchmarking!$B$13*0.3*0.5/$R$36),Q12)</f>
        <v>0</v>
      </c>
      <c r="D12" s="480">
        <f>IF($R$36&gt;Benchmarking!$B$16*0.3*0.5,R12*(Benchmarking!$B$16*0.3*0.5/$R$36),R12)</f>
        <v>0</v>
      </c>
      <c r="E12" s="480">
        <f>IF(S12=0,0,IF(ABS($S$36)&gt;Benchmarking!$B$20*0.3*0.5,-S12*Benchmarking!$B$20*0.3*0.5/$S$36,S12))</f>
        <v>0</v>
      </c>
      <c r="F12" s="480">
        <f>IF(T12=0,0,IF(ABS($T$36)&gt;Benchmarking!$B$23*0.3*0.5,-T12*(Benchmarking!$B$23*0.3*0.5/$T$36),T12))</f>
        <v>0</v>
      </c>
      <c r="G12" s="480">
        <f>IF(U12=0,0,IF(ABS($U$36)&gt;Benchmarking!$B$26*0.3*0.5,-U12*(Benchmarking!$B$26*0.3*0.5/$U$36),U12))</f>
        <v>0</v>
      </c>
      <c r="H12" s="607">
        <f>$D12*Benchmarking!$E$23+$E12*Benchmarking!$E$24+$F12*Benchmarking!$E$25+$G12*Benchmarking!$E$26</f>
        <v>0</v>
      </c>
      <c r="I12" s="606">
        <f>IF($H12=0,0,Lighting!$C45+Lighting!$C49)</f>
        <v>0</v>
      </c>
      <c r="J12" s="607">
        <f>IF(Lighting!C45+Lighting!C49=0,0,Lighting!C46+Lighting!C50)</f>
        <v>0</v>
      </c>
      <c r="K12" s="7">
        <f t="shared" si="0"/>
        <v>0</v>
      </c>
      <c r="L12" s="15">
        <f>Lighting!G49</f>
        <v>0</v>
      </c>
      <c r="O12" s="185" t="s">
        <v>259</v>
      </c>
      <c r="P12" s="133" t="str">
        <f>Lighting!$B15</f>
        <v>Convert incandescent/CFL exit sign to LED exit sign</v>
      </c>
      <c r="Q12" s="480">
        <f>Lighting!$S43</f>
        <v>0</v>
      </c>
      <c r="R12" s="480">
        <f>Lighting!$S44</f>
        <v>0</v>
      </c>
      <c r="S12" s="480">
        <f>Lighting!$S45</f>
        <v>0</v>
      </c>
      <c r="T12" s="480">
        <f>IF(Lighting!$U46="Propane",Lighting!$S46,0)</f>
        <v>0</v>
      </c>
      <c r="U12" s="480">
        <f>IF(Lighting!$U46="Propane",0,Lighting!$S46)</f>
        <v>0</v>
      </c>
      <c r="V12" s="606">
        <f>Lighting!$S47</f>
        <v>0</v>
      </c>
      <c r="W12" s="606">
        <f>IF($V12=0,0,Lighting!$C45+Lighting!$C49)</f>
        <v>0</v>
      </c>
      <c r="X12" s="606">
        <f>IF($V12=0,0,Lighting!$C46+Lighting!$C50)</f>
        <v>0</v>
      </c>
      <c r="Y12" s="7">
        <f>IF($W12=0,0,Lighting!$S48)</f>
        <v>0</v>
      </c>
      <c r="Z12" s="15">
        <f>IF($W12=0,0,Lighting!$S49)</f>
        <v>0</v>
      </c>
    </row>
    <row r="13" spans="1:26" ht="14.95" x14ac:dyDescent="0.25">
      <c r="A13" s="185" t="s">
        <v>260</v>
      </c>
      <c r="B13" s="502" t="str">
        <f>Lighting!$B16</f>
        <v>Convert T12 fluorescent to T8 with electronic ballast or LED lamps</v>
      </c>
      <c r="C13" s="480">
        <f>IF($R$36&gt;Benchmarking!$B$13*0.3*0.5,Q13*(Benchmarking!$B$13*0.3*0.5/$R$36),Q13)</f>
        <v>0</v>
      </c>
      <c r="D13" s="480">
        <f>IF($R$36&gt;Benchmarking!$B$16*0.3*0.5,R13*(Benchmarking!$B$16*0.3*0.5/$R$36),R13)</f>
        <v>0</v>
      </c>
      <c r="E13" s="480">
        <f>IF(S13=0,0,IF(ABS($S$36)&gt;Benchmarking!$B$20*0.3*0.5,-S13*Benchmarking!$B$20*0.3*0.5/$S$36,S13))</f>
        <v>0</v>
      </c>
      <c r="F13" s="480">
        <f>IF(T13=0,0,IF(ABS($T$36)&gt;Benchmarking!$B$23*0.3*0.5,-T13*(Benchmarking!$B$23*0.3*0.5/$T$36),T13))</f>
        <v>0</v>
      </c>
      <c r="G13" s="480">
        <f>IF(U13=0,0,IF(ABS($U$36)&gt;Benchmarking!$B$26*0.3*0.5,-U13*(Benchmarking!$B$26*0.3*0.5/$U$36),U13))</f>
        <v>0</v>
      </c>
      <c r="H13" s="607">
        <f>$D13*Benchmarking!$E$23+$E13*Benchmarking!$E$24+$F13*Benchmarking!$E$25+$G13*Benchmarking!$E$26</f>
        <v>0</v>
      </c>
      <c r="I13" s="606">
        <f>IF($H13=0,0,Lighting!$C59+Lighting!$C63)</f>
        <v>0</v>
      </c>
      <c r="J13" s="607">
        <f>IF(Lighting!C59+Lighting!C63=0,0,Lighting!C60+Lighting!C64)</f>
        <v>0</v>
      </c>
      <c r="K13" s="7">
        <f t="shared" si="0"/>
        <v>0</v>
      </c>
      <c r="L13" s="15">
        <f>Lighting!G61</f>
        <v>0</v>
      </c>
      <c r="O13" s="185" t="s">
        <v>260</v>
      </c>
      <c r="P13" s="133" t="str">
        <f>Lighting!$B16</f>
        <v>Convert T12 fluorescent to T8 with electronic ballast or LED lamps</v>
      </c>
      <c r="Q13" s="480">
        <f>Lighting!$S55</f>
        <v>0</v>
      </c>
      <c r="R13" s="480">
        <f>Lighting!$S56</f>
        <v>0</v>
      </c>
      <c r="S13" s="480">
        <f>Lighting!$S57</f>
        <v>0</v>
      </c>
      <c r="T13" s="480">
        <f>IF(Lighting!$U58="Propane",Lighting!$S58,0)</f>
        <v>0</v>
      </c>
      <c r="U13" s="480">
        <f>IF(Lighting!$U58="Propane",0,Lighting!$S58)</f>
        <v>0</v>
      </c>
      <c r="V13" s="606">
        <f>Lighting!$S59</f>
        <v>0</v>
      </c>
      <c r="W13" s="606">
        <f>IF($V13=0,0,Lighting!$C59+Lighting!$C63)</f>
        <v>0</v>
      </c>
      <c r="X13" s="606">
        <f>IF($V13=0,0,Lighting!$C60+Lighting!$C64)</f>
        <v>0</v>
      </c>
      <c r="Y13" s="7">
        <f>IF($W13=0,0,Lighting!$S60)</f>
        <v>0</v>
      </c>
      <c r="Z13" s="15">
        <f>IF($W13=0,0,Lighting!$S61)</f>
        <v>0</v>
      </c>
    </row>
    <row r="14" spans="1:26" s="128" customFormat="1" ht="14.95" x14ac:dyDescent="0.25">
      <c r="A14" s="185" t="s">
        <v>469</v>
      </c>
      <c r="B14" s="502" t="str">
        <f>Lighting!$B17</f>
        <v xml:space="preserve">Convert 32 Watt T8 fluorescent fixture to LED lamps </v>
      </c>
      <c r="C14" s="480">
        <f>IF($R$36&gt;Benchmarking!$B$13*0.3*0.5,Q14*(Benchmarking!$B$13*0.3*0.5/$R$36),Q14)</f>
        <v>0</v>
      </c>
      <c r="D14" s="480">
        <f>IF($R$36&gt;Benchmarking!$B$16*0.3*0.5,R14*(Benchmarking!$B$16*0.3*0.5/$R$36),R14)</f>
        <v>0</v>
      </c>
      <c r="E14" s="480">
        <f>IF(S14=0,0,IF(ABS($S$36)&gt;Benchmarking!$B$20*0.3*0.5,-S14*Benchmarking!$B$20*0.3*0.5/$S$36,S14))</f>
        <v>0</v>
      </c>
      <c r="F14" s="480">
        <f>IF(T14=0,0,IF(ABS($T$36)&gt;Benchmarking!$B$23*0.3*0.5,-T14*(Benchmarking!$B$23*0.3*0.5/$T$36),T14))</f>
        <v>0</v>
      </c>
      <c r="G14" s="480">
        <f>IF(U14=0,0,IF(ABS($U$36)&gt;Benchmarking!$B$26*0.3*0.5,-U14*(Benchmarking!$B$26*0.3*0.5/$U$36),U14))</f>
        <v>0</v>
      </c>
      <c r="H14" s="607">
        <f>$D14*Benchmarking!$E$23+$E14*Benchmarking!$E$24+$F14*Benchmarking!$E$25+$G14*Benchmarking!$E$26</f>
        <v>0</v>
      </c>
      <c r="I14" s="606">
        <f>IF($H14=0,0,Lighting!$C70)</f>
        <v>0</v>
      </c>
      <c r="J14" s="607">
        <f>IF(Lighting!C70=0,0,Lighting!C71)</f>
        <v>0</v>
      </c>
      <c r="K14" s="7">
        <f t="shared" ref="K14" si="1">IF(H14=0,0,(I14-J14)/H14)</f>
        <v>0</v>
      </c>
      <c r="L14" s="15">
        <f>Lighting!G74</f>
        <v>0</v>
      </c>
      <c r="O14" s="185" t="s">
        <v>469</v>
      </c>
      <c r="P14" s="133" t="str">
        <f>Lighting!$B17</f>
        <v xml:space="preserve">Convert 32 Watt T8 fluorescent fixture to LED lamps </v>
      </c>
      <c r="Q14" s="480">
        <f>Lighting!$S68</f>
        <v>0</v>
      </c>
      <c r="R14" s="480">
        <f>Lighting!$S69</f>
        <v>0</v>
      </c>
      <c r="S14" s="480">
        <f>Lighting!$S70</f>
        <v>0</v>
      </c>
      <c r="T14" s="480">
        <f>IF(Lighting!$U71="Propane",Lighting!$S71,0)</f>
        <v>0</v>
      </c>
      <c r="U14" s="480">
        <f>IF(Lighting!$U71="Propane",0,Lighting!$S71)</f>
        <v>0</v>
      </c>
      <c r="V14" s="606">
        <f>Lighting!$S72</f>
        <v>0</v>
      </c>
      <c r="W14" s="608">
        <f>IF($V14=0,0,Lighting!$C70)</f>
        <v>0</v>
      </c>
      <c r="X14" s="606">
        <f>IF($W14=0,0,Lighting!$C71)</f>
        <v>0</v>
      </c>
      <c r="Y14" s="7">
        <f>IF($V14=0,0,Lighting!$S73)</f>
        <v>0</v>
      </c>
      <c r="Z14" s="15">
        <f>IF($V14=0,0,Lighting!$S74)</f>
        <v>0</v>
      </c>
    </row>
    <row r="15" spans="1:26" ht="14.95" x14ac:dyDescent="0.25">
      <c r="A15" s="185" t="s">
        <v>262</v>
      </c>
      <c r="B15" s="502" t="str">
        <f>Lighting!$B18</f>
        <v>Replace 32 Watt T8 lamps with 28 Watt T8 Lamps</v>
      </c>
      <c r="C15" s="480">
        <f>IF($R$36&gt;Benchmarking!$B$13*0.3*0.5,Q15*(Benchmarking!$B$13*0.3*0.5/$R$36),Q15)</f>
        <v>0</v>
      </c>
      <c r="D15" s="480">
        <f>IF($R$36&gt;Benchmarking!$B$16*0.3*0.5,R15*(Benchmarking!$B$16*0.3*0.5/$R$36),R15)</f>
        <v>0</v>
      </c>
      <c r="E15" s="480">
        <f>IF(S15=0,0,IF(ABS($S$36)&gt;Benchmarking!$B$20*0.3*0.5,-S15*Benchmarking!$B$20*0.3*0.5/$S$36,S15))</f>
        <v>0</v>
      </c>
      <c r="F15" s="480">
        <f>IF(T15=0,0,IF(ABS($T$36)&gt;Benchmarking!$B$23*0.3*0.5,-T15*(Benchmarking!$B$23*0.3*0.5/$T$36),T15))</f>
        <v>0</v>
      </c>
      <c r="G15" s="480">
        <f>IF(U15=0,0,IF(ABS($U$36)&gt;Benchmarking!$B$26*0.3*0.5,-U15*(Benchmarking!$B$26*0.3*0.5/$U$36),U15))</f>
        <v>0</v>
      </c>
      <c r="H15" s="607">
        <f>$D15*Benchmarking!$E$23+$E15*Benchmarking!$E$24+$F15*Benchmarking!$E$25+$G15*Benchmarking!$E$26</f>
        <v>0</v>
      </c>
      <c r="I15" s="606">
        <f>IF($H15=0,0,Lighting!$C79)</f>
        <v>0</v>
      </c>
      <c r="J15" s="607">
        <f>IF(Lighting!C79=0,0,Lighting!C80)</f>
        <v>0</v>
      </c>
      <c r="K15" s="7">
        <f t="shared" si="0"/>
        <v>0</v>
      </c>
      <c r="L15" s="15">
        <f>IF($I15=0,0,Lighting!$G84)</f>
        <v>0</v>
      </c>
      <c r="O15" s="185" t="s">
        <v>262</v>
      </c>
      <c r="P15" s="133" t="str">
        <f>Lighting!$B18</f>
        <v>Replace 32 Watt T8 lamps with 28 Watt T8 Lamps</v>
      </c>
      <c r="Q15" s="480">
        <f>Lighting!$S78</f>
        <v>0</v>
      </c>
      <c r="R15" s="480">
        <f>Lighting!$S79</f>
        <v>0</v>
      </c>
      <c r="S15" s="480">
        <f>Lighting!$S80</f>
        <v>0</v>
      </c>
      <c r="T15" s="480">
        <f>IF(Lighting!$U81="Propane",Lighting!$S81,0)</f>
        <v>0</v>
      </c>
      <c r="U15" s="480">
        <f>IF(Lighting!$U81="Propane",0,Lighting!$S81)</f>
        <v>0</v>
      </c>
      <c r="V15" s="606">
        <f>Lighting!$S82</f>
        <v>0</v>
      </c>
      <c r="W15" s="608">
        <f>IF($V15=0,0,Lighting!$C79)</f>
        <v>0</v>
      </c>
      <c r="X15" s="606">
        <f>IF($V15=0,0,Lighting!$C80)</f>
        <v>0</v>
      </c>
      <c r="Y15" s="7">
        <f>IF(Lighting!$C78=0,0,Lighting!$S83)</f>
        <v>0</v>
      </c>
      <c r="Z15" s="15">
        <f>IF($W15=0,0,Lighting!$S84)</f>
        <v>0</v>
      </c>
    </row>
    <row r="16" spans="1:26" ht="14.95" x14ac:dyDescent="0.25">
      <c r="A16" s="185" t="s">
        <v>263</v>
      </c>
      <c r="B16" s="502" t="str">
        <f>Lighting!$B19</f>
        <v>Replace mercury vapor/HPS/Metal Halide with LED/Induction lights</v>
      </c>
      <c r="C16" s="480">
        <f>IF($R$36&gt;Benchmarking!$B$13*0.3*0.5,Q16*(Benchmarking!$B$13*0.3*0.5/$R$36),Q16)</f>
        <v>0</v>
      </c>
      <c r="D16" s="480">
        <f>IF($R$36&gt;Benchmarking!$B$16*0.3*0.5,R16*(Benchmarking!$B$16*0.3*0.5/$R$36),R16)</f>
        <v>0</v>
      </c>
      <c r="E16" s="480">
        <f>IF(S16=0,0,IF(ABS($S$36)&gt;Benchmarking!$B$20*0.3*0.5,-S16*Benchmarking!$B$20*0.3*0.5/$S$36,S16))</f>
        <v>0</v>
      </c>
      <c r="F16" s="480">
        <f>IF(T16=0,0,IF(ABS($T$36)&gt;Benchmarking!$B$23*0.3*0.5,-T16*(Benchmarking!$B$23*0.3*0.5/$T$36),T16))</f>
        <v>0</v>
      </c>
      <c r="G16" s="480">
        <f>IF(U16=0,0,IF(ABS($U$36)&gt;Benchmarking!$B$26*0.3*0.5,-U16*(Benchmarking!$B$26*0.3*0.5/$U$36),U16))</f>
        <v>0</v>
      </c>
      <c r="H16" s="607">
        <f>$D16*Benchmarking!$E$23*0.8+$E16*Benchmarking!$E$24+$F16*Benchmarking!$E$25+$G16*Benchmarking!$E$26</f>
        <v>0</v>
      </c>
      <c r="I16" s="606">
        <f>IF($H16=0,0,Lighting!C92+Lighting!$C96)</f>
        <v>0</v>
      </c>
      <c r="J16" s="607">
        <f>IF(Lighting!C92+Lighting!C96=0,0,Lighting!C93+Lighting!C97)</f>
        <v>0</v>
      </c>
      <c r="K16" s="7">
        <f t="shared" si="0"/>
        <v>0</v>
      </c>
      <c r="L16" s="15">
        <f>Lighting!G96</f>
        <v>0</v>
      </c>
      <c r="O16" s="185" t="s">
        <v>263</v>
      </c>
      <c r="P16" s="133" t="str">
        <f>Lighting!$B19</f>
        <v>Replace mercury vapor/HPS/Metal Halide with LED/Induction lights</v>
      </c>
      <c r="Q16" s="480">
        <f>Lighting!$S90</f>
        <v>0</v>
      </c>
      <c r="R16" s="480">
        <f>Lighting!$S91</f>
        <v>0</v>
      </c>
      <c r="S16" s="480">
        <f>Lighting!$S92</f>
        <v>0</v>
      </c>
      <c r="T16" s="480">
        <f>IF(Lighting!$U93="Propane",Lighting!$S93,0)</f>
        <v>0</v>
      </c>
      <c r="U16" s="480">
        <f>IF(Lighting!$U93="Propane",0,Lighting!$S93)</f>
        <v>0</v>
      </c>
      <c r="V16" s="606">
        <f>Lighting!$S94</f>
        <v>0</v>
      </c>
      <c r="W16" s="606">
        <f>IF($V16=0,0,Lighting!$C92+Lighting!$C96)</f>
        <v>0</v>
      </c>
      <c r="X16" s="606">
        <f>IF($V16=0,0,Lighting!$C93+Lighting!$C97)</f>
        <v>0</v>
      </c>
      <c r="Y16" s="7">
        <f>IF($W16=0,0,Lighting!$S95)</f>
        <v>0</v>
      </c>
      <c r="Z16" s="15">
        <f>IF($W16=0,0,Lighting!$S96)</f>
        <v>0</v>
      </c>
    </row>
    <row r="17" spans="1:26" ht="15.8" thickBot="1" x14ac:dyDescent="0.3">
      <c r="A17" s="186" t="s">
        <v>261</v>
      </c>
      <c r="B17" s="503" t="str">
        <f>Lighting!$B20</f>
        <v>Install occupancy control for intermittently occupied rooms</v>
      </c>
      <c r="C17" s="481">
        <f>IF($R$36&gt;Benchmarking!$B$13*0.3*0.5,Q17*(Benchmarking!$B$13*0.3*0.5/$R$36),Q17)</f>
        <v>0</v>
      </c>
      <c r="D17" s="481">
        <f>IF($R$36&gt;Benchmarking!$B$16*0.3*0.5,R17*(Benchmarking!$B$16*0.3*0.5/$R$36),R17)</f>
        <v>0</v>
      </c>
      <c r="E17" s="481">
        <f>IF(S17=0,0,IF(ABS($S$36)&gt;Benchmarking!$B$20*0.3*0.5,-S17*Benchmarking!$B$20*0.3*0.5/$S$36,S17))</f>
        <v>0</v>
      </c>
      <c r="F17" s="481">
        <f>IF(T17=0,0,IF(ABS($T$36)&gt;Benchmarking!$B$23*0.3*0.5,-T17*(Benchmarking!$B$23*0.3*0.5/$T$36),T17))</f>
        <v>0</v>
      </c>
      <c r="G17" s="481">
        <f>IF(U17=0,0,IF(ABS($U$36)&gt;Benchmarking!$B$26*0.3*0.5,-U17*(Benchmarking!$B$26*0.3*0.5/$U$36),U17))</f>
        <v>0</v>
      </c>
      <c r="H17" s="616">
        <f>$D17*Benchmarking!$E$23*0.8+$E17*Benchmarking!$E$24+$F17*Benchmarking!$E$25+$G17*Benchmarking!$E$26</f>
        <v>0</v>
      </c>
      <c r="I17" s="609">
        <f>IF($H17=0,0,Lighting!$C103)</f>
        <v>0</v>
      </c>
      <c r="J17" s="617">
        <f>IF(Lighting!C103=0,0,Lighting!C104)</f>
        <v>0</v>
      </c>
      <c r="K17" s="322">
        <f t="shared" si="0"/>
        <v>0</v>
      </c>
      <c r="L17" s="323">
        <f>Lighting!G108</f>
        <v>0</v>
      </c>
      <c r="O17" s="186" t="s">
        <v>261</v>
      </c>
      <c r="P17" s="321" t="str">
        <f>Lighting!$B20</f>
        <v>Install occupancy control for intermittently occupied rooms</v>
      </c>
      <c r="Q17" s="481">
        <f>Lighting!$S102</f>
        <v>0</v>
      </c>
      <c r="R17" s="481">
        <f>Lighting!$S103</f>
        <v>0</v>
      </c>
      <c r="S17" s="481">
        <f>Lighting!$S104</f>
        <v>0</v>
      </c>
      <c r="T17" s="481">
        <f>IF(Lighting!$U105="Propane",Lighting!$S105,0)</f>
        <v>0</v>
      </c>
      <c r="U17" s="481">
        <f>IF(Lighting!$U105="Propane",0,Lighting!$S105)</f>
        <v>0</v>
      </c>
      <c r="V17" s="609">
        <f>Lighting!$S106</f>
        <v>0</v>
      </c>
      <c r="W17" s="609">
        <f>IF($V17=0,0,Lighting!$C103)</f>
        <v>0</v>
      </c>
      <c r="X17" s="609">
        <f>IF($V17=0,0,Lighting!$C104)</f>
        <v>0</v>
      </c>
      <c r="Y17" s="322">
        <f>IF($W17=0,0,Lighting!$S107)</f>
        <v>0</v>
      </c>
      <c r="Z17" s="323">
        <f>IF($W17=0,0,Lighting!$S108)</f>
        <v>0</v>
      </c>
    </row>
    <row r="18" spans="1:26" ht="14.95" x14ac:dyDescent="0.25">
      <c r="A18" s="320" t="s">
        <v>293</v>
      </c>
      <c r="B18" s="504" t="str">
        <f>HVAC!$B13</f>
        <v>Replace old packaged/split HVAC unit with high efficiency HVAC</v>
      </c>
      <c r="C18" s="775">
        <f>IF($R$37=0,0,IF($Q$37&gt;Benchmarking!$B$13*0.5*0.5,Q18*(Benchmarking!$B$13*0.5*0.5/$Q$37),Q18))</f>
        <v>0</v>
      </c>
      <c r="D18" s="485">
        <f>IF($R$37&gt;Benchmarking!$B$16*0.5*0.5,R18*(Benchmarking!$B$16*0.5*0.5/$R$37),R18)</f>
        <v>0</v>
      </c>
      <c r="E18" s="485">
        <f>IF($S$37=0,0,IF(ABS(S$37)&gt;Benchmarking!$B$20*0.5*0.5,-ABS(S18*Benchmarking!$B$20*0.5*0.5/S$37),S18))</f>
        <v>0</v>
      </c>
      <c r="F18" s="485">
        <f>IF(T$37=0,0,IF(ABS(T$37)&gt;Benchmarking!$B$23*0.5*0.5,-ABS(T18*Benchmarking!$B$23*0.5*0.5/T$37),T18))</f>
        <v>0</v>
      </c>
      <c r="G18" s="485">
        <f>IF(ABS(U$37)=0,0,IF(ABS(U$37)&gt;Benchmarking!$B$26*0.5*0.5,-ABS(U18*Benchmarking!$B$26*0.5*0.5/U$37),U18))</f>
        <v>0</v>
      </c>
      <c r="H18" s="618">
        <f>$D18*Benchmarking!$E$23+$E18*Benchmarking!$E$24+$F18*Benchmarking!$E$25+$G18*Benchmarking!$E$26</f>
        <v>0</v>
      </c>
      <c r="I18" s="610">
        <f>IF($H18=0,0,HVAC!$C32)</f>
        <v>0</v>
      </c>
      <c r="J18" s="610">
        <f>IF($I18=0,0,HVAC!$C33+HVAC!C34)</f>
        <v>0</v>
      </c>
      <c r="K18" s="306">
        <f t="shared" si="0"/>
        <v>0</v>
      </c>
      <c r="L18" s="319">
        <f>IF($I18=0,0,HVAC!$G30)</f>
        <v>0</v>
      </c>
      <c r="O18" s="320" t="s">
        <v>293</v>
      </c>
      <c r="P18" s="324" t="str">
        <f>HVAC!$B13</f>
        <v>Replace old packaged/split HVAC unit with high efficiency HVAC</v>
      </c>
      <c r="Q18" s="482">
        <f>HVAC!$S24</f>
        <v>0</v>
      </c>
      <c r="R18" s="482">
        <f>HVAC!$S25</f>
        <v>0</v>
      </c>
      <c r="S18" s="482">
        <f>HVAC!$S26</f>
        <v>0</v>
      </c>
      <c r="T18" s="482">
        <f>IF(HVAC!$U27="propane",HVAC!$S27,0)</f>
        <v>0</v>
      </c>
      <c r="U18" s="482">
        <f>IF(HVAC!$U27="propane",0,HVAC!$S27)</f>
        <v>0</v>
      </c>
      <c r="V18" s="605">
        <f>HVAC!$S28</f>
        <v>0</v>
      </c>
      <c r="W18" s="605">
        <f>IF($V18=0,0,HVAC!$C32)</f>
        <v>0</v>
      </c>
      <c r="X18" s="605">
        <f>IF($V18=0,0,HVAC!$C33+HVAC!C34)</f>
        <v>0</v>
      </c>
      <c r="Y18" s="325">
        <f>IF($W18=0,0,HVAC!$S29)</f>
        <v>0</v>
      </c>
      <c r="Z18" s="326">
        <f>IF($W18=0,0,HVAC!$S30)</f>
        <v>0</v>
      </c>
    </row>
    <row r="19" spans="1:26" ht="14.95" x14ac:dyDescent="0.25">
      <c r="A19" s="185" t="s">
        <v>294</v>
      </c>
      <c r="B19" s="502" t="str">
        <f>HVAC!$B38</f>
        <v>Replace old heat pump with high efficiency heat pump</v>
      </c>
      <c r="C19" s="480">
        <f>IF($R$37=0,0,IF($Q$37&gt;Benchmarking!$B$13*0.5*0.5,Q19*(Benchmarking!$B$13*0.5*0.5/$Q$37),Q19))</f>
        <v>0</v>
      </c>
      <c r="D19" s="480">
        <f>IF(R37=0,0,IF($R$37&gt;Benchmarking!$B$16*0.5*0.5,R19*(Benchmarking!$B$16*0.5*0.5/$R$37),R19))</f>
        <v>0</v>
      </c>
      <c r="E19" s="485">
        <v>0</v>
      </c>
      <c r="F19" s="485">
        <v>0</v>
      </c>
      <c r="G19" s="485">
        <v>0</v>
      </c>
      <c r="H19" s="607">
        <f>$D19*Benchmarking!$E$23+$E19*Benchmarking!$E$24+$F19*Benchmarking!$E$25+$G19*Benchmarking!$E$26</f>
        <v>0</v>
      </c>
      <c r="I19" s="606">
        <f>IF($H19=0,0,HVAC!$C49)</f>
        <v>0</v>
      </c>
      <c r="J19" s="606">
        <f>IF($I19=0,0,HVAC!$C50+HVAC!C51)</f>
        <v>0</v>
      </c>
      <c r="K19" s="7">
        <f t="shared" si="0"/>
        <v>0</v>
      </c>
      <c r="L19" s="15">
        <f>IF($I19=0,0,HVAC!$G45)</f>
        <v>0</v>
      </c>
      <c r="O19" s="185" t="s">
        <v>294</v>
      </c>
      <c r="P19" s="133" t="str">
        <f>HVAC!$B38</f>
        <v>Replace old heat pump with high efficiency heat pump</v>
      </c>
      <c r="Q19" s="480">
        <f>HVAC!$S39</f>
        <v>0</v>
      </c>
      <c r="R19" s="480">
        <f>HVAC!$S40</f>
        <v>0</v>
      </c>
      <c r="S19" s="480">
        <f>HVAC!$S41</f>
        <v>0</v>
      </c>
      <c r="T19" s="480">
        <f>IF(HVAC!$U42="propane",HVAC!$S42,0)</f>
        <v>0</v>
      </c>
      <c r="U19" s="480">
        <f>IF(HVAC!$U42="propane",0,HVAC!$S42)</f>
        <v>0</v>
      </c>
      <c r="V19" s="606">
        <f>HVAC!$S43</f>
        <v>0</v>
      </c>
      <c r="W19" s="606">
        <f>IF($V19=0,0,HVAC!$C49)</f>
        <v>0</v>
      </c>
      <c r="X19" s="606">
        <f>IF($V19=0,0,HVAC!$C50+HVAC!C51)</f>
        <v>0</v>
      </c>
      <c r="Y19" s="7">
        <f>IF($W19=0,0,HVAC!$S44)</f>
        <v>0</v>
      </c>
      <c r="Z19" s="15">
        <f>IF($W19=0,0,HVAC!$S45)</f>
        <v>0</v>
      </c>
    </row>
    <row r="20" spans="1:26" ht="14.95" x14ac:dyDescent="0.25">
      <c r="A20" s="185" t="s">
        <v>339</v>
      </c>
      <c r="B20" s="502" t="str">
        <f>HVAC!$B15</f>
        <v>Replace boiler with high efficiency condensing boiler</v>
      </c>
      <c r="C20" s="480">
        <v>0</v>
      </c>
      <c r="D20" s="480">
        <v>0</v>
      </c>
      <c r="E20" s="480">
        <f>IF(S$37&gt;(Benchmarking!$B$20)*0.5*0.5,ABS(S20*((Benchmarking!$B$20)*0.5*0.5/(S$37))),S20)</f>
        <v>0</v>
      </c>
      <c r="F20" s="480">
        <f>IF(ABS(T$37)&gt;(Benchmarking!$B$23)*0.5*0.5,ABS(T20*((Benchmarking!$B$23)*0.5*0.5/(T$37))),T20)</f>
        <v>0</v>
      </c>
      <c r="G20" s="480">
        <f>IF(ABS(U$37)&gt;(Benchmarking!$B$26)*0.5*0.5,ABS(U20*((Benchmarking!$B$26)*0.5*0.5/(U$37))),U20)</f>
        <v>0</v>
      </c>
      <c r="H20" s="607">
        <f>$D20*Benchmarking!$E$23+$E20*Benchmarking!$E$24+$F20*Benchmarking!$E$25+$G20*Benchmarking!$E$26</f>
        <v>0</v>
      </c>
      <c r="I20" s="606">
        <f>IF($H20=0,0,HVAC!$C60)</f>
        <v>0</v>
      </c>
      <c r="J20" s="606">
        <f>IF($I20=0,0,HVAC!$C61)</f>
        <v>0</v>
      </c>
      <c r="K20" s="7">
        <f t="shared" si="0"/>
        <v>0</v>
      </c>
      <c r="L20" s="15">
        <f>IF($I20=0,0,HVAC!G61)</f>
        <v>0</v>
      </c>
      <c r="O20" s="185" t="s">
        <v>339</v>
      </c>
      <c r="P20" s="133" t="str">
        <f>HVAC!$B15</f>
        <v>Replace boiler with high efficiency condensing boiler</v>
      </c>
      <c r="Q20" s="480">
        <v>0</v>
      </c>
      <c r="R20" s="480">
        <v>0</v>
      </c>
      <c r="S20" s="480">
        <f>HVAC!$S55</f>
        <v>0</v>
      </c>
      <c r="T20" s="483">
        <f>IF(HVAC!$U56="propane",HVAC!$S56,0)</f>
        <v>0</v>
      </c>
      <c r="U20" s="480">
        <f>IF(HVAC!$U56="propane",0,HVAC!$S56)</f>
        <v>0</v>
      </c>
      <c r="V20" s="606">
        <f>HVAC!$S57</f>
        <v>0</v>
      </c>
      <c r="W20" s="606">
        <f>IF($V20=0,0,HVAC!$C60)</f>
        <v>0</v>
      </c>
      <c r="X20" s="606">
        <f>IF($V20=0,0,HVAC!$C61)</f>
        <v>0</v>
      </c>
      <c r="Y20" s="7">
        <f>IF($W20=0,0,HVAC!$S58)</f>
        <v>0</v>
      </c>
      <c r="Z20" s="15">
        <f>IF($W20=0,0,HVAC!$S59)</f>
        <v>0</v>
      </c>
    </row>
    <row r="21" spans="1:26" s="128" customFormat="1" ht="14.95" x14ac:dyDescent="0.25">
      <c r="A21" s="185" t="s">
        <v>340</v>
      </c>
      <c r="B21" s="502" t="str">
        <f>HVAC!$B16</f>
        <v>Replace furnace with high efficiency condensing furnace</v>
      </c>
      <c r="C21" s="480">
        <v>0</v>
      </c>
      <c r="D21" s="480">
        <v>0</v>
      </c>
      <c r="E21" s="480">
        <f>IF(S$37&gt;(Benchmarking!$B$20)*0.5*0.5,ABS(S21*((Benchmarking!$B$20)*0.5*0.5/(S$37))),S21)</f>
        <v>0</v>
      </c>
      <c r="F21" s="480">
        <f>IF(ABS(T$37)&gt;(Benchmarking!$B$23)*0.5*0.5,ABS(T21*((Benchmarking!$B$23)*0.5*0.5/(T$37))),T21)</f>
        <v>0</v>
      </c>
      <c r="G21" s="480">
        <f>IF(ABS(U$37)&gt;(Benchmarking!$B$26)*0.5*0.5,ABS(U21*((Benchmarking!$B$26)*0.5*0.5/(U$37))),U21)</f>
        <v>0</v>
      </c>
      <c r="H21" s="607">
        <f>$D21*Benchmarking!$E$23+$E21*Benchmarking!$E$24+$F21*Benchmarking!$E$25+$G21*Benchmarking!$E$26</f>
        <v>0</v>
      </c>
      <c r="I21" s="606">
        <f>IF($H21=0,0,HVAC!$C70)</f>
        <v>0</v>
      </c>
      <c r="J21" s="606">
        <f>IF($I21=0,0,HVAC!$C71)</f>
        <v>0</v>
      </c>
      <c r="K21" s="8">
        <f t="shared" si="0"/>
        <v>0</v>
      </c>
      <c r="L21" s="15">
        <f>IF($I21=0,0,HVAC!$G71)</f>
        <v>0</v>
      </c>
      <c r="O21" s="185" t="s">
        <v>340</v>
      </c>
      <c r="P21" s="133" t="str">
        <f>HVAC!$B16</f>
        <v>Replace furnace with high efficiency condensing furnace</v>
      </c>
      <c r="Q21" s="480">
        <v>0</v>
      </c>
      <c r="R21" s="480">
        <v>0</v>
      </c>
      <c r="S21" s="480">
        <f>HVAC!$S65</f>
        <v>0</v>
      </c>
      <c r="T21" s="483">
        <f>IF(HVAC!$U66="propane",HVAC!$S66,0)</f>
        <v>0</v>
      </c>
      <c r="U21" s="480">
        <f>IF(HVAC!$U66="propane",0,HVAC!$S66)</f>
        <v>0</v>
      </c>
      <c r="V21" s="606">
        <f>HVAC!$S67</f>
        <v>0</v>
      </c>
      <c r="W21" s="606">
        <f>IF($V21=0,0,HVAC!$C70)</f>
        <v>0</v>
      </c>
      <c r="X21" s="606">
        <f>IF($V21=0,0,HVAC!$C71)</f>
        <v>0</v>
      </c>
      <c r="Y21" s="7">
        <f>IF($W21=0,0,HVAC!$S68)</f>
        <v>0</v>
      </c>
      <c r="Z21" s="15">
        <f>IF($W21=0,0,HVAC!$S69)</f>
        <v>0</v>
      </c>
    </row>
    <row r="22" spans="1:26" s="128" customFormat="1" ht="14.95" x14ac:dyDescent="0.25">
      <c r="A22" s="185" t="s">
        <v>295</v>
      </c>
      <c r="B22" s="502" t="str">
        <f>HVAC!$B75</f>
        <v>Seal existing HVAC leaky duct</v>
      </c>
      <c r="C22" s="480">
        <f>IF($Q$37&gt;Benchmarking!$B$13*0.5*0.5,Q22*(Benchmarking!$B$13*0.5*0.5/$Q$37),Q22)</f>
        <v>0</v>
      </c>
      <c r="D22" s="480">
        <f>IF($R$37&gt;Benchmarking!$B$16*0.5*0.5,R22*(Benchmarking!$B$16*0.5*0.5/$R$37),R22)</f>
        <v>0</v>
      </c>
      <c r="E22" s="480">
        <f>IF(S$37&gt;(Benchmarking!$B$20)*0.5*0.5,ABS(S22*((Benchmarking!$B$20)*0.5*0.5/(S$37))),S22)</f>
        <v>0</v>
      </c>
      <c r="F22" s="480">
        <f>IF(ABS(T$37)&gt;(Benchmarking!$B$23)*0.5*0.5,ABS(T22*((Benchmarking!$B$23)*0.5*0.5/(T$37))),T22)</f>
        <v>0</v>
      </c>
      <c r="G22" s="480">
        <f>IF(ABS(U$37)&gt;(Benchmarking!$B$26)*0.5*0.5,ABS(U22*((Benchmarking!$B$26)*0.5*0.5/(U$37))),U22)</f>
        <v>0</v>
      </c>
      <c r="H22" s="607">
        <f>$D22*Benchmarking!$E$23+$E22*Benchmarking!$E$24+$F22*Benchmarking!$E$25+$G22*Benchmarking!$E$26</f>
        <v>0</v>
      </c>
      <c r="I22" s="606">
        <f>IF($H22=0,0,HVAC!$C77)</f>
        <v>0</v>
      </c>
      <c r="J22" s="606">
        <f>IF($I22=0,0,HVAC!$C78)</f>
        <v>0</v>
      </c>
      <c r="K22" s="7">
        <f t="shared" si="0"/>
        <v>0</v>
      </c>
      <c r="L22" s="15">
        <f>IF($I22=0,0,HVAC!$G82)</f>
        <v>0</v>
      </c>
      <c r="O22" s="185" t="s">
        <v>295</v>
      </c>
      <c r="P22" s="133" t="str">
        <f>HVAC!$B75</f>
        <v>Seal existing HVAC leaky duct</v>
      </c>
      <c r="Q22" s="480">
        <f>HVAC!$S76</f>
        <v>0</v>
      </c>
      <c r="R22" s="480">
        <f>HVAC!$S77</f>
        <v>0</v>
      </c>
      <c r="S22" s="480">
        <f>HVAC!$S78</f>
        <v>0</v>
      </c>
      <c r="T22" s="480">
        <f>IF(HVAC!$U79="propane",HVAC!$S79,0)</f>
        <v>0</v>
      </c>
      <c r="U22" s="480">
        <f>IF(HVAC!$U79="propane",0,HVAC!$S79)</f>
        <v>0</v>
      </c>
      <c r="V22" s="606">
        <f>HVAC!$S80</f>
        <v>0</v>
      </c>
      <c r="W22" s="606">
        <f>IF($V22=0,0,HVAC!$C77)</f>
        <v>0</v>
      </c>
      <c r="X22" s="606">
        <f>IF($V22=0,0,HVAC!$C78)</f>
        <v>0</v>
      </c>
      <c r="Y22" s="7">
        <f>IF($W22=0,0,HVAC!$S81)</f>
        <v>0</v>
      </c>
      <c r="Z22" s="15">
        <f>IF($W22=0,0,HVAC!$S82)</f>
        <v>0</v>
      </c>
    </row>
    <row r="23" spans="1:26" ht="14.95" x14ac:dyDescent="0.25">
      <c r="A23" s="185" t="s">
        <v>296</v>
      </c>
      <c r="B23" s="502" t="str">
        <f>HVAC!$B18</f>
        <v>Install variable speed drive for pumps and fans</v>
      </c>
      <c r="C23" s="480">
        <f>IF($Q$37&gt;Benchmarking!$B$13*0.5*0.5,Q23*(Benchmarking!$B$13*0.5*0.5/$Q$37),Q23)</f>
        <v>0</v>
      </c>
      <c r="D23" s="480">
        <f>IF($R$37&gt;Benchmarking!$B$16*0.5*0.5,R23*(Benchmarking!$B$16*0.5*0.5/$R$37),R23)</f>
        <v>0</v>
      </c>
      <c r="E23" s="480">
        <f>IF(S$37&gt;(Benchmarking!$B$20)*0.5*0.5,ABS(S23*((Benchmarking!$B$20)*0.5*0.5/(S$37))),S23)</f>
        <v>0</v>
      </c>
      <c r="F23" s="480">
        <f>IF(ABS(T$37)&gt;(Benchmarking!$B$23)*0.5*0.5,ABS(T23*((Benchmarking!$B$23)*0.5*0.5/(T$37))),T23)</f>
        <v>0</v>
      </c>
      <c r="G23" s="480">
        <f>IF(ABS(U$37)&gt;(Benchmarking!$B$26)*0.5*0.5,ABS(U23*((Benchmarking!$B$26)*0.5*0.5/(U$37))),U23)</f>
        <v>0</v>
      </c>
      <c r="H23" s="607">
        <f>$D23*Benchmarking!$E$23*0.8+$E23*Benchmarking!$E$24+$F23*Benchmarking!$E$25+$G23*Benchmarking!$E$26</f>
        <v>0</v>
      </c>
      <c r="I23" s="606">
        <f>IF($H23=0,0,HVAC!$C88)</f>
        <v>0</v>
      </c>
      <c r="J23" s="606">
        <f>IF($I23=0,0,HVAC!$C89)</f>
        <v>0</v>
      </c>
      <c r="K23" s="7">
        <f t="shared" si="0"/>
        <v>0</v>
      </c>
      <c r="L23" s="15">
        <f>IF($I23=0,0,HVAC!$G93)</f>
        <v>0</v>
      </c>
      <c r="O23" s="185" t="s">
        <v>296</v>
      </c>
      <c r="P23" s="133" t="str">
        <f>HVAC!$B18</f>
        <v>Install variable speed drive for pumps and fans</v>
      </c>
      <c r="Q23" s="480">
        <f>HVAC!$S87</f>
        <v>0</v>
      </c>
      <c r="R23" s="480">
        <f>HVAC!$S88</f>
        <v>0</v>
      </c>
      <c r="S23" s="480">
        <f>HVAC!$S89</f>
        <v>0</v>
      </c>
      <c r="T23" s="480">
        <f>IF(HVAC!$U90="propane",HVAC!$S90,0)</f>
        <v>0</v>
      </c>
      <c r="U23" s="480">
        <f>IF(HVAC!$U90="propane",0,HVAC!$S90)</f>
        <v>0</v>
      </c>
      <c r="V23" s="606">
        <f>HVAC!$S91</f>
        <v>0</v>
      </c>
      <c r="W23" s="606">
        <f>IF($V23=0,0,HVAC!$C88)</f>
        <v>0</v>
      </c>
      <c r="X23" s="606">
        <f>IF($V23=0,0,HVAC!$C89)</f>
        <v>0</v>
      </c>
      <c r="Y23" s="7">
        <f>IF($W23=0,0,HVAC!$S92)</f>
        <v>0</v>
      </c>
      <c r="Z23" s="15">
        <f>IF($W23=0,0,HVAC!$S93)</f>
        <v>0</v>
      </c>
    </row>
    <row r="24" spans="1:26" ht="14.95" x14ac:dyDescent="0.25">
      <c r="A24" s="185" t="s">
        <v>297</v>
      </c>
      <c r="B24" s="502" t="str">
        <f>HVAC!$B19</f>
        <v>Replace manual thermostat with programmable/smart thermostat</v>
      </c>
      <c r="C24" s="480">
        <f>IF(Q24=0,0,IF($Q$37&gt;Benchmarking!$B$13*0.5*0.5,Q24*(Benchmarking!$B$13*0.5*0.5/$Q$37),Q24))</f>
        <v>0</v>
      </c>
      <c r="D24" s="480">
        <f>IF($R$37&gt;Benchmarking!$B$16*0.5*0.5,R24*(Benchmarking!$B$16*0.5*0.5/$R$37),R24)</f>
        <v>0</v>
      </c>
      <c r="E24" s="485">
        <f>IF(S$37=0,0,IF(S$37&gt;Benchmarking!$B$20*0.5*0.5,ABS(S24*Benchmarking!$B$20*0.5*0.5/S$37),S24))</f>
        <v>0</v>
      </c>
      <c r="F24" s="485">
        <f>IF(ABS(T$37)=0,0,IF(T$37&gt;Benchmarking!$B$23*0.5*0.5,ABS(T24*Benchmarking!$B$23*0.5*0.5/T$37),T24))</f>
        <v>0</v>
      </c>
      <c r="G24" s="485">
        <f>IF(ABS(U$37)=0,0,IF(U$37&gt;Benchmarking!$B$26*0.5*0.5,ABS(U24*Benchmarking!$B$26*0.5*0.5/U$37),U24))</f>
        <v>0</v>
      </c>
      <c r="H24" s="607">
        <f>$D24*Benchmarking!$E$23*0.8+$E24*Benchmarking!$E$24+$F24*Benchmarking!$E$25+$G24*Benchmarking!$E$26</f>
        <v>0</v>
      </c>
      <c r="I24" s="606">
        <f>IF($H24=0,0,HVAC!$C99)</f>
        <v>0</v>
      </c>
      <c r="J24" s="606">
        <f>IF($I24=0,0,HVAC!$C100)</f>
        <v>0</v>
      </c>
      <c r="K24" s="7">
        <f t="shared" si="0"/>
        <v>0</v>
      </c>
      <c r="L24" s="15">
        <f>IF($I24=0,0,HVAC!$G104)</f>
        <v>0</v>
      </c>
      <c r="O24" s="185" t="s">
        <v>297</v>
      </c>
      <c r="P24" s="133" t="str">
        <f>HVAC!$B19</f>
        <v>Replace manual thermostat with programmable/smart thermostat</v>
      </c>
      <c r="Q24" s="480">
        <f>HVAC!$S98</f>
        <v>0</v>
      </c>
      <c r="R24" s="480">
        <f>HVAC!$S99</f>
        <v>0</v>
      </c>
      <c r="S24" s="480">
        <f>HVAC!$S100</f>
        <v>0</v>
      </c>
      <c r="T24" s="480">
        <f>IF(HVAC!$U101="propane",HVAC!$S101,0)</f>
        <v>0</v>
      </c>
      <c r="U24" s="480">
        <f>IF(HVAC!$U101="propane",0,HVAC!$S101)</f>
        <v>0</v>
      </c>
      <c r="V24" s="606">
        <f>HVAC!$S102</f>
        <v>0</v>
      </c>
      <c r="W24" s="606">
        <f>IF($V24=0,0,HVAC!$C99)</f>
        <v>0</v>
      </c>
      <c r="X24" s="606">
        <f>IF($V24=0,0,HVAC!$C100)</f>
        <v>0</v>
      </c>
      <c r="Y24" s="7">
        <f>IF($W24=0,0,HVAC!$S103)</f>
        <v>0</v>
      </c>
      <c r="Z24" s="15">
        <f>IF($W24=0,0,HVAC!$S104)</f>
        <v>0</v>
      </c>
    </row>
    <row r="25" spans="1:26" ht="14.95" x14ac:dyDescent="0.25">
      <c r="A25" s="185" t="s">
        <v>298</v>
      </c>
      <c r="B25" s="502" t="str">
        <f>HVAC!$B20</f>
        <v>Replace old motor with premium efficiency motor</v>
      </c>
      <c r="C25" s="480">
        <f>IF($Q$37&gt;Benchmarking!$B$13*0.5*0.5,Q25*(Benchmarking!$B$13*0.5*0.5/$Q$37),Q25)</f>
        <v>0</v>
      </c>
      <c r="D25" s="480">
        <f>IF($R$37&gt;Benchmarking!$B$16*0.5*0.5,R25*(Benchmarking!$B$16*0.5*0.5/$R$37),R25)</f>
        <v>0</v>
      </c>
      <c r="E25" s="485">
        <f>IF(S$37=0,0,IF(ABS(S$37)&gt;Benchmarking!$B$20*0.5*0.5,-ABS(S25*Benchmarking!$B$20*0.5*0.5/S$37),S25))</f>
        <v>0</v>
      </c>
      <c r="F25" s="485">
        <f>IF(ABS(T$37)=0,0,IF(T$37&gt;Benchmarking!$B$23*0.5*0.5,-ABS(T25*Benchmarking!$B$23*0.5*0.5/T$37),T25))</f>
        <v>0</v>
      </c>
      <c r="G25" s="485">
        <f>IF(ABS(U$37)=0,0,IF(U$37&gt;Benchmarking!$B$26*0.5*0.5,-ABS(U25*Benchmarking!$B$26*0.5*0.5/U$37),U25))</f>
        <v>0</v>
      </c>
      <c r="H25" s="607">
        <f>$D25*Benchmarking!$E$23+$E25*Benchmarking!$E$24+$F25*Benchmarking!$E$25+$G25*Benchmarking!$E$26</f>
        <v>0</v>
      </c>
      <c r="I25" s="606">
        <f>IF($H25=0,0,HVAC!$C110)</f>
        <v>0</v>
      </c>
      <c r="J25" s="606">
        <f>IF($I25=0,0,HVAC!$C111)</f>
        <v>0</v>
      </c>
      <c r="K25" s="7">
        <f t="shared" si="0"/>
        <v>0</v>
      </c>
      <c r="L25" s="15">
        <f>IF($I25=0,0,HVAC!$G115)</f>
        <v>0</v>
      </c>
      <c r="O25" s="185" t="s">
        <v>298</v>
      </c>
      <c r="P25" s="133" t="str">
        <f>HVAC!$B20</f>
        <v>Replace old motor with premium efficiency motor</v>
      </c>
      <c r="Q25" s="480">
        <f>HVAC!$S109</f>
        <v>0</v>
      </c>
      <c r="R25" s="480">
        <f>HVAC!$S110</f>
        <v>0</v>
      </c>
      <c r="S25" s="480">
        <f>HVAC!$S111</f>
        <v>0</v>
      </c>
      <c r="T25" s="484">
        <f>IF(HVAC!$U112="propane",HVAC!$S112,0)</f>
        <v>0</v>
      </c>
      <c r="U25" s="480">
        <f>IF(HVAC!$U112="propane",0,HVAC!$S112)</f>
        <v>0</v>
      </c>
      <c r="V25" s="606">
        <f>HVAC!$S113</f>
        <v>0</v>
      </c>
      <c r="W25" s="606">
        <f>IF($V25=0,0,HVAC!$C110)</f>
        <v>0</v>
      </c>
      <c r="X25" s="606">
        <f>IF($V25=0,0,HVAC!$C111)</f>
        <v>0</v>
      </c>
      <c r="Y25" s="7">
        <f>IF($W25=0,0,HVAC!$S114)</f>
        <v>0</v>
      </c>
      <c r="Z25" s="15">
        <f>IF($W25=0,0,HVAC!$S115)</f>
        <v>0</v>
      </c>
    </row>
    <row r="26" spans="1:26" ht="15.8" thickBot="1" x14ac:dyDescent="0.3">
      <c r="A26" s="307" t="s">
        <v>299</v>
      </c>
      <c r="B26" s="505" t="str">
        <f>HVAC!$B21</f>
        <v>Replace storage water heater with gas-fired tankless water heater</v>
      </c>
      <c r="C26" s="486">
        <f>IF($Q$37&gt;Benchmarking!$B$13*0.5*0.5,Q26*(Benchmarking!$B$13*0.5*0.5/$R$37),Q26)</f>
        <v>0</v>
      </c>
      <c r="D26" s="486">
        <f>IF($R$37&gt;Benchmarking!$B$16*0.5*0.5,R26*(Benchmarking!$B$16*0.5*0.5/$R$37),R26)</f>
        <v>0</v>
      </c>
      <c r="E26" s="490">
        <f>IF(S$37=0,0,IF(S$37&gt;Benchmarking!$B$20*0.5*0.5,ABS(S26*Benchmarking!$B$20*0.5*0.5/S$37),S26))</f>
        <v>0</v>
      </c>
      <c r="F26" s="490">
        <f>IF(ABS(T$37)=0,0,IF(T$37&gt;Benchmarking!$B$23*0.5*0.5,ABS(T26*Benchmarking!$B$23*0.5*0.5/T$37),T26))</f>
        <v>0</v>
      </c>
      <c r="G26" s="490">
        <f>IF(ABS(U$37)=0,0,IF(U$37&gt;Benchmarking!$B$26*0.5*0.5,ABS(U26*Benchmarking!$B$26*0.5*0.5/U$37),U26))</f>
        <v>0</v>
      </c>
      <c r="H26" s="619">
        <f>$D26*Benchmarking!$E$23+$E26*Benchmarking!$E$24+$F26*Benchmarking!$E$25+$G26*Benchmarking!$E$26</f>
        <v>0</v>
      </c>
      <c r="I26" s="611">
        <f>IF($H26=0,0,HVAC!$C122)</f>
        <v>0</v>
      </c>
      <c r="J26" s="611">
        <f>IF($I26=0,0,HVAC!$C123)</f>
        <v>0</v>
      </c>
      <c r="K26" s="328">
        <f t="shared" si="0"/>
        <v>0</v>
      </c>
      <c r="L26" s="329">
        <f>IF($I26=0,0,HVAC!$G126)</f>
        <v>0</v>
      </c>
      <c r="O26" s="186" t="s">
        <v>299</v>
      </c>
      <c r="P26" s="321" t="str">
        <f>HVAC!$B21</f>
        <v>Replace storage water heater with gas-fired tankless water heater</v>
      </c>
      <c r="Q26" s="481">
        <f>HVAC!$S120</f>
        <v>0</v>
      </c>
      <c r="R26" s="481">
        <f>HVAC!$S121</f>
        <v>0</v>
      </c>
      <c r="S26" s="481">
        <f>HVAC!$S122</f>
        <v>0</v>
      </c>
      <c r="T26" s="481">
        <f>IF(HVAC!$U123="propane",HVAC!$S123,0)</f>
        <v>0</v>
      </c>
      <c r="U26" s="481">
        <f>IF(HVAC!$U123="propane",0,HVAC!$S123)</f>
        <v>0</v>
      </c>
      <c r="V26" s="609">
        <f>HVAC!$S124</f>
        <v>0</v>
      </c>
      <c r="W26" s="609">
        <f>IF($V26=0,0,HVAC!$C122)</f>
        <v>0</v>
      </c>
      <c r="X26" s="609">
        <f>IF($V26=0,0,HVAC!$C123)</f>
        <v>0</v>
      </c>
      <c r="Y26" s="322">
        <f>IF($W26=0,0,HVAC!$S125)</f>
        <v>0</v>
      </c>
      <c r="Z26" s="323">
        <f>IF($W26=0,0,HVAC!$S126)</f>
        <v>0</v>
      </c>
    </row>
    <row r="27" spans="1:26" ht="14.95" x14ac:dyDescent="0.25">
      <c r="A27" s="320" t="s">
        <v>291</v>
      </c>
      <c r="B27" s="506" t="str">
        <f>'Plug Load'!$B12</f>
        <v xml:space="preserve">Install smart strip/PC management to control computers/printers </v>
      </c>
      <c r="C27" s="482">
        <f>IF($Q$38&gt;Benchmarking!$B$13*0.1*0.5,Q27*(Benchmarking!$B$13*0.1*0.5/$Q$38),Q27)</f>
        <v>0</v>
      </c>
      <c r="D27" s="482">
        <f>IF(ABS($R$38)&gt;Benchmarking!$B$16*0.1*0.5,R27*(Benchmarking!$B$16*0.1*0.5/$R$38),R27)</f>
        <v>0</v>
      </c>
      <c r="E27" s="482">
        <f>IF(ABS($S$38)&gt;Benchmarking!$B$20*0.1*0.5,S27*(Benchmarking!$B$20*0.1*0.5/ABS($S$38)),S27)</f>
        <v>0</v>
      </c>
      <c r="F27" s="482">
        <f>IF(ABS($T$38)&gt;Benchmarking!$B$20*0.1*0.5,T27*(Benchmarking!$B$20*0.1*0.5/ABS($T$38)),T27)</f>
        <v>0</v>
      </c>
      <c r="G27" s="482">
        <f>IF(ABS($U$38)&gt;Benchmarking!$B$20*0.1*0.5,U27*(Benchmarking!$B$20*0.1*0.5/ABS($U$38)),U27)</f>
        <v>0</v>
      </c>
      <c r="H27" s="620">
        <f>$D27*Benchmarking!$E$23*0.8+$E27*Benchmarking!$E$24+$F27*Benchmarking!$E$25+$G27*Benchmarking!$E$26</f>
        <v>0</v>
      </c>
      <c r="I27" s="605">
        <f>IF($H27=0,0,'Plug Load'!$C23)</f>
        <v>0</v>
      </c>
      <c r="J27" s="621">
        <f>IF(I27=0,0,'Plug Load'!C24)</f>
        <v>0</v>
      </c>
      <c r="K27" s="325">
        <f t="shared" si="0"/>
        <v>0</v>
      </c>
      <c r="L27" s="363">
        <f>IF(I27=0,0,'Plug Load'!G27)</f>
        <v>0</v>
      </c>
      <c r="O27" s="317" t="s">
        <v>291</v>
      </c>
      <c r="P27" s="318" t="str">
        <f>'Plug Load'!$B12</f>
        <v xml:space="preserve">Install smart strip/PC management to control computers/printers </v>
      </c>
      <c r="Q27" s="485">
        <f>'Plug Load'!$T21</f>
        <v>0</v>
      </c>
      <c r="R27" s="485">
        <f>'Plug Load'!$T22</f>
        <v>0</v>
      </c>
      <c r="S27" s="485">
        <f>'Plug Load'!$T23</f>
        <v>0</v>
      </c>
      <c r="T27" s="485">
        <f>IF('Plug Load'!$V24="propane",'Plug Load'!$T24,0)</f>
        <v>0</v>
      </c>
      <c r="U27" s="485">
        <f>IF('Plug Load'!$V24="propane",0,'Plug Load'!$T24)</f>
        <v>0</v>
      </c>
      <c r="V27" s="610">
        <f>'Plug Load'!$T25</f>
        <v>0</v>
      </c>
      <c r="W27" s="610">
        <f>IF($V27=0,0,'Plug Load'!$C23)</f>
        <v>0</v>
      </c>
      <c r="X27" s="610">
        <f>IF($V27=0,0,'Plug Load'!$C24)</f>
        <v>0</v>
      </c>
      <c r="Y27" s="306">
        <f>IF($W27=0,0,'Plug Load'!$T26)</f>
        <v>0</v>
      </c>
      <c r="Z27" s="319">
        <f>IF($W27=0,0,'Plug Load'!$T27)</f>
        <v>0</v>
      </c>
    </row>
    <row r="28" spans="1:26" ht="15.8" thickBot="1" x14ac:dyDescent="0.3">
      <c r="A28" s="186" t="s">
        <v>292</v>
      </c>
      <c r="B28" s="507" t="str">
        <f>'Plug Load'!$B13</f>
        <v>Install vending machine occupancy control</v>
      </c>
      <c r="C28" s="481">
        <f>IF($Q$38&gt;Benchmarking!$B$13*0.1*0.5,Q28*(Benchmarking!$B$13*0.1*0.5/$Q$38),Q28)</f>
        <v>0</v>
      </c>
      <c r="D28" s="481">
        <f>IF(ABS($R$38)&gt;Benchmarking!$B$16*0.1*0.5,R28*(Benchmarking!$B$16*0.1*0.5/$R$38),R28)</f>
        <v>0</v>
      </c>
      <c r="E28" s="481">
        <f>IF(ABS($S$38)&gt;Benchmarking!$B$20*0.1*0.5,S28*(Benchmarking!B20*0.1*0.5/ABS($S$38)),S28)</f>
        <v>0</v>
      </c>
      <c r="F28" s="481">
        <f>IF(ABS($T$38)&gt;Benchmarking!$B$20*0.1*0.5,T28*(Benchmarking!C20*0.1*0.5/ABS($T$38)),T28)</f>
        <v>0</v>
      </c>
      <c r="G28" s="481">
        <f>IF(ABS($U$38)&gt;Benchmarking!$B$20*0.1*0.5,U28*(Benchmarking!D20*0.1*0.5/ABS($U$38)),U28)</f>
        <v>0</v>
      </c>
      <c r="H28" s="616">
        <f>$D28*Benchmarking!$E$23*0.8+$E28*Benchmarking!$E$24+$F28*Benchmarking!$E$25+$G28*Benchmarking!$E$26</f>
        <v>0</v>
      </c>
      <c r="I28" s="609">
        <f>IF($H28=0,0,'Plug Load'!$C34)</f>
        <v>0</v>
      </c>
      <c r="J28" s="622">
        <f>IF(I28=0,0,'Plug Load'!C35)</f>
        <v>0</v>
      </c>
      <c r="K28" s="322">
        <f t="shared" si="0"/>
        <v>0</v>
      </c>
      <c r="L28" s="403">
        <f>IF(I28=0,0,'Plug Load'!G38)</f>
        <v>0</v>
      </c>
      <c r="O28" s="307" t="s">
        <v>292</v>
      </c>
      <c r="P28" s="327" t="str">
        <f>'Plug Load'!$B13</f>
        <v>Install vending machine occupancy control</v>
      </c>
      <c r="Q28" s="486">
        <f>'Plug Load'!$T32</f>
        <v>0</v>
      </c>
      <c r="R28" s="486">
        <f>'Plug Load'!$T33</f>
        <v>0</v>
      </c>
      <c r="S28" s="486">
        <f>'Plug Load'!$T34</f>
        <v>0</v>
      </c>
      <c r="T28" s="486">
        <f>IF('Plug Load'!$V35="propane",'Plug Load'!$T35,0)</f>
        <v>0</v>
      </c>
      <c r="U28" s="486">
        <f>IF('Plug Load'!$V35="propane",0,'Plug Load'!$T35)</f>
        <v>0</v>
      </c>
      <c r="V28" s="611">
        <f>'Plug Load'!$T36</f>
        <v>0</v>
      </c>
      <c r="W28" s="611">
        <f>IF($V28=0,0,'Plug Load'!$C34)</f>
        <v>0</v>
      </c>
      <c r="X28" s="611">
        <f>IF($V28=0,0,'Plug Load'!$C35)</f>
        <v>0</v>
      </c>
      <c r="Y28" s="328">
        <f>IF($W28=0,0,'Plug Load'!$T37)</f>
        <v>0</v>
      </c>
      <c r="Z28" s="329">
        <f>IF($W28=0,0,'Plug Load'!$T38)</f>
        <v>0</v>
      </c>
    </row>
    <row r="29" spans="1:26" s="128" customFormat="1" ht="14.95" x14ac:dyDescent="0.25">
      <c r="A29" s="320" t="s">
        <v>300</v>
      </c>
      <c r="B29" s="508" t="s">
        <v>511</v>
      </c>
      <c r="C29" s="482">
        <f>IF($Q$37&gt;Benchmarking!$B$13*0.5*0.5,Q29*(Benchmarking!$B$13*0.5*0.5/$Q$37),Q29)</f>
        <v>0</v>
      </c>
      <c r="D29" s="482">
        <f>IF($R$37&gt;(Benchmarking!$B$16)*0.5*0.5,R29*(Benchmarking!$B$16*0.5*0.5/$R$37),R29)</f>
        <v>0</v>
      </c>
      <c r="E29" s="482">
        <f>IF(S$37=0,0,IF(ABS(S$37)&gt;Benchmarking!$B$20*0.5*0.5,(SIGN(S29)*S29*Benchmarking!$B$20*0.5*0.5/S$37),S29))</f>
        <v>0</v>
      </c>
      <c r="F29" s="482">
        <f>IF(ABS(T29)&gt;(Benchmarking!$B$23)*0.5*0.2,SIGN(T29)*ABS(T29*(Benchmarking!$B$23)*0.5*0.2/T37),T29)</f>
        <v>0</v>
      </c>
      <c r="G29" s="482">
        <f>IF(ABS(U29)&gt;(Benchmarking!$B$26)*0.5*0.2,SIGN(U29)*ABS(U29*(Benchmarking!$B$26)*0.5*0.2/U37),U29)</f>
        <v>0</v>
      </c>
      <c r="H29" s="620">
        <f>$D29*Benchmarking!$E$23+$E29*Benchmarking!$E$24+$F29*Benchmarking!$E$25+$G29*Benchmarking!$E$26</f>
        <v>0</v>
      </c>
      <c r="I29" s="605">
        <f>IF(H29=0,0,'Bldg Envelope'!C14)</f>
        <v>0</v>
      </c>
      <c r="J29" s="605">
        <f>IF(I29=0,0,'Bldg Envelope'!$C$15+'Bldg Envelope'!$C$16)</f>
        <v>0</v>
      </c>
      <c r="K29" s="325">
        <f t="shared" si="0"/>
        <v>0</v>
      </c>
      <c r="L29" s="363">
        <f>IF(I29=0,0,'Bldg Envelope'!G15)</f>
        <v>0</v>
      </c>
      <c r="O29" s="320" t="s">
        <v>300</v>
      </c>
      <c r="P29" s="365" t="s">
        <v>511</v>
      </c>
      <c r="Q29" s="482">
        <f>'Bldg Envelope'!N9</f>
        <v>0</v>
      </c>
      <c r="R29" s="482">
        <f>'Bldg Envelope'!M9</f>
        <v>0</v>
      </c>
      <c r="S29" s="482">
        <f>'Bldg Envelope'!O9</f>
        <v>0</v>
      </c>
      <c r="T29" s="482">
        <f>IF('Bldg Envelope'!U12="propane",'Bldg Envelope'!S12,0)</f>
        <v>0</v>
      </c>
      <c r="U29" s="482">
        <f>IF('Bldg Envelope'!U12="propane",0,'Bldg Envelope'!S12)</f>
        <v>0</v>
      </c>
      <c r="V29" s="605">
        <f>'Bldg Envelope'!S13</f>
        <v>0</v>
      </c>
      <c r="W29" s="605">
        <f>'Bldg Envelope'!C14</f>
        <v>0</v>
      </c>
      <c r="X29" s="605">
        <f>IF(W29=0,0,'Bldg Envelope'!$C$15+'Bldg Envelope'!$C$16)</f>
        <v>0</v>
      </c>
      <c r="Y29" s="325">
        <f>'Bldg Envelope'!S14</f>
        <v>0</v>
      </c>
      <c r="Z29" s="326">
        <f>'Bldg Envelope'!S15</f>
        <v>0</v>
      </c>
    </row>
    <row r="30" spans="1:26" s="128" customFormat="1" ht="14.95" x14ac:dyDescent="0.25">
      <c r="A30" s="602" t="s">
        <v>509</v>
      </c>
      <c r="B30" s="502" t="s">
        <v>634</v>
      </c>
      <c r="C30" s="480">
        <f>IF($Q$37&gt;Benchmarking!$B$13*0.5*0.5,Q30*(Benchmarking!$B$13*0.5*0.5/$Q$37),Q30)</f>
        <v>0</v>
      </c>
      <c r="D30" s="480">
        <f>IF($R$37&gt;(Benchmarking!$B$16)*0.5*0.2,R30*(Benchmarking!$B$16*0.5*0.5/$R$37),R30)</f>
        <v>0</v>
      </c>
      <c r="E30" s="480">
        <f>IF(S$37=0,0,IF(ABS(S$37)&gt;Benchmarking!$B$20*0.5*0.5,(SIGN(S30)*S30*Benchmarking!$B$20*0.5*0.5/S$37),S30))</f>
        <v>0</v>
      </c>
      <c r="F30" s="480">
        <f>IF(ABS(T30)&gt;(Benchmarking!$B$23)*0.5*0.15,SIGN(T30)*ABS(T30*(Benchmarking!$B$23)*0.5*0.15/T37),T30)</f>
        <v>0</v>
      </c>
      <c r="G30" s="480">
        <f>IF(ABS(U30)&gt;(Benchmarking!$B$26)*0.5*0.15,SIGN(U30)*ABS(U30*(Benchmarking!$B$26)*0.5*0.15/U37),U30)</f>
        <v>0</v>
      </c>
      <c r="H30" s="607">
        <f>$D30*Benchmarking!$E$23+$E30*Benchmarking!$E$24+$F30*Benchmarking!$E$25+$G30*Benchmarking!$E$26</f>
        <v>0</v>
      </c>
      <c r="I30" s="606">
        <f>IF(H30=0,0,'Bldg Envelope'!C24)</f>
        <v>0</v>
      </c>
      <c r="J30" s="606">
        <f>IF(I30=0,0,'Bldg Envelope'!$C$25+'Bldg Envelope'!$C$26)</f>
        <v>0</v>
      </c>
      <c r="K30" s="7">
        <f t="shared" ref="K30" si="2">IF(H30=0,0,(I30-J30)/H30)</f>
        <v>0</v>
      </c>
      <c r="L30" s="470">
        <f>IF(I30=0,0,'Bldg Envelope'!G25)</f>
        <v>0</v>
      </c>
      <c r="O30" s="602" t="s">
        <v>509</v>
      </c>
      <c r="P30" s="474" t="s">
        <v>634</v>
      </c>
      <c r="Q30" s="480">
        <f>'Bldg Envelope'!N19</f>
        <v>0</v>
      </c>
      <c r="R30" s="480">
        <f>'Bldg Envelope'!M19</f>
        <v>0</v>
      </c>
      <c r="S30" s="480">
        <f>'Bldg Envelope'!O19</f>
        <v>0</v>
      </c>
      <c r="T30" s="480">
        <f>IF('Bldg Envelope'!$U22="propane",'Bldg Envelope'!$S22,0)</f>
        <v>0</v>
      </c>
      <c r="U30" s="480">
        <f>IF('Bldg Envelope'!$U22="propane",0,'Bldg Envelope'!$S22)</f>
        <v>0</v>
      </c>
      <c r="V30" s="606">
        <f>'Bldg Envelope'!S23</f>
        <v>0</v>
      </c>
      <c r="W30" s="606">
        <f>'Bldg Envelope'!C24</f>
        <v>0</v>
      </c>
      <c r="X30" s="606">
        <f>IF(W30=0,0,'Bldg Envelope'!$C$25+'Bldg Envelope'!$C$26)</f>
        <v>0</v>
      </c>
      <c r="Y30" s="7">
        <f>'Bldg Envelope'!S24</f>
        <v>0</v>
      </c>
      <c r="Z30" s="15">
        <f>'Bldg Envelope'!S25</f>
        <v>0</v>
      </c>
    </row>
    <row r="31" spans="1:26" s="390" customFormat="1" ht="15.8" thickBot="1" x14ac:dyDescent="0.3">
      <c r="A31" s="603" t="s">
        <v>510</v>
      </c>
      <c r="B31" s="503" t="s">
        <v>512</v>
      </c>
      <c r="C31" s="481">
        <f>IF($Q$37&gt;Benchmarking!$B$13*0.5*0.5,Q31*(Benchmarking!$B$13*0.5*0.5/$Q$37),Q31)</f>
        <v>0</v>
      </c>
      <c r="D31" s="481">
        <f>IF($R$37&gt;(Benchmarking!$B$16)*0.5*0.15,R31*(Benchmarking!$B$16*0.5*0.5/$R$37),R31)</f>
        <v>0</v>
      </c>
      <c r="E31" s="481">
        <f>IF(S$37=0,0,IF(ABS(S$37)&gt;Benchmarking!$B$20*0.5*0.5,(SIGN(S31)*S31*Benchmarking!$B$20*0.5*0.5/S$37),S31))</f>
        <v>0</v>
      </c>
      <c r="F31" s="481">
        <f>IF(ABS(T31)&gt;(Benchmarking!$B$23)*0.5*0.1,SIGN(T31)*ABS(T31*(Benchmarking!$B$23)*0.5*0.1/T37),T31)</f>
        <v>0</v>
      </c>
      <c r="G31" s="481">
        <f>IF(ABS(U31)&gt;(Benchmarking!$B$26)*0.5*0.1,SIGN(U31)*ABS(U31*(Benchmarking!$B$26)*0.5*0.1/U37),U31)</f>
        <v>0</v>
      </c>
      <c r="H31" s="616">
        <f>$D31*Benchmarking!$E$23+$E31*Benchmarking!$E$24+$F31*Benchmarking!$E$25+$G31*Benchmarking!$E$26</f>
        <v>0</v>
      </c>
      <c r="I31" s="609">
        <f>IF(H31=0,0,'Bldg Envelope'!C34)</f>
        <v>0</v>
      </c>
      <c r="J31" s="609">
        <f>IF(I31=0,0,'Bldg Envelope'!$C$35+'Bldg Envelope'!$C$35)</f>
        <v>0</v>
      </c>
      <c r="K31" s="322">
        <f t="shared" ref="K31" si="3">IF(H31=0,0,(I31-J31)/H31)</f>
        <v>0</v>
      </c>
      <c r="L31" s="403">
        <f>IF(I31=0,0,'Bldg Envelope'!G35)</f>
        <v>0</v>
      </c>
      <c r="O31" s="603" t="s">
        <v>510</v>
      </c>
      <c r="P31" s="402" t="s">
        <v>512</v>
      </c>
      <c r="Q31" s="481">
        <f>'Bldg Envelope'!N29</f>
        <v>0</v>
      </c>
      <c r="R31" s="481">
        <f>'Bldg Envelope'!M29</f>
        <v>0</v>
      </c>
      <c r="S31" s="481">
        <f>'Bldg Envelope'!O29</f>
        <v>0</v>
      </c>
      <c r="T31" s="481">
        <f>IF('Bldg Envelope'!$U32="propane",'Bldg Envelope'!$S32,0)</f>
        <v>0</v>
      </c>
      <c r="U31" s="481">
        <f>IF('Bldg Envelope'!$U32="propane",0,'Bldg Envelope'!$S32)</f>
        <v>0</v>
      </c>
      <c r="V31" s="609">
        <f>'Bldg Envelope'!S33</f>
        <v>0</v>
      </c>
      <c r="W31" s="609">
        <f>'Bldg Envelope'!C34</f>
        <v>0</v>
      </c>
      <c r="X31" s="609">
        <f>IF(W31=0,0,'Bldg Envelope'!$C$35+'Bldg Envelope'!$C$35)</f>
        <v>0</v>
      </c>
      <c r="Y31" s="322">
        <f>'Bldg Envelope'!S34</f>
        <v>0</v>
      </c>
      <c r="Z31" s="323">
        <f>'Bldg Envelope'!S35</f>
        <v>0</v>
      </c>
    </row>
    <row r="32" spans="1:26" s="128" customFormat="1" ht="15.8" thickBot="1" x14ac:dyDescent="0.3">
      <c r="A32" s="471" t="s">
        <v>635</v>
      </c>
      <c r="B32" s="509" t="s">
        <v>661</v>
      </c>
      <c r="C32" s="487">
        <f>Q32</f>
        <v>0</v>
      </c>
      <c r="D32" s="491">
        <f>R32</f>
        <v>0</v>
      </c>
      <c r="E32" s="487">
        <v>0</v>
      </c>
      <c r="F32" s="487">
        <v>0</v>
      </c>
      <c r="G32" s="487">
        <v>0</v>
      </c>
      <c r="H32" s="623">
        <f>$D32*Benchmarking!$E$23+$E32*Benchmarking!$E$24+$F32*Benchmarking!$E$25+$G32*Benchmarking!$E$26</f>
        <v>0</v>
      </c>
      <c r="I32" s="613">
        <f>IF(H32=0,0,'EE Transformer'!C26)</f>
        <v>0</v>
      </c>
      <c r="J32" s="613">
        <f>IF(I32=0,0,'EE Transformer'!C27)</f>
        <v>0</v>
      </c>
      <c r="K32" s="472">
        <f>IF(I32=0,0,'EE Transformer'!I19)</f>
        <v>0</v>
      </c>
      <c r="L32" s="473">
        <f>IF(I32=0,0,'EE Transformer'!I20)</f>
        <v>0</v>
      </c>
      <c r="O32" s="186" t="s">
        <v>635</v>
      </c>
      <c r="P32" s="407" t="str">
        <f>B32</f>
        <v>Install new low voltage dry type distribution transformers</v>
      </c>
      <c r="Q32" s="487">
        <f>'EE Transformer'!U14</f>
        <v>0</v>
      </c>
      <c r="R32" s="488">
        <f>'EE Transformer'!U15</f>
        <v>0</v>
      </c>
      <c r="S32" s="488">
        <f>'EE Transformer'!I16</f>
        <v>0</v>
      </c>
      <c r="T32" s="488">
        <v>0</v>
      </c>
      <c r="U32" s="488">
        <v>0</v>
      </c>
      <c r="V32" s="612">
        <f>'EE Transformer'!U18</f>
        <v>0</v>
      </c>
      <c r="W32" s="612">
        <f>'EE Transformer'!C26</f>
        <v>0</v>
      </c>
      <c r="X32" s="612">
        <f>'EE Transformer'!C27+'EE Transformer'!C28</f>
        <v>0</v>
      </c>
      <c r="Y32" s="16">
        <f>'EE Transformer'!I19</f>
        <v>0</v>
      </c>
      <c r="Z32" s="313">
        <f>'EE Transformer'!U20</f>
        <v>0</v>
      </c>
    </row>
    <row r="33" spans="1:26" s="128" customFormat="1" ht="15.8" thickBot="1" x14ac:dyDescent="0.3">
      <c r="A33" s="330" t="s">
        <v>636</v>
      </c>
      <c r="B33" s="510" t="s">
        <v>69</v>
      </c>
      <c r="C33" s="488">
        <f>'PV '!$G21</f>
        <v>0</v>
      </c>
      <c r="D33" s="488">
        <f>'PV '!$G20</f>
        <v>0</v>
      </c>
      <c r="E33" s="488">
        <v>0</v>
      </c>
      <c r="F33" s="488">
        <v>0</v>
      </c>
      <c r="G33" s="488">
        <v>0</v>
      </c>
      <c r="H33" s="612">
        <f>'PV '!$G22</f>
        <v>0</v>
      </c>
      <c r="I33" s="612">
        <f>IF($H33=0,0,'PV '!$C27)</f>
        <v>0</v>
      </c>
      <c r="J33" s="612">
        <f>IF($I33=0,0,'PV '!$M$29+'PV '!$C$26+'PV '!$C$24)</f>
        <v>0</v>
      </c>
      <c r="K33" s="16">
        <f>IF($I33=0,0,'PV '!$G24)</f>
        <v>0</v>
      </c>
      <c r="L33" s="364">
        <f>IF($I33=0,0,'PV '!$G25)</f>
        <v>0</v>
      </c>
      <c r="O33" s="186" t="s">
        <v>636</v>
      </c>
      <c r="P33" s="331" t="s">
        <v>69</v>
      </c>
      <c r="Q33" s="487">
        <f>'PV '!$G21</f>
        <v>0</v>
      </c>
      <c r="R33" s="487">
        <f>'PV '!$G20</f>
        <v>0</v>
      </c>
      <c r="S33" s="487">
        <v>0</v>
      </c>
      <c r="T33" s="487">
        <v>0</v>
      </c>
      <c r="U33" s="487">
        <v>0</v>
      </c>
      <c r="V33" s="613">
        <f>'PV '!$G22</f>
        <v>0</v>
      </c>
      <c r="W33" s="613">
        <f>IF($V33=0,0,'PV '!$C27)</f>
        <v>0</v>
      </c>
      <c r="X33" s="612">
        <f>IF($I33=0,0,'PV '!$M$29+'PV '!$C$26+'PV '!$C$24)</f>
        <v>0</v>
      </c>
      <c r="Y33" s="332">
        <f>IF($W33=0,0,'PV '!$G24)</f>
        <v>0</v>
      </c>
      <c r="Z33" s="333">
        <f>IF($W33=0,0,'PV '!$G25)</f>
        <v>0</v>
      </c>
    </row>
    <row r="34" spans="1:26" ht="15.8" thickBot="1" x14ac:dyDescent="0.3">
      <c r="A34" s="330"/>
      <c r="B34" s="134" t="s">
        <v>35</v>
      </c>
      <c r="C34" s="488">
        <f>SUM(C10:C33)</f>
        <v>0</v>
      </c>
      <c r="D34" s="488">
        <f t="shared" ref="D34:I34" si="4">SUM(D10:D33)</f>
        <v>0</v>
      </c>
      <c r="E34" s="488">
        <f t="shared" si="4"/>
        <v>0</v>
      </c>
      <c r="F34" s="488">
        <f t="shared" si="4"/>
        <v>0</v>
      </c>
      <c r="G34" s="488">
        <f t="shared" si="4"/>
        <v>0</v>
      </c>
      <c r="H34" s="612">
        <f t="shared" si="4"/>
        <v>0</v>
      </c>
      <c r="I34" s="612">
        <f t="shared" si="4"/>
        <v>0</v>
      </c>
      <c r="J34" s="612">
        <f>SUM(J10:J33)</f>
        <v>0</v>
      </c>
      <c r="K34" s="16">
        <f>IF(H34=0,0,(I34-J34)/H34)</f>
        <v>0</v>
      </c>
      <c r="L34" s="313" t="e">
        <f>IF($H$34=0,0,(Lighting!$Y$29+Lighting!$Y$39+Lighting!$Y$49+Lighting!$Y$61+Lighting!$Y$74+Lighting!$Y$84+Lighting!$Y$96+Lighting!$Y$108+HVAC!$Y$30+HVAC!$Y$45+HVAC!$Y$61+HVAC!$Y$71+HVAC!$Y$82+HVAC!$Y$93+HVAC!$Y$104+HVAC!$Y$115+HVAC!$Y$126+'Plug Load'!$Z$27+'Plug Load'!$Z$38+'Bldg Envelope'!Y15+'Bldg Envelope'!Y25+'Bldg Envelope'!Y35+'EE Transformer'!AA19)+IF('PV '!$C$28="Yes",'PV '!$M$28,'PV '!$M$27))/($I$34-$J$34-($I$34*0.05))</f>
        <v>#DIV/0!</v>
      </c>
      <c r="O34" s="330"/>
      <c r="P34" s="134" t="s">
        <v>35</v>
      </c>
      <c r="Q34" s="488">
        <f>SUM(Q10:Q33)</f>
        <v>0</v>
      </c>
      <c r="R34" s="488">
        <f t="shared" ref="R34:W34" si="5">SUM(R10:R33)</f>
        <v>0</v>
      </c>
      <c r="S34" s="488">
        <f t="shared" si="5"/>
        <v>0</v>
      </c>
      <c r="T34" s="488">
        <f t="shared" si="5"/>
        <v>0</v>
      </c>
      <c r="U34" s="488">
        <f t="shared" si="5"/>
        <v>0</v>
      </c>
      <c r="V34" s="612">
        <f t="shared" si="5"/>
        <v>0</v>
      </c>
      <c r="W34" s="612">
        <f t="shared" si="5"/>
        <v>0</v>
      </c>
      <c r="X34" s="612">
        <f>SUM(X10:X33)</f>
        <v>0</v>
      </c>
      <c r="Y34" s="16">
        <f>IF(V34=0,0,(W34-X34)/V34)</f>
        <v>0</v>
      </c>
      <c r="Z34" s="313">
        <f>IF($H$34=0,0,((Lighting!$Y$28+Lighting!$Y$38+Lighting!$Y$48+Lighting!$Y$60+Lighting!$Y$73+Lighting!$Y$83+Lighting!$Y$95+Lighting!$Y$107+HVAC!$Y$29+HVAC!$Y$44+HVAC!$Y$60+HVAC!$Y$70+HVAC!$Y$81+HVAC!$Y$92+HVAC!$Y$103+HVAC!$Y$114+HVAC!$Y$125+'Plug Load'!$Z$26+'Plug Load'!$Z$37+'Bldg Envelope'!Y14+'Bldg Envelope'!Y24+'Bldg Envelope'!Y34+'EE Transformer'!AA19)+IF('PV '!$C$28="Yes",'PV '!$M$28,'PV '!$M$27))/($W$34-$X$34-($W$34*0.05)))</f>
        <v>0</v>
      </c>
    </row>
    <row r="35" spans="1:26" ht="14.95" x14ac:dyDescent="0.25">
      <c r="F35" s="315"/>
    </row>
    <row r="36" spans="1:26" ht="14.95" x14ac:dyDescent="0.25">
      <c r="B36" s="304" t="s">
        <v>492</v>
      </c>
      <c r="O36" s="308" t="s">
        <v>453</v>
      </c>
      <c r="P36" s="511" t="s">
        <v>451</v>
      </c>
      <c r="Q36" s="489">
        <f t="shared" ref="Q36:X36" si="6">SUM(Q10:Q17)</f>
        <v>0</v>
      </c>
      <c r="R36" s="489">
        <f t="shared" si="6"/>
        <v>0</v>
      </c>
      <c r="S36" s="489">
        <f t="shared" si="6"/>
        <v>0</v>
      </c>
      <c r="T36" s="489">
        <f t="shared" si="6"/>
        <v>0</v>
      </c>
      <c r="U36" s="489">
        <f t="shared" si="6"/>
        <v>0</v>
      </c>
      <c r="V36" s="607">
        <f t="shared" si="6"/>
        <v>0</v>
      </c>
      <c r="W36" s="607">
        <f t="shared" si="6"/>
        <v>0</v>
      </c>
      <c r="X36" s="607">
        <f t="shared" si="6"/>
        <v>0</v>
      </c>
      <c r="Y36" s="7">
        <f>IF(V36=0,0,(W36-X36)/V36)</f>
        <v>0</v>
      </c>
      <c r="Z36" s="249">
        <f>IF($W36=0,0,(Lighting!$Y28+Lighting!$Y38+Lighting!$Y48+Lighting!$Y60+Lighting!$Y73+Lighting!$Y83+Lighting!$Y95+Lighting!$Y107)/($W36-$X36-($W36*0.05)))</f>
        <v>0</v>
      </c>
    </row>
    <row r="37" spans="1:26" ht="14.95" x14ac:dyDescent="0.25">
      <c r="B37" s="304" t="s">
        <v>665</v>
      </c>
      <c r="O37" s="308" t="s">
        <v>453</v>
      </c>
      <c r="P37" s="309" t="s">
        <v>681</v>
      </c>
      <c r="Q37" s="489">
        <f>SUM(Q18:Q26)+SUM(Q29:Q31)</f>
        <v>0</v>
      </c>
      <c r="R37" s="489">
        <f>SUM(R18:R26)+SUM(R29:R31)</f>
        <v>0</v>
      </c>
      <c r="S37" s="489">
        <f>SUM(S18:S26)+SUM(S29:S31)</f>
        <v>0</v>
      </c>
      <c r="T37" s="489">
        <f>SUM(T18:T26)</f>
        <v>0</v>
      </c>
      <c r="U37" s="489">
        <f>SUM(U18:U26)</f>
        <v>0</v>
      </c>
      <c r="V37" s="607">
        <f>SUM(V18:V26)</f>
        <v>0</v>
      </c>
      <c r="W37" s="607">
        <f>SUM(W18:W26)</f>
        <v>0</v>
      </c>
      <c r="X37" s="607">
        <f>SUM(X18:X26)</f>
        <v>0</v>
      </c>
      <c r="Y37" s="7">
        <f t="shared" ref="Y37:Y38" si="7">IF(V37=0,0,(W37-X37)/V37)</f>
        <v>0</v>
      </c>
      <c r="Z37" s="249">
        <f>IF($W37=0,0,(HVAC!$Y29+HVAC!$Y44+HVAC!$Y60+HVAC!$Y70+HVAC!$Y81+HVAC!$Y92+HVAC!$Y103+HVAC!$Y114+HVAC!$Y125)/($W37-$X37-($W37*0.05)))</f>
        <v>0</v>
      </c>
    </row>
    <row r="38" spans="1:26" ht="14.95" x14ac:dyDescent="0.25">
      <c r="B38" s="304" t="s">
        <v>666</v>
      </c>
      <c r="O38" s="308" t="s">
        <v>453</v>
      </c>
      <c r="P38" s="309" t="s">
        <v>452</v>
      </c>
      <c r="Q38" s="489">
        <f t="shared" ref="Q38:X38" si="8">SUM(Q27:Q28)</f>
        <v>0</v>
      </c>
      <c r="R38" s="489">
        <f t="shared" si="8"/>
        <v>0</v>
      </c>
      <c r="S38" s="489">
        <f t="shared" si="8"/>
        <v>0</v>
      </c>
      <c r="T38" s="489">
        <f t="shared" si="8"/>
        <v>0</v>
      </c>
      <c r="U38" s="489">
        <f t="shared" si="8"/>
        <v>0</v>
      </c>
      <c r="V38" s="607">
        <f t="shared" si="8"/>
        <v>0</v>
      </c>
      <c r="W38" s="607">
        <f t="shared" si="8"/>
        <v>0</v>
      </c>
      <c r="X38" s="607">
        <f t="shared" si="8"/>
        <v>0</v>
      </c>
      <c r="Y38" s="7">
        <f t="shared" si="7"/>
        <v>0</v>
      </c>
      <c r="Z38" s="249">
        <f>IF($W38=0,0,('Plug Load'!$Z26+'Plug Load'!$Z37+'PV '!$M30)/($W38-$X38-($W38*0.05)))</f>
        <v>0</v>
      </c>
    </row>
    <row r="39" spans="1:26" ht="14.95" x14ac:dyDescent="0.25">
      <c r="B39" s="304" t="s">
        <v>664</v>
      </c>
      <c r="O39" s="408" t="s">
        <v>662</v>
      </c>
      <c r="P39" s="309" t="s">
        <v>35</v>
      </c>
      <c r="Q39" s="489">
        <f>SUM(Q36:Q38)</f>
        <v>0</v>
      </c>
      <c r="R39" s="489">
        <f t="shared" ref="R39:U39" si="9">SUM(R36:R38)</f>
        <v>0</v>
      </c>
      <c r="S39" s="489">
        <f t="shared" si="9"/>
        <v>0</v>
      </c>
      <c r="T39" s="489">
        <f t="shared" si="9"/>
        <v>0</v>
      </c>
      <c r="U39" s="489">
        <f t="shared" si="9"/>
        <v>0</v>
      </c>
    </row>
    <row r="40" spans="1:26" ht="14.95" x14ac:dyDescent="0.25">
      <c r="B40" s="304" t="s">
        <v>663</v>
      </c>
    </row>
    <row r="50" spans="10:10" x14ac:dyDescent="0.25">
      <c r="J50" s="315"/>
    </row>
  </sheetData>
  <sheetProtection password="C33D" sheet="1" objects="1" scenarios="1" selectLockedCells="1" selectUnlockedCells="1"/>
  <conditionalFormatting sqref="Q32:R32 C32:D32">
    <cfRule type="expression" dxfId="0" priority="1">
      <formula>IF("ERROR",)</formula>
    </cfRule>
  </conditionalFormatting>
  <pageMargins left="0.25" right="0.25" top="0.75" bottom="0.75" header="0.3" footer="0.3"/>
  <pageSetup paperSize="5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/>
  </sheetViews>
  <sheetFormatPr defaultRowHeight="14.3" x14ac:dyDescent="0.25"/>
  <cols>
    <col min="1" max="1" width="56" bestFit="1" customWidth="1"/>
    <col min="2" max="2" width="15.125" bestFit="1" customWidth="1"/>
    <col min="3" max="3" width="16.875" bestFit="1" customWidth="1"/>
    <col min="4" max="4" width="16.625" bestFit="1" customWidth="1"/>
    <col min="5" max="5" width="25.625" customWidth="1"/>
  </cols>
  <sheetData>
    <row r="1" spans="1:5" s="128" customFormat="1" x14ac:dyDescent="0.25">
      <c r="A1" s="4" t="s">
        <v>342</v>
      </c>
    </row>
    <row r="2" spans="1:5" x14ac:dyDescent="0.25">
      <c r="A2" s="136" t="s">
        <v>122</v>
      </c>
      <c r="B2" s="136" t="s">
        <v>123</v>
      </c>
      <c r="C2" s="136" t="s">
        <v>124</v>
      </c>
      <c r="D2" s="136" t="s">
        <v>125</v>
      </c>
      <c r="E2" s="254" t="s">
        <v>442</v>
      </c>
    </row>
    <row r="3" spans="1:5" x14ac:dyDescent="0.25">
      <c r="A3" s="137" t="s">
        <v>264</v>
      </c>
      <c r="B3" s="138">
        <v>275.5</v>
      </c>
      <c r="C3" s="138">
        <v>8.6875000000000008E-2</v>
      </c>
      <c r="D3" s="157">
        <v>-0.49042624999999995</v>
      </c>
      <c r="E3" s="128" t="s">
        <v>365</v>
      </c>
    </row>
    <row r="4" spans="1:5" x14ac:dyDescent="0.25">
      <c r="A4" s="137" t="s">
        <v>265</v>
      </c>
      <c r="B4" s="138">
        <v>86.433333333333323</v>
      </c>
      <c r="C4" s="138">
        <v>7.2366666666666676E-2</v>
      </c>
      <c r="D4" s="157">
        <v>-1.1176666666666668E-2</v>
      </c>
      <c r="E4" s="128" t="s">
        <v>365</v>
      </c>
    </row>
    <row r="5" spans="1:5" s="128" customFormat="1" x14ac:dyDescent="0.25">
      <c r="A5" s="137"/>
      <c r="B5" s="138"/>
      <c r="C5" s="138"/>
      <c r="D5" s="157"/>
    </row>
    <row r="6" spans="1:5" x14ac:dyDescent="0.25">
      <c r="A6" s="137" t="s">
        <v>344</v>
      </c>
      <c r="B6" s="138">
        <v>0</v>
      </c>
      <c r="C6" s="138">
        <v>0</v>
      </c>
      <c r="D6" s="157">
        <v>6.54</v>
      </c>
    </row>
    <row r="7" spans="1:5" x14ac:dyDescent="0.25">
      <c r="A7" s="137" t="s">
        <v>345</v>
      </c>
      <c r="B7" s="138">
        <v>0</v>
      </c>
      <c r="C7" s="138">
        <v>0</v>
      </c>
      <c r="D7" s="157">
        <v>3.073</v>
      </c>
    </row>
    <row r="8" spans="1:5" x14ac:dyDescent="0.25">
      <c r="A8" s="137" t="s">
        <v>346</v>
      </c>
      <c r="B8" s="138">
        <v>0</v>
      </c>
      <c r="C8" s="138">
        <v>0</v>
      </c>
      <c r="D8" s="157">
        <v>2.9632999999999998</v>
      </c>
    </row>
    <row r="9" spans="1:5" x14ac:dyDescent="0.25">
      <c r="A9" s="137" t="s">
        <v>347</v>
      </c>
      <c r="B9" s="138">
        <v>0</v>
      </c>
      <c r="C9" s="138">
        <v>0</v>
      </c>
      <c r="D9" s="157">
        <v>8.0032999999999994</v>
      </c>
    </row>
    <row r="10" spans="1:5" x14ac:dyDescent="0.25">
      <c r="A10" s="137" t="s">
        <v>348</v>
      </c>
      <c r="B10" s="138">
        <v>0</v>
      </c>
      <c r="C10" s="138">
        <v>0</v>
      </c>
      <c r="D10" s="157">
        <v>3.77</v>
      </c>
    </row>
    <row r="11" spans="1:5" x14ac:dyDescent="0.25">
      <c r="A11" s="137" t="s">
        <v>349</v>
      </c>
      <c r="B11" s="138">
        <v>0</v>
      </c>
      <c r="C11" s="138">
        <v>0</v>
      </c>
      <c r="D11" s="157">
        <v>3.6333000000000002</v>
      </c>
    </row>
    <row r="12" spans="1:5" x14ac:dyDescent="0.25">
      <c r="A12" s="137"/>
      <c r="B12" s="138"/>
      <c r="C12" s="138"/>
      <c r="D12" s="157"/>
    </row>
    <row r="13" spans="1:5" s="128" customFormat="1" x14ac:dyDescent="0.25">
      <c r="A13" s="137"/>
      <c r="B13" s="138"/>
      <c r="C13" s="138"/>
      <c r="D13" s="157"/>
    </row>
    <row r="14" spans="1:5" x14ac:dyDescent="0.25">
      <c r="A14" s="128" t="s">
        <v>315</v>
      </c>
      <c r="B14" s="128">
        <v>362.91666666666669</v>
      </c>
      <c r="C14" s="138">
        <v>9.1016666666666676E-2</v>
      </c>
      <c r="D14" s="157">
        <v>-3.4708333333333332</v>
      </c>
    </row>
    <row r="15" spans="1:5" x14ac:dyDescent="0.25">
      <c r="A15" s="128" t="s">
        <v>320</v>
      </c>
      <c r="B15" s="138">
        <v>394.79166666666663</v>
      </c>
      <c r="C15" s="138">
        <v>0.13724999999999998</v>
      </c>
      <c r="D15" s="157">
        <v>-2.1491666666666669</v>
      </c>
      <c r="E15">
        <f>B15/B14</f>
        <v>1.0878300803673937</v>
      </c>
    </row>
    <row r="16" spans="1:5" x14ac:dyDescent="0.25">
      <c r="A16" s="128" t="s">
        <v>316</v>
      </c>
      <c r="B16" s="138">
        <v>383.91666666666669</v>
      </c>
      <c r="C16" s="138">
        <v>0.20108333333333336</v>
      </c>
      <c r="D16" s="157">
        <v>-1.7493333333333336</v>
      </c>
      <c r="E16" s="128">
        <f>B16/B14</f>
        <v>1.0578645235361652</v>
      </c>
    </row>
    <row r="17" spans="1:5" x14ac:dyDescent="0.25">
      <c r="A17" s="128" t="s">
        <v>317</v>
      </c>
      <c r="B17" s="138">
        <v>533.91666666666663</v>
      </c>
      <c r="C17" s="138">
        <v>0.14302499999999999</v>
      </c>
      <c r="D17" s="157">
        <v>-6.0658333333333339</v>
      </c>
    </row>
    <row r="18" spans="1:5" x14ac:dyDescent="0.25">
      <c r="A18" s="128" t="s">
        <v>321</v>
      </c>
      <c r="B18" s="138">
        <v>553.83333333333337</v>
      </c>
      <c r="C18" s="138">
        <v>0.19737499999999997</v>
      </c>
      <c r="D18" s="157">
        <v>-4.03</v>
      </c>
      <c r="E18" s="128">
        <f>B18/B17</f>
        <v>1.0373029498985487</v>
      </c>
    </row>
    <row r="19" spans="1:5" x14ac:dyDescent="0.25">
      <c r="A19" s="128" t="s">
        <v>318</v>
      </c>
      <c r="B19" s="138">
        <v>467.66666666666669</v>
      </c>
      <c r="C19" s="138">
        <v>0.20063333333333333</v>
      </c>
      <c r="D19" s="157">
        <v>-3.2666666666666662</v>
      </c>
      <c r="E19" s="128">
        <f>B19/B17</f>
        <v>0.87591696581863598</v>
      </c>
    </row>
    <row r="20" spans="1:5" x14ac:dyDescent="0.25">
      <c r="A20" s="137"/>
      <c r="B20" s="138"/>
      <c r="C20" s="138"/>
      <c r="D20" s="157"/>
    </row>
    <row r="21" spans="1:5" x14ac:dyDescent="0.25">
      <c r="A21" s="128" t="s">
        <v>319</v>
      </c>
      <c r="B21" s="138">
        <v>707</v>
      </c>
      <c r="C21" s="138">
        <v>0.11860000000000001</v>
      </c>
      <c r="D21" s="157">
        <v>-1.3590000000000002E-3</v>
      </c>
    </row>
    <row r="22" spans="1:5" x14ac:dyDescent="0.25">
      <c r="A22" s="128" t="s">
        <v>322</v>
      </c>
      <c r="B22" s="138">
        <v>625.79999999999995</v>
      </c>
      <c r="C22" s="138">
        <v>0.25629999999999997</v>
      </c>
      <c r="D22" s="157">
        <v>-9.0459999999999998E-4</v>
      </c>
      <c r="E22" s="128">
        <f>B22/B21</f>
        <v>0.88514851485148505</v>
      </c>
    </row>
    <row r="23" spans="1:5" x14ac:dyDescent="0.25">
      <c r="A23" s="128" t="s">
        <v>323</v>
      </c>
      <c r="B23" s="138">
        <v>525.79999999999995</v>
      </c>
      <c r="C23" s="138">
        <v>0.19417999999999999</v>
      </c>
      <c r="D23" s="157">
        <v>-7.5359999999999989E-4</v>
      </c>
      <c r="E23" s="128">
        <f>B23/B21</f>
        <v>0.74370579915134361</v>
      </c>
    </row>
    <row r="24" spans="1:5" x14ac:dyDescent="0.25">
      <c r="A24" s="128" t="s">
        <v>324</v>
      </c>
      <c r="B24" s="138">
        <v>845.66666666666663</v>
      </c>
      <c r="C24" s="138">
        <v>0.16201666666666667</v>
      </c>
      <c r="D24" s="157">
        <v>2.1400000000000002E-4</v>
      </c>
    </row>
    <row r="25" spans="1:5" x14ac:dyDescent="0.25">
      <c r="A25" s="128" t="s">
        <v>325</v>
      </c>
      <c r="B25" s="138">
        <v>760.16666666666663</v>
      </c>
      <c r="C25" s="138">
        <v>0.27383333333333337</v>
      </c>
      <c r="D25" s="157">
        <v>-3.1394166666666668E-4</v>
      </c>
      <c r="E25" s="128">
        <f>B25/B24</f>
        <v>0.89889633425305482</v>
      </c>
    </row>
    <row r="26" spans="1:5" x14ac:dyDescent="0.25">
      <c r="A26" s="128" t="s">
        <v>326</v>
      </c>
      <c r="B26" s="138">
        <v>745.5</v>
      </c>
      <c r="C26" s="138">
        <v>0.40166666666666662</v>
      </c>
      <c r="D26" s="157">
        <v>-4.3866499999999998E-4</v>
      </c>
      <c r="E26" s="128">
        <f>B26/B24</f>
        <v>0.8815530153724872</v>
      </c>
    </row>
    <row r="27" spans="1:5" x14ac:dyDescent="0.25">
      <c r="A27" s="128" t="s">
        <v>327</v>
      </c>
      <c r="B27" s="138">
        <v>916.2</v>
      </c>
      <c r="C27" s="138">
        <v>0.16009999999999999</v>
      </c>
      <c r="D27" s="157">
        <v>2.5680000000000006E-4</v>
      </c>
    </row>
    <row r="28" spans="1:5" x14ac:dyDescent="0.25">
      <c r="A28" s="128" t="s">
        <v>328</v>
      </c>
      <c r="B28" s="138">
        <v>820.7</v>
      </c>
      <c r="C28" s="138">
        <v>0.29649999999999999</v>
      </c>
      <c r="D28" s="157">
        <v>-3.7673000000000003E-4</v>
      </c>
      <c r="E28" s="128">
        <f>B28/B27</f>
        <v>0.89576511678672777</v>
      </c>
    </row>
    <row r="29" spans="1:5" x14ac:dyDescent="0.25">
      <c r="A29" s="128" t="s">
        <v>329</v>
      </c>
      <c r="B29" s="138">
        <v>791.8</v>
      </c>
      <c r="C29" s="138">
        <v>0.43079999999999996</v>
      </c>
      <c r="D29" s="157">
        <v>-5.2639799999999997E-4</v>
      </c>
      <c r="E29" s="128">
        <f>B29/B27</f>
        <v>0.8642217856363239</v>
      </c>
    </row>
    <row r="30" spans="1:5" x14ac:dyDescent="0.25">
      <c r="A30" s="137"/>
      <c r="B30" s="138"/>
      <c r="C30" s="138"/>
      <c r="D30" s="157"/>
    </row>
    <row r="31" spans="1:5" s="128" customFormat="1" x14ac:dyDescent="0.25">
      <c r="A31" s="137"/>
      <c r="B31" s="138"/>
      <c r="C31" s="138"/>
      <c r="D31" s="157"/>
    </row>
    <row r="32" spans="1:5" x14ac:dyDescent="0.25">
      <c r="A32" s="137" t="s">
        <v>266</v>
      </c>
      <c r="B32" s="138">
        <v>24.299999999999997</v>
      </c>
      <c r="C32" s="138">
        <v>7.2710833333333334E-3</v>
      </c>
      <c r="D32" s="157">
        <v>-9.6083333333333437E-3</v>
      </c>
    </row>
    <row r="33" spans="1:8" x14ac:dyDescent="0.25">
      <c r="A33" s="137" t="s">
        <v>267</v>
      </c>
      <c r="B33" s="138">
        <v>10.3025</v>
      </c>
      <c r="C33" s="138">
        <v>3.1776666666666667E-3</v>
      </c>
      <c r="D33" s="157">
        <v>2.0499999999999685E-4</v>
      </c>
      <c r="E33" s="128" t="s">
        <v>354</v>
      </c>
    </row>
    <row r="34" spans="1:8" s="128" customFormat="1" x14ac:dyDescent="0.25">
      <c r="A34" s="137"/>
      <c r="B34" s="138"/>
      <c r="C34" s="138"/>
      <c r="D34" s="157"/>
    </row>
    <row r="35" spans="1:8" x14ac:dyDescent="0.25">
      <c r="A35" s="3"/>
      <c r="B35" s="3"/>
      <c r="C35" s="3"/>
      <c r="D35" s="3"/>
      <c r="E35" s="3"/>
    </row>
    <row r="36" spans="1:8" x14ac:dyDescent="0.25">
      <c r="A36" s="137" t="s">
        <v>437</v>
      </c>
      <c r="B36" s="138">
        <v>0</v>
      </c>
      <c r="C36" s="138">
        <v>0</v>
      </c>
      <c r="D36" s="157">
        <v>2.3741666666666661</v>
      </c>
      <c r="E36" s="3"/>
    </row>
    <row r="37" spans="1:8" x14ac:dyDescent="0.25">
      <c r="A37" s="137" t="s">
        <v>438</v>
      </c>
      <c r="B37" s="138">
        <v>0</v>
      </c>
      <c r="C37" s="138">
        <v>0</v>
      </c>
      <c r="D37" s="157">
        <v>3.1474999999999995</v>
      </c>
      <c r="E37" s="137"/>
      <c r="F37" s="138"/>
      <c r="G37" s="138"/>
      <c r="H37" s="157"/>
    </row>
    <row r="38" spans="1:8" x14ac:dyDescent="0.25">
      <c r="A38" s="137" t="s">
        <v>439</v>
      </c>
      <c r="B38" s="138">
        <v>0</v>
      </c>
      <c r="C38" s="138">
        <v>0</v>
      </c>
      <c r="D38" s="157">
        <v>3.835833333333333</v>
      </c>
      <c r="E38" s="137"/>
      <c r="F38" s="138"/>
      <c r="G38" s="138"/>
      <c r="H38" s="157"/>
    </row>
    <row r="39" spans="1:8" x14ac:dyDescent="0.25">
      <c r="A39" s="137" t="s">
        <v>268</v>
      </c>
      <c r="B39" s="138">
        <v>0</v>
      </c>
      <c r="C39" s="138">
        <v>0</v>
      </c>
      <c r="D39" s="157">
        <v>2.5533333333333332</v>
      </c>
      <c r="E39" s="3"/>
    </row>
    <row r="40" spans="1:8" x14ac:dyDescent="0.25">
      <c r="A40" s="137" t="s">
        <v>269</v>
      </c>
      <c r="B40" s="138">
        <v>0</v>
      </c>
      <c r="C40" s="138">
        <v>0</v>
      </c>
      <c r="D40" s="157">
        <v>3.3166666666666664</v>
      </c>
      <c r="E40" s="3"/>
    </row>
    <row r="41" spans="1:8" x14ac:dyDescent="0.25">
      <c r="A41" s="137" t="s">
        <v>270</v>
      </c>
      <c r="B41" s="138">
        <v>0</v>
      </c>
      <c r="C41" s="138">
        <v>0</v>
      </c>
      <c r="D41" s="157">
        <v>3.9958333333333336</v>
      </c>
      <c r="E41" s="3"/>
    </row>
    <row r="42" spans="1:8" x14ac:dyDescent="0.25">
      <c r="A42" s="137" t="s">
        <v>271</v>
      </c>
      <c r="B42" s="138">
        <v>0</v>
      </c>
      <c r="C42" s="138">
        <v>0</v>
      </c>
      <c r="D42" s="157">
        <v>2.065833333333333</v>
      </c>
      <c r="E42" s="3"/>
    </row>
    <row r="43" spans="1:8" x14ac:dyDescent="0.25">
      <c r="A43" s="137" t="s">
        <v>434</v>
      </c>
      <c r="B43" s="3"/>
      <c r="C43" s="3"/>
      <c r="D43" s="3">
        <f>SUM(D36:D42)/7</f>
        <v>3.0413095238095234</v>
      </c>
      <c r="E43" s="137"/>
      <c r="F43" s="138"/>
      <c r="G43" s="138"/>
      <c r="H43" s="157"/>
    </row>
    <row r="44" spans="1:8" s="128" customFormat="1" x14ac:dyDescent="0.25">
      <c r="A44" s="151"/>
      <c r="B44" s="3"/>
      <c r="C44" s="3"/>
      <c r="D44" s="3"/>
      <c r="E44" s="137"/>
      <c r="F44" s="138"/>
      <c r="G44" s="138"/>
      <c r="H44" s="157"/>
    </row>
    <row r="45" spans="1:8" x14ac:dyDescent="0.25">
      <c r="A45" s="177" t="s">
        <v>278</v>
      </c>
      <c r="B45" s="3">
        <v>45.199999999999996</v>
      </c>
      <c r="C45" s="3">
        <v>9.8066666666666677E-2</v>
      </c>
      <c r="D45" s="3">
        <v>-0.38478999999999997</v>
      </c>
      <c r="E45" s="137"/>
      <c r="F45" s="138"/>
      <c r="G45" s="138"/>
      <c r="H45" s="157"/>
    </row>
    <row r="46" spans="1:8" s="128" customFormat="1" x14ac:dyDescent="0.25">
      <c r="A46" s="177"/>
      <c r="B46" s="3"/>
      <c r="C46" s="3"/>
      <c r="D46" s="3"/>
      <c r="E46" s="137"/>
      <c r="F46" s="138"/>
      <c r="G46" s="138"/>
      <c r="H46" s="157"/>
    </row>
    <row r="47" spans="1:8" x14ac:dyDescent="0.25">
      <c r="A47" s="177" t="s">
        <v>440</v>
      </c>
      <c r="B47" s="177">
        <v>620</v>
      </c>
      <c r="C47" s="3">
        <v>0</v>
      </c>
      <c r="D47" s="3">
        <f>31.3</f>
        <v>31.3</v>
      </c>
      <c r="E47" s="137">
        <f>0.95*5*1000*0.4*0.1</f>
        <v>190</v>
      </c>
      <c r="F47" s="138">
        <f>75000*1000*0.8*0.3*0.1/100000</f>
        <v>18</v>
      </c>
      <c r="G47" s="138"/>
      <c r="H47" s="157"/>
    </row>
    <row r="48" spans="1:8" s="128" customFormat="1" x14ac:dyDescent="0.25">
      <c r="A48" s="177"/>
      <c r="B48" s="177"/>
      <c r="C48" s="3"/>
      <c r="D48" s="3"/>
      <c r="E48" s="137"/>
      <c r="F48" s="138"/>
      <c r="G48" s="138"/>
      <c r="H48" s="157"/>
    </row>
    <row r="49" spans="1:16" x14ac:dyDescent="0.25">
      <c r="A49" s="177" t="s">
        <v>310</v>
      </c>
      <c r="B49" s="178">
        <v>126.66</v>
      </c>
      <c r="C49" s="3">
        <v>0.10007012500000001</v>
      </c>
      <c r="D49" s="3">
        <v>5.444375</v>
      </c>
      <c r="E49" s="137"/>
      <c r="F49" s="138"/>
      <c r="G49" s="138"/>
      <c r="H49" s="157"/>
    </row>
    <row r="50" spans="1:16" x14ac:dyDescent="0.25">
      <c r="A50" s="3"/>
      <c r="B50" s="3"/>
      <c r="C50" s="3"/>
      <c r="D50" s="3"/>
      <c r="E50" s="137"/>
      <c r="F50" s="138"/>
      <c r="G50" s="138"/>
      <c r="H50" s="157"/>
    </row>
    <row r="51" spans="1:16" x14ac:dyDescent="0.25">
      <c r="C51" s="393">
        <f>-0.133/2</f>
        <v>-6.6500000000000004E-2</v>
      </c>
      <c r="E51" s="137"/>
      <c r="F51" s="138"/>
      <c r="G51" s="138"/>
      <c r="H51" s="157"/>
    </row>
    <row r="52" spans="1:16" x14ac:dyDescent="0.25">
      <c r="E52" s="137"/>
      <c r="F52" s="138"/>
      <c r="G52" s="138"/>
      <c r="H52" s="157"/>
    </row>
    <row r="53" spans="1:16" x14ac:dyDescent="0.25">
      <c r="E53" s="137"/>
      <c r="F53" s="138"/>
      <c r="G53" s="138"/>
      <c r="H53" s="157"/>
    </row>
    <row r="54" spans="1:16" x14ac:dyDescent="0.25">
      <c r="E54" s="137"/>
      <c r="F54" s="138"/>
      <c r="G54" s="138"/>
      <c r="H54" s="157"/>
    </row>
    <row r="55" spans="1:16" x14ac:dyDescent="0.25">
      <c r="E55" s="137"/>
      <c r="F55" s="138"/>
      <c r="G55" s="138"/>
      <c r="H55" s="157"/>
    </row>
    <row r="56" spans="1:16" x14ac:dyDescent="0.25">
      <c r="E56" s="137"/>
      <c r="F56" s="138"/>
      <c r="G56" s="138"/>
      <c r="H56" s="157"/>
    </row>
    <row r="57" spans="1:16" x14ac:dyDescent="0.25">
      <c r="E57" s="137"/>
      <c r="F57" s="138"/>
      <c r="G57" s="138"/>
      <c r="H57" s="157"/>
    </row>
    <row r="58" spans="1:16" x14ac:dyDescent="0.25">
      <c r="E58" s="137"/>
      <c r="F58" s="138"/>
      <c r="G58" s="138"/>
      <c r="H58" s="157"/>
    </row>
    <row r="59" spans="1:16" x14ac:dyDescent="0.25">
      <c r="E59" s="137"/>
      <c r="F59" s="138"/>
      <c r="G59" s="138"/>
      <c r="H59" s="157"/>
    </row>
    <row r="60" spans="1:16" x14ac:dyDescent="0.25">
      <c r="E60" s="128"/>
      <c r="F60" s="128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E61" s="128"/>
      <c r="F61" s="128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E62" s="128"/>
      <c r="F62" s="128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G63" s="5"/>
      <c r="H63" s="5"/>
      <c r="I63" s="5"/>
      <c r="J63" s="5"/>
      <c r="K63" s="5"/>
      <c r="L63" s="5"/>
      <c r="M63" s="5"/>
      <c r="N63" s="5"/>
      <c r="O63" s="5"/>
      <c r="P63" s="5"/>
    </row>
  </sheetData>
  <sheetProtection password="C33D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Benchmarking</vt:lpstr>
      <vt:lpstr>Lighting</vt:lpstr>
      <vt:lpstr>HVAC</vt:lpstr>
      <vt:lpstr>Plug Load</vt:lpstr>
      <vt:lpstr>Bldg Envelope</vt:lpstr>
      <vt:lpstr>EE Transformer</vt:lpstr>
      <vt:lpstr>PV </vt:lpstr>
      <vt:lpstr>Total-Summary</vt:lpstr>
      <vt:lpstr>AVG HVAC impact</vt:lpstr>
      <vt:lpstr>AVG lighting impact</vt:lpstr>
      <vt:lpstr>Lamp ratio</vt:lpstr>
      <vt:lpstr>Bldg Env Avg</vt:lpstr>
      <vt:lpstr>'Total-Summary'!Print_Area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hbucaneg</dc:creator>
  <cp:lastModifiedBy>Velazquez, David@Energy</cp:lastModifiedBy>
  <cp:lastPrinted>2016-07-28T20:51:03Z</cp:lastPrinted>
  <dcterms:created xsi:type="dcterms:W3CDTF">2013-08-07T18:34:50Z</dcterms:created>
  <dcterms:modified xsi:type="dcterms:W3CDTF">2020-03-04T21:26:07Z</dcterms:modified>
</cp:coreProperties>
</file>